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120" yWindow="-120" windowWidth="20730" windowHeight="11040" tabRatio="834" firstSheet="20" activeTab="23"/>
  </bookViews>
  <sheets>
    <sheet name="Orçamento EBPs" sheetId="193" r:id="rId1"/>
    <sheet name="RESUMO EBP" sheetId="194" r:id="rId2"/>
    <sheet name="Custos Canais" sheetId="195" r:id="rId3"/>
    <sheet name="RESUMO CANAIS" sheetId="196" r:id="rId4"/>
    <sheet name="Custo EBSs" sheetId="197" r:id="rId5"/>
    <sheet name="RESUMO EBSs" sheetId="198" r:id="rId6"/>
    <sheet name="REDE PRESSURIZADA" sheetId="199" r:id="rId7"/>
    <sheet name="RESUMO REDE" sheetId="200" r:id="rId8"/>
    <sheet name="Custos On farm" sheetId="201" r:id="rId9"/>
    <sheet name="RESUMO ON FARM" sheetId="202" r:id="rId10"/>
    <sheet name="Custo Drenagem" sheetId="203" r:id="rId11"/>
    <sheet name="RESUMO DRENAGEM" sheetId="204" r:id="rId12"/>
    <sheet name="Custos Sistema Viário" sheetId="207" r:id="rId13"/>
    <sheet name="RESUMO SISTEMA VIÁRIO" sheetId="208" r:id="rId14"/>
    <sheet name="Custos Rede Baixa Pressão" sheetId="209" r:id="rId15"/>
    <sheet name="RESUMO REDE BAIXA PRESSÃO" sheetId="210" r:id="rId16"/>
    <sheet name="SERVIÇOS PRELIMINARES" sheetId="205" r:id="rId17"/>
    <sheet name="DESMATAMENTO" sheetId="206" r:id="rId18"/>
    <sheet name="Elevat Parcelas Independ." sheetId="211" r:id="rId19"/>
    <sheet name="RESUMO TOMADAS" sheetId="212" r:id="rId20"/>
    <sheet name="RESUMO GERAL" sheetId="184" r:id="rId21"/>
    <sheet name="AGRUP." sheetId="186" r:id="rId22"/>
    <sheet name="Compart x Exclusiv" sheetId="191" r:id="rId23"/>
    <sheet name="AUX." sheetId="185" r:id="rId24"/>
    <sheet name="RECUP." sheetId="190" r:id="rId25"/>
    <sheet name="Reinvestimento" sheetId="192" r:id="rId26"/>
    <sheet name="Reajuste Atual" sheetId="188" r:id="rId27"/>
    <sheet name="AUX. (2)" sheetId="213" r:id="rId28"/>
  </sheets>
  <externalReferences>
    <externalReference r:id="rId29"/>
    <externalReference r:id="rId30"/>
    <externalReference r:id="rId31"/>
  </externalReferences>
  <definedNames>
    <definedName name="__xlfn_BAHTTEXT">NA()</definedName>
    <definedName name="__xlfn_IFERROR">NA()</definedName>
    <definedName name="_Fill" localSheetId="3" hidden="1">#REF!</definedName>
    <definedName name="_Fill" localSheetId="11" hidden="1">#REF!</definedName>
    <definedName name="_Fill" localSheetId="1" hidden="1">#REF!</definedName>
    <definedName name="_Fill" localSheetId="5" hidden="1">#REF!</definedName>
    <definedName name="_Fill" localSheetId="9" hidden="1">#REF!</definedName>
    <definedName name="_Fill" localSheetId="7" hidden="1">#REF!</definedName>
    <definedName name="_Fill" localSheetId="15" hidden="1">#REF!</definedName>
    <definedName name="_Fill" localSheetId="13" hidden="1">#REF!</definedName>
    <definedName name="_Fill" localSheetId="19" hidden="1">#REF!</definedName>
    <definedName name="_Fill" hidden="1">#REF!</definedName>
    <definedName name="_FilterDatabase" localSheetId="10" hidden="1">'Custo Drenagem'!$B$22:$L$52</definedName>
    <definedName name="_FilterDatabase" localSheetId="4" hidden="1">'Custo EBSs'!$B$22:$K$832</definedName>
    <definedName name="_FilterDatabase" localSheetId="2" hidden="1">'Custos Canais'!$B$22:$K$297</definedName>
    <definedName name="_FilterDatabase" localSheetId="8" hidden="1">'Custos On farm'!$B$22:$K$197</definedName>
    <definedName name="_FilterDatabase" localSheetId="14" hidden="1">'Custos Rede Baixa Pressão'!$B$5:$K$37</definedName>
    <definedName name="_FilterDatabase" localSheetId="12" hidden="1">'Custos Sistema Viário'!$B$22:$K$33</definedName>
    <definedName name="_FilterDatabase" localSheetId="17" hidden="1">DESMATAMENTO!$A$22:$AA$26</definedName>
    <definedName name="_FilterDatabase" localSheetId="6" hidden="1">'REDE PRESSURIZADA'!$B$22:$L$312</definedName>
    <definedName name="_FilterDatabase" localSheetId="16" hidden="1">'SERVIÇOS PRELIMINARES'!$A$22:$Z$30</definedName>
    <definedName name="_xlnm._FilterDatabase" localSheetId="10" hidden="1">'Custo Drenagem'!$B$22:$J$52</definedName>
    <definedName name="_xlnm._FilterDatabase" localSheetId="4" hidden="1">'Custo EBSs'!$B$22:$J$832</definedName>
    <definedName name="_xlnm._FilterDatabase" localSheetId="2" hidden="1">'Custos Canais'!$B$22:$J$297</definedName>
    <definedName name="_xlnm._FilterDatabase" localSheetId="8" hidden="1">'Custos On farm'!$B$22:$J$197</definedName>
    <definedName name="_xlnm._FilterDatabase" localSheetId="12" hidden="1">'Custos Sistema Viário'!$B$22:$J$33</definedName>
    <definedName name="_xlnm._FilterDatabase" localSheetId="17" hidden="1">DESMATAMENTO!$A$22:$Y$26</definedName>
    <definedName name="_xlnm._FilterDatabase" localSheetId="6" hidden="1">'REDE PRESSURIZADA'!$B$22:$J$312</definedName>
    <definedName name="_xlnm._FilterDatabase" localSheetId="16" hidden="1">'SERVIÇOS PRELIMINARES'!$A$22:$X$30</definedName>
    <definedName name="_Order1" hidden="1">255</definedName>
    <definedName name="_Order2" hidden="1">0</definedName>
    <definedName name="_xlnm.Print_Area" localSheetId="27">'AUX. (2)'!$A$3:$K$57</definedName>
    <definedName name="_xlnm.Print_Area" localSheetId="10">'Custo Drenagem'!$B$5:$J$61</definedName>
    <definedName name="_xlnm.Print_Area" localSheetId="4">'Custo EBSs'!$B$5:$J$840</definedName>
    <definedName name="_xlnm.Print_Area" localSheetId="2">'Custos Canais'!$B$5:$J$306</definedName>
    <definedName name="_xlnm.Print_Area" localSheetId="8">'Custos On farm'!$B$5:$J$206</definedName>
    <definedName name="_xlnm.Print_Area" localSheetId="14">'Custos Rede Baixa Pressão'!$B$2:$J$46</definedName>
    <definedName name="_xlnm.Print_Area" localSheetId="12">'Custos Sistema Viário'!$B$5:$J$42</definedName>
    <definedName name="_xlnm.Print_Area" localSheetId="17">DESMATAMENTO!$A$5:$Y$26</definedName>
    <definedName name="_xlnm.Print_Area" localSheetId="0">'Orçamento EBPs'!$B$3:$J$56</definedName>
    <definedName name="_xlnm.Print_Area" localSheetId="26">'Reajuste Atual'!$B$1:$J$47</definedName>
    <definedName name="_xlnm.Print_Area" localSheetId="6">'REDE PRESSURIZADA'!$B$5:$J$322</definedName>
    <definedName name="_xlnm.Print_Area" localSheetId="3">'RESUMO CANAIS'!$A$1:$G$45</definedName>
    <definedName name="_xlnm.Print_Area" localSheetId="11">'RESUMO DRENAGEM'!$A$1:$G$17</definedName>
    <definedName name="_xlnm.Print_Area" localSheetId="1">'RESUMO EBP'!$A$1:$G$48</definedName>
    <definedName name="_xlnm.Print_Area" localSheetId="5">'RESUMO EBSs'!$A$1:$G$31</definedName>
    <definedName name="_xlnm.Print_Area" localSheetId="9">'RESUMO ON FARM'!$A$1:$G$30</definedName>
    <definedName name="_xlnm.Print_Area" localSheetId="7">'RESUMO REDE'!$A$1:$G$22</definedName>
    <definedName name="_xlnm.Print_Area" localSheetId="15">'RESUMO REDE BAIXA PRESSÃO'!$A$1:$G$20</definedName>
    <definedName name="_xlnm.Print_Area" localSheetId="13">'RESUMO SISTEMA VIÁRIO'!$A$1:$G$17</definedName>
    <definedName name="_xlnm.Print_Area" localSheetId="19">'RESUMO TOMADAS'!$A$1:$G$18</definedName>
    <definedName name="_xlnm.Print_Area" localSheetId="16">'SERVIÇOS PRELIMINARES'!$A$5:$X$30</definedName>
    <definedName name="_xlnm.Print_Area">#REF!</definedName>
    <definedName name="CFF_Col_Item" localSheetId="3">#REF!</definedName>
    <definedName name="CFF_Col_Item" localSheetId="11">#REF!</definedName>
    <definedName name="CFF_Col_Item" localSheetId="1">#REF!</definedName>
    <definedName name="CFF_Col_Item" localSheetId="5">#REF!</definedName>
    <definedName name="CFF_Col_Item" localSheetId="9">#REF!</definedName>
    <definedName name="CFF_Col_Item" localSheetId="7">#REF!</definedName>
    <definedName name="CFF_Col_Item" localSheetId="15">#REF!</definedName>
    <definedName name="CFF_Col_Item" localSheetId="13">#REF!</definedName>
    <definedName name="CFF_Col_Item" localSheetId="19">#REF!</definedName>
    <definedName name="CFF_Col_Item">#REF!</definedName>
    <definedName name="CFF_Dados" localSheetId="3">#REF!</definedName>
    <definedName name="CFF_Dados" localSheetId="11">#REF!</definedName>
    <definedName name="CFF_Dados" localSheetId="1">#REF!</definedName>
    <definedName name="CFF_Dados" localSheetId="5">#REF!</definedName>
    <definedName name="CFF_Dados" localSheetId="9">#REF!</definedName>
    <definedName name="CFF_Dados" localSheetId="7">#REF!</definedName>
    <definedName name="CFF_Dados" localSheetId="15">#REF!</definedName>
    <definedName name="CFF_Dados" localSheetId="13">#REF!</definedName>
    <definedName name="CFF_Dados" localSheetId="19">#REF!</definedName>
    <definedName name="CFF_Dados">#REF!</definedName>
    <definedName name="CFF_LinhaPadrão" localSheetId="19">#REF!</definedName>
    <definedName name="CFF_LinhaPadrão">#REF!</definedName>
    <definedName name="CFF_qtde_itens" localSheetId="3">MAX(OFFSET(#REF!,0,0,#REF!),13)</definedName>
    <definedName name="CFF_qtde_itens" localSheetId="11">MAX(OFFSET(#REF!,0,0,#REF!),13)</definedName>
    <definedName name="CFF_qtde_itens" localSheetId="1">MAX(OFFSET(#REF!,0,0,#REF!),13)</definedName>
    <definedName name="CFF_qtde_itens" localSheetId="5">MAX(OFFSET(#REF!,0,0,#REF!),13)</definedName>
    <definedName name="CFF_qtde_itens" localSheetId="9">MAX(OFFSET(#REF!,0,0,#REF!),13)</definedName>
    <definedName name="CFF_qtde_itens" localSheetId="7">MAX(OFFSET(#REF!,0,0,#REF!),13)</definedName>
    <definedName name="CFF_qtde_itens" localSheetId="15">MAX(OFFSET(#REF!,0,0,#REF!),13)</definedName>
    <definedName name="CFF_qtde_itens" localSheetId="13">MAX(OFFSET(#REF!,0,0,#REF!),13)</definedName>
    <definedName name="CFF_qtde_itens" localSheetId="19">MAX(OFFSET(#REF!,0,0,#REF!),13)</definedName>
    <definedName name="CFF_qtde_itens">MAX(OFFSET(#REF!,0,0,#REF!),13)</definedName>
    <definedName name="CFF_qtde_itens_atual" localSheetId="19">MAX(#REF!)</definedName>
    <definedName name="CFF_qtde_itens_atual">MAX(#REF!)</definedName>
    <definedName name="CFF_qtde_parcelas" localSheetId="19">MATCH(MAX(#REF!),#REF!,0)</definedName>
    <definedName name="CFF_qtde_parcelas">MATCH(MAX(#REF!),#REF!,0)</definedName>
    <definedName name="CFF_ultima_linha" localSheetId="19">#REF!</definedName>
    <definedName name="CFF_ultima_linha">#REF!</definedName>
    <definedName name="CLIENTE" localSheetId="19">#REF!</definedName>
    <definedName name="CLIENTE">#REF!</definedName>
    <definedName name="COMPOR" localSheetId="19">#REF!</definedName>
    <definedName name="COMPOR">#REF!</definedName>
    <definedName name="Dados_Lista_Acompanhamento" localSheetId="19">#REF!</definedName>
    <definedName name="Dados_Lista_Acompanhamento">#REF!</definedName>
    <definedName name="Dados_Lista_BDI" localSheetId="19">#REF!</definedName>
    <definedName name="Dados_Lista_BDI">#REF!</definedName>
    <definedName name="Dados_Lista_Localidade" localSheetId="19">#REF!</definedName>
    <definedName name="Dados_Lista_Localidade">#REF!</definedName>
    <definedName name="Dados_Lista_RegimeExecução" localSheetId="19">#REF!</definedName>
    <definedName name="Dados_Lista_RegimeExecução">#REF!</definedName>
    <definedName name="Dados_Lista_TipoOrç" localSheetId="19">#REF!</definedName>
    <definedName name="Dados_Lista_TipoOrç">#REF!</definedName>
    <definedName name="Dados_Lista_TítuloProf" localSheetId="19">#REF!</definedName>
    <definedName name="Dados_Lista_TítuloProf">#REF!</definedName>
    <definedName name="Database" localSheetId="10">#REF!</definedName>
    <definedName name="Database" localSheetId="4">#REF!</definedName>
    <definedName name="Database" localSheetId="2">#REF!</definedName>
    <definedName name="Database" localSheetId="8">#REF!</definedName>
    <definedName name="Database" localSheetId="14">#REF!</definedName>
    <definedName name="Database" localSheetId="12">#REF!</definedName>
    <definedName name="Database" localSheetId="17">#REF!</definedName>
    <definedName name="Database" localSheetId="6">#REF!</definedName>
    <definedName name="Database" localSheetId="3">#REF!</definedName>
    <definedName name="Database" localSheetId="11">#REF!</definedName>
    <definedName name="Database" localSheetId="1">#REF!</definedName>
    <definedName name="Database" localSheetId="5">#REF!</definedName>
    <definedName name="Database" localSheetId="9">#REF!</definedName>
    <definedName name="Database" localSheetId="7">#REF!</definedName>
    <definedName name="Database" localSheetId="15">#REF!</definedName>
    <definedName name="Database" localSheetId="13">#REF!</definedName>
    <definedName name="Database" localSheetId="19">#REF!</definedName>
    <definedName name="Database" localSheetId="16">#REF!</definedName>
    <definedName name="Database">#REF!</definedName>
    <definedName name="Import_Ação" localSheetId="19">#REF!</definedName>
    <definedName name="Import_Ação">#REF!</definedName>
    <definedName name="Import_BDI" localSheetId="19">#REF!</definedName>
    <definedName name="Import_BDI">#REF!</definedName>
    <definedName name="Import_CNPJ" localSheetId="19">#REF!</definedName>
    <definedName name="Import_CNPJ">#REF!</definedName>
    <definedName name="Import_Código" localSheetId="19">#REF!</definedName>
    <definedName name="Import_Código">#REF!</definedName>
    <definedName name="Import_Convênio" localSheetId="19">#REF!</definedName>
    <definedName name="Import_Convênio">#REF!</definedName>
    <definedName name="Import_CR" localSheetId="19">#REF!</definedName>
    <definedName name="Import_CR">#REF!</definedName>
    <definedName name="Import_CTEF" localSheetId="19">#REF!</definedName>
    <definedName name="Import_CTEF">#REF!</definedName>
    <definedName name="Import_CustoUnitário" localSheetId="19">#REF!</definedName>
    <definedName name="Import_CustoUnitário">#REF!</definedName>
    <definedName name="Import_DataAssinaturaCR" localSheetId="19">#REF!</definedName>
    <definedName name="Import_DataAssinaturaCR">#REF!</definedName>
    <definedName name="Import_DataAssinaturaCTEF" localSheetId="19">#REF!</definedName>
    <definedName name="Import_DataAssinaturaCTEF">#REF!</definedName>
    <definedName name="Import_DataInícioObra" localSheetId="19">#REF!</definedName>
    <definedName name="Import_DataInícioObra">#REF!</definedName>
    <definedName name="Import_Descrição" localSheetId="19">#REF!</definedName>
    <definedName name="Import_Descrição">#REF!</definedName>
    <definedName name="Import_Empresa" localSheetId="19">#REF!</definedName>
    <definedName name="Import_Empresa">#REF!</definedName>
    <definedName name="Import_Fonte" localSheetId="19">#REF!</definedName>
    <definedName name="Import_Fonte">#REF!</definedName>
    <definedName name="Import_FrenteDeObra" localSheetId="19">#REF!</definedName>
    <definedName name="Import_FrenteDeObra">#REF!</definedName>
    <definedName name="Import_Gestor" localSheetId="19">#REF!</definedName>
    <definedName name="Import_Gestor">#REF!</definedName>
    <definedName name="Import_Gigov" localSheetId="19">#REF!</definedName>
    <definedName name="Import_Gigov">#REF!</definedName>
    <definedName name="Import_Item" localSheetId="19">#REF!</definedName>
    <definedName name="Import_Item">#REF!</definedName>
    <definedName name="Import_Localidade" localSheetId="19">#REF!</definedName>
    <definedName name="Import_Localidade">#REF!</definedName>
    <definedName name="Import_Município" localSheetId="19">#REF!</definedName>
    <definedName name="Import_Município">#REF!</definedName>
    <definedName name="Import_Nível" localSheetId="19">#REF!</definedName>
    <definedName name="Import_Nível">#REF!</definedName>
    <definedName name="Import_ObjetoCR" localSheetId="19">#REF!</definedName>
    <definedName name="Import_ObjetoCR">#REF!</definedName>
    <definedName name="Import_ObjetoCTEF" localSheetId="19">#REF!</definedName>
    <definedName name="Import_ObjetoCTEF">#REF!</definedName>
    <definedName name="Import_PLQ" localSheetId="19">#REF!</definedName>
    <definedName name="Import_PLQ">#REF!</definedName>
    <definedName name="Import_PreçoTotal" localSheetId="19">#REF!</definedName>
    <definedName name="Import_PreçoTotal">#REF!</definedName>
    <definedName name="Import_PreçoUnitário" localSheetId="19">#REF!</definedName>
    <definedName name="Import_PreçoUnitário">#REF!</definedName>
    <definedName name="Import_Programa" localSheetId="19">#REF!</definedName>
    <definedName name="Import_Programa">#REF!</definedName>
    <definedName name="Import_Proponente" localSheetId="19">#REF!</definedName>
    <definedName name="Import_Proponente">#REF!</definedName>
    <definedName name="Import_Quantidade" localSheetId="19">#REF!</definedName>
    <definedName name="Import_Quantidade">#REF!</definedName>
    <definedName name="Import_RegimeExecução" localSheetId="19">#REF!</definedName>
    <definedName name="Import_RegimeExecução">#REF!</definedName>
    <definedName name="Import_Unidade" localSheetId="19">#REF!</definedName>
    <definedName name="Import_Unidade">#REF!</definedName>
    <definedName name="Import_Vigência" localSheetId="19">#REF!</definedName>
    <definedName name="Import_Vigência">#REF!</definedName>
    <definedName name="LI_2009_358_EQP.HIDR_Vasos_001_0.xls" localSheetId="10">#REF!</definedName>
    <definedName name="LI_2009_358_EQP.HIDR_Vasos_001_0.xls" localSheetId="4">#REF!</definedName>
    <definedName name="LI_2009_358_EQP.HIDR_Vasos_001_0.xls" localSheetId="2">#REF!</definedName>
    <definedName name="LI_2009_358_EQP.HIDR_Vasos_001_0.xls" localSheetId="8">#REF!</definedName>
    <definedName name="LI_2009_358_EQP.HIDR_Vasos_001_0.xls" localSheetId="14">#REF!</definedName>
    <definedName name="LI_2009_358_EQP.HIDR_Vasos_001_0.xls" localSheetId="12">#REF!</definedName>
    <definedName name="LI_2009_358_EQP.HIDR_Vasos_001_0.xls" localSheetId="17">#REF!</definedName>
    <definedName name="LI_2009_358_EQP.HIDR_Vasos_001_0.xls" localSheetId="6">#REF!</definedName>
    <definedName name="LI_2009_358_EQP.HIDR_Vasos_001_0.xls" localSheetId="3">#REF!</definedName>
    <definedName name="LI_2009_358_EQP.HIDR_Vasos_001_0.xls" localSheetId="11">#REF!</definedName>
    <definedName name="LI_2009_358_EQP.HIDR_Vasos_001_0.xls" localSheetId="1">#REF!</definedName>
    <definedName name="LI_2009_358_EQP.HIDR_Vasos_001_0.xls" localSheetId="5">#REF!</definedName>
    <definedName name="LI_2009_358_EQP.HIDR_Vasos_001_0.xls" localSheetId="9">#REF!</definedName>
    <definedName name="LI_2009_358_EQP.HIDR_Vasos_001_0.xls" localSheetId="7">#REF!</definedName>
    <definedName name="LI_2009_358_EQP.HIDR_Vasos_001_0.xls" localSheetId="15">#REF!</definedName>
    <definedName name="LI_2009_358_EQP.HIDR_Vasos_001_0.xls" localSheetId="13">#REF!</definedName>
    <definedName name="LI_2009_358_EQP.HIDR_Vasos_001_0.xls" localSheetId="19">#REF!</definedName>
    <definedName name="LI_2009_358_EQP.HIDR_Vasos_001_0.xls" localSheetId="16">#REF!</definedName>
    <definedName name="LI_2009_358_EQP.HIDR_Vasos_001_0.xls">#REF!</definedName>
    <definedName name="LinhaAssinaturas" localSheetId="19">#REF!</definedName>
    <definedName name="LinhaAssinaturas">#REF!</definedName>
    <definedName name="LinhaCabeçalho" localSheetId="19">#REF!</definedName>
    <definedName name="LinhaCabeçalho">#REF!</definedName>
    <definedName name="LinhaCabeçalhoDados" localSheetId="19">#REF!</definedName>
    <definedName name="LinhaCabeçalhoDados">#REF!</definedName>
    <definedName name="LinhaEncargosSociais" localSheetId="19">#REF!</definedName>
    <definedName name="LinhaEncargosSociais">#REF!</definedName>
    <definedName name="ListaPreços" localSheetId="19">OFFSET(#REF!,1,0,COUNTA(#REF!)-2,1)</definedName>
    <definedName name="ListaPreços">OFFSET(#REF!,1,0,COUNTA(#REF!)-2,1)</definedName>
    <definedName name="listasit" localSheetId="3">OFFSET(#REF!,0,IF(#REF!=#REF!,0,1),IF(#REF!=#REF!,1,6),1)</definedName>
    <definedName name="listasit" localSheetId="11">OFFSET(#REF!,0,IF(#REF!=#REF!,0,1),IF(#REF!=#REF!,1,6),1)</definedName>
    <definedName name="listasit" localSheetId="1">OFFSET(#REF!,0,IF(#REF!=#REF!,0,1),IF(#REF!=#REF!,1,6),1)</definedName>
    <definedName name="listasit" localSheetId="5">OFFSET(#REF!,0,IF(#REF!=#REF!,0,1),IF(#REF!=#REF!,1,6),1)</definedName>
    <definedName name="listasit" localSheetId="9">OFFSET(#REF!,0,IF(#REF!=#REF!,0,1),IF(#REF!=#REF!,1,6),1)</definedName>
    <definedName name="listasit" localSheetId="7">OFFSET(#REF!,0,IF(#REF!=#REF!,0,1),IF(#REF!=#REF!,1,6),1)</definedName>
    <definedName name="listasit" localSheetId="15">OFFSET(#REF!,0,IF(#REF!=#REF!,0,1),IF(#REF!=#REF!,1,6),1)</definedName>
    <definedName name="listasit" localSheetId="13">OFFSET(#REF!,0,IF(#REF!=#REF!,0,1),IF(#REF!=#REF!,1,6),1)</definedName>
    <definedName name="listasit" localSheetId="19">OFFSET(#REF!,0,IF(#REF!=#REF!,0,1),IF(#REF!=#REF!,1,6),1)</definedName>
    <definedName name="listasit">OFFSET(#REF!,0,IF(#REF!=#REF!,0,1),IF(#REF!=#REF!,1,6),1)</definedName>
    <definedName name="PLQ_Col_QTD" localSheetId="19">#REF!</definedName>
    <definedName name="PLQ_Col_QTD">#REF!</definedName>
    <definedName name="PLQ_Dados" localSheetId="19">#REF!</definedName>
    <definedName name="PLQ_Dados">#REF!</definedName>
    <definedName name="PLQ_LinhaPadrão" localSheetId="19">#REF!</definedName>
    <definedName name="PLQ_LinhaPadrão">#REF!</definedName>
    <definedName name="PLQ_qtde_frentes" localSheetId="19">COUNTA(#REF!)</definedName>
    <definedName name="PLQ_qtde_frentes">COUNTA(#REF!)</definedName>
    <definedName name="PLQ_ultima_linha" localSheetId="19">#REF!</definedName>
    <definedName name="PLQ_ultima_linha">#REF!</definedName>
    <definedName name="PO_Col_BDI" localSheetId="19">#REF!</definedName>
    <definedName name="PO_Col_BDI">#REF!</definedName>
    <definedName name="PO_Col_Descrição" localSheetId="19">#REF!</definedName>
    <definedName name="PO_Col_Descrição">#REF!</definedName>
    <definedName name="PO_Col_Nível" localSheetId="19">#REF!</definedName>
    <definedName name="PO_Col_Nível">#REF!</definedName>
    <definedName name="PO_Col_QTD" localSheetId="19">#REF!</definedName>
    <definedName name="PO_Col_QTD">#REF!</definedName>
    <definedName name="PO_Col_Tipo" localSheetId="19">#REF!</definedName>
    <definedName name="PO_Col_Tipo">#REF!</definedName>
    <definedName name="PO_Dados" localSheetId="19">#REF!</definedName>
    <definedName name="PO_Dados">#REF!</definedName>
    <definedName name="PO_I_Global" localSheetId="19">#REF!</definedName>
    <definedName name="PO_I_Global">#REF!</definedName>
    <definedName name="PO_I_Lote" localSheetId="19">#REF!</definedName>
    <definedName name="PO_I_Lote">#REF!</definedName>
    <definedName name="PO_LinhaPadrão" localSheetId="19">#REF!</definedName>
    <definedName name="PO_LinhaPadrão">#REF!</definedName>
    <definedName name="PO_Lista_Fonte" localSheetId="19">#REF!</definedName>
    <definedName name="PO_Lista_Fonte">#REF!</definedName>
    <definedName name="PO_NúmeroNível" localSheetId="3">#REF!*1000^4+#REF!*1000^3+#REF!*1000^2+#REF!*1000^1+#REF!*1000^0</definedName>
    <definedName name="PO_NúmeroNível" localSheetId="11">#REF!*1000^4+#REF!*1000^3+#REF!*1000^2+#REF!*1000^1+#REF!*1000^0</definedName>
    <definedName name="PO_NúmeroNível" localSheetId="1">#REF!*1000^4+#REF!*1000^3+#REF!*1000^2+#REF!*1000^1+#REF!*1000^0</definedName>
    <definedName name="PO_NúmeroNível" localSheetId="5">#REF!*1000^4+#REF!*1000^3+#REF!*1000^2+#REF!*1000^1+#REF!*1000^0</definedName>
    <definedName name="PO_NúmeroNível" localSheetId="9">#REF!*1000^4+#REF!*1000^3+#REF!*1000^2+#REF!*1000^1+#REF!*1000^0</definedName>
    <definedName name="PO_NúmeroNível" localSheetId="7">#REF!*1000^4+#REF!*1000^3+#REF!*1000^2+#REF!*1000^1+#REF!*1000^0</definedName>
    <definedName name="PO_NúmeroNível" localSheetId="15">#REF!*1000^4+#REF!*1000^3+#REF!*1000^2+#REF!*1000^1+#REF!*1000^0</definedName>
    <definedName name="PO_NúmeroNível" localSheetId="13">#REF!*1000^4+#REF!*1000^3+#REF!*1000^2+#REF!*1000^1+#REF!*1000^0</definedName>
    <definedName name="PO_NúmeroNível" localSheetId="19">#REF!*1000^4+#REF!*1000^3+#REF!*1000^2+#REF!*1000^1+#REF!*1000^0</definedName>
    <definedName name="PO_NúmeroNível">#REF!*1000^4+#REF!*1000^3+#REF!*1000^2+#REF!*1000^1+#REF!*1000^0</definedName>
    <definedName name="PO_Unitarios" localSheetId="19">#REF!</definedName>
    <definedName name="PO_Unitarios">#REF!</definedName>
    <definedName name="PO_Unitarios_bkp1" localSheetId="19">#REF!</definedName>
    <definedName name="PO_Unitarios_bkp1">#REF!</definedName>
    <definedName name="PO_Unitarios_bkp2" localSheetId="19">#REF!</definedName>
    <definedName name="PO_Unitarios_bkp2">#REF!</definedName>
    <definedName name="Print_Area" localSheetId="10">'Custo Drenagem'!$B$3:$J$53</definedName>
    <definedName name="Print_Area" localSheetId="4">'Custo EBSs'!$B$3:$J$832</definedName>
    <definedName name="Print_Area" localSheetId="2">'Custos Canais'!$B$3:$J$298</definedName>
    <definedName name="Print_Area" localSheetId="8">'Custos On farm'!$B$3:$J$197</definedName>
    <definedName name="Print_Area" localSheetId="14">'Custos Rede Baixa Pressão'!$B$2:$J$37</definedName>
    <definedName name="Print_Area" localSheetId="12">'Custos Sistema Viário'!$B$3:$J$33</definedName>
    <definedName name="Print_Area" localSheetId="17">DESMATAMENTO!$A$3:$Y$26</definedName>
    <definedName name="Print_Area" localSheetId="26">'Reajuste Atual'!$B$2:$J$48</definedName>
    <definedName name="Print_Area" localSheetId="6">'REDE PRESSURIZADA'!$B$3:$J$312</definedName>
    <definedName name="Print_Area" localSheetId="16">'SERVIÇOS PRELIMINARES'!$A$3:$X$30</definedName>
    <definedName name="Print_Titles" localSheetId="10">'Custo Drenagem'!$3:$22</definedName>
    <definedName name="Print_Titles" localSheetId="4">'Custo EBSs'!$3:$22</definedName>
    <definedName name="Print_Titles" localSheetId="2">'Custos Canais'!$3:$22</definedName>
    <definedName name="Print_Titles" localSheetId="8">'Custos On farm'!$3:$22</definedName>
    <definedName name="Print_Titles" localSheetId="14">'Custos Rede Baixa Pressão'!$2:$4</definedName>
    <definedName name="Print_Titles" localSheetId="12">'Custos Sistema Viário'!$3:$22</definedName>
    <definedName name="Print_Titles" localSheetId="17">DESMATAMENTO!$3:$22</definedName>
    <definedName name="Print_Titles" localSheetId="6">'REDE PRESSURIZADA'!$3:$22</definedName>
    <definedName name="Print_Titles" localSheetId="16">'SERVIÇOS PRELIMINARES'!$3:$22</definedName>
    <definedName name="Rodape1" localSheetId="3">#REF!</definedName>
    <definedName name="Rodape1" localSheetId="11">#REF!</definedName>
    <definedName name="Rodape1" localSheetId="1">#REF!</definedName>
    <definedName name="Rodape1" localSheetId="5">#REF!</definedName>
    <definedName name="Rodape1" localSheetId="9">#REF!</definedName>
    <definedName name="Rodape1" localSheetId="7">#REF!</definedName>
    <definedName name="Rodape1" localSheetId="15">#REF!</definedName>
    <definedName name="Rodape1" localSheetId="13">#REF!</definedName>
    <definedName name="Rodape1" localSheetId="19">#REF!</definedName>
    <definedName name="Rodape1">#REF!</definedName>
    <definedName name="TipoOrçamento" localSheetId="3">IF(OR(#REF!=#REF!,#REF!=#REF!),"LICITADO","BASE")</definedName>
    <definedName name="TipoOrçamento" localSheetId="11">IF(OR(#REF!=#REF!,#REF!=#REF!),"LICITADO","BASE")</definedName>
    <definedName name="TipoOrçamento" localSheetId="1">IF(OR(#REF!=#REF!,#REF!=#REF!),"LICITADO","BASE")</definedName>
    <definedName name="TipoOrçamento" localSheetId="5">IF(OR(#REF!=#REF!,#REF!=#REF!),"LICITADO","BASE")</definedName>
    <definedName name="TipoOrçamento" localSheetId="9">IF(OR(#REF!=#REF!,#REF!=#REF!),"LICITADO","BASE")</definedName>
    <definedName name="TipoOrçamento" localSheetId="7">IF(OR(#REF!=#REF!,#REF!=#REF!),"LICITADO","BASE")</definedName>
    <definedName name="TipoOrçamento" localSheetId="15">IF(OR(#REF!=#REF!,#REF!=#REF!),"LICITADO","BASE")</definedName>
    <definedName name="TipoOrçamento" localSheetId="13">IF(OR(#REF!=#REF!,#REF!=#REF!),"LICITADO","BASE")</definedName>
    <definedName name="TipoOrçamento" localSheetId="19">IF(OR(#REF!=#REF!,#REF!=#REF!),"LICITADO","BASE")</definedName>
    <definedName name="TipoOrçamento">IF(OR(#REF!=#REF!,#REF!=#REF!),"LICITADO","BASE")</definedName>
    <definedName name="_xlnm.Print_Titles" localSheetId="10">'Custo Drenagem'!$3:$22</definedName>
    <definedName name="_xlnm.Print_Titles" localSheetId="4">'Custo EBSs'!$3:$22</definedName>
    <definedName name="_xlnm.Print_Titles" localSheetId="2">'Custos Canais'!$3:$22</definedName>
    <definedName name="_xlnm.Print_Titles" localSheetId="8">'Custos On farm'!$3:$22</definedName>
    <definedName name="_xlnm.Print_Titles" localSheetId="14">'Custos Rede Baixa Pressão'!$2:$4</definedName>
    <definedName name="_xlnm.Print_Titles" localSheetId="12">'Custos Sistema Viário'!$3:$22</definedName>
    <definedName name="_xlnm.Print_Titles" localSheetId="17">DESMATAMENTO!$3:$22</definedName>
    <definedName name="_xlnm.Print_Titles" localSheetId="0">'Orçamento EBPs'!$3:$4</definedName>
    <definedName name="_xlnm.Print_Titles" localSheetId="6">'REDE PRESSURIZADA'!$3:$22</definedName>
    <definedName name="_xlnm.Print_Titles" localSheetId="3">'RESUMO CANAIS'!$1:$12</definedName>
    <definedName name="_xlnm.Print_Titles" localSheetId="11">'RESUMO DRENAGEM'!$1:$12</definedName>
    <definedName name="_xlnm.Print_Titles" localSheetId="1">'RESUMO EBP'!$1:$13</definedName>
    <definedName name="_xlnm.Print_Titles" localSheetId="5">'RESUMO EBSs'!$1:$12</definedName>
    <definedName name="_xlnm.Print_Titles" localSheetId="9">'RESUMO ON FARM'!$1:$12</definedName>
    <definedName name="_xlnm.Print_Titles" localSheetId="7">'RESUMO REDE'!$1:$12</definedName>
    <definedName name="_xlnm.Print_Titles" localSheetId="15">'RESUMO REDE BAIXA PRESSÃO'!$1:$12</definedName>
    <definedName name="_xlnm.Print_Titles" localSheetId="13">'RESUMO SISTEMA VIÁRIO'!$1:$12</definedName>
    <definedName name="_xlnm.Print_Titles" localSheetId="19">'RESUMO TOMADAS'!$1:$12</definedName>
    <definedName name="_xlnm.Print_Titles" localSheetId="16">'SERVIÇOS PRELIMINARES'!$3:$22</definedName>
    <definedName name="_xlnm.Print_Titles">#REF!</definedName>
    <definedName name="Z_00309A2A_F962_439A_9D96_09156C0A1CB4_.wvu.Cols" localSheetId="10" hidden="1">'Custo Drenagem'!#REF!</definedName>
    <definedName name="Z_00309A2A_F962_439A_9D96_09156C0A1CB4_.wvu.Cols" localSheetId="4" hidden="1">'Custo EBSs'!#REF!</definedName>
    <definedName name="Z_00309A2A_F962_439A_9D96_09156C0A1CB4_.wvu.Cols" localSheetId="2" hidden="1">'Custos Canais'!#REF!</definedName>
    <definedName name="Z_00309A2A_F962_439A_9D96_09156C0A1CB4_.wvu.Cols" localSheetId="8" hidden="1">'Custos On farm'!#REF!</definedName>
    <definedName name="Z_00309A2A_F962_439A_9D96_09156C0A1CB4_.wvu.Cols" localSheetId="14" hidden="1">'Custos Rede Baixa Pressão'!#REF!</definedName>
    <definedName name="Z_00309A2A_F962_439A_9D96_09156C0A1CB4_.wvu.Cols" localSheetId="12" hidden="1">'Custos Sistema Viário'!#REF!</definedName>
    <definedName name="Z_00309A2A_F962_439A_9D96_09156C0A1CB4_.wvu.Cols" localSheetId="17" hidden="1">DESMATAMENTO!#REF!</definedName>
    <definedName name="Z_00309A2A_F962_439A_9D96_09156C0A1CB4_.wvu.Cols" localSheetId="6" hidden="1">'REDE PRESSURIZADA'!#REF!</definedName>
    <definedName name="Z_00309A2A_F962_439A_9D96_09156C0A1CB4_.wvu.Cols" localSheetId="16" hidden="1">'SERVIÇOS PRELIMINARES'!#REF!</definedName>
    <definedName name="Z_00309A2A_F962_439A_9D96_09156C0A1CB4_.wvu.FilterData" localSheetId="10" hidden="1">'Custo Drenagem'!$B$22:$J$52</definedName>
    <definedName name="Z_00309A2A_F962_439A_9D96_09156C0A1CB4_.wvu.FilterData" localSheetId="4" hidden="1">'Custo EBSs'!$B$22:$J$832</definedName>
    <definedName name="Z_00309A2A_F962_439A_9D96_09156C0A1CB4_.wvu.FilterData" localSheetId="2" hidden="1">'Custos Canais'!$B$22:$J$296</definedName>
    <definedName name="Z_00309A2A_F962_439A_9D96_09156C0A1CB4_.wvu.FilterData" localSheetId="8" hidden="1">'Custos On farm'!$B$22:$J$197</definedName>
    <definedName name="Z_00309A2A_F962_439A_9D96_09156C0A1CB4_.wvu.FilterData" localSheetId="14" hidden="1">'Custos Rede Baixa Pressão'!$B$5:$J$37</definedName>
    <definedName name="Z_00309A2A_F962_439A_9D96_09156C0A1CB4_.wvu.FilterData" localSheetId="12" hidden="1">'Custos Sistema Viário'!$B$22:$J$33</definedName>
    <definedName name="Z_00309A2A_F962_439A_9D96_09156C0A1CB4_.wvu.FilterData" localSheetId="17" hidden="1">DESMATAMENTO!$A$22:$X$26</definedName>
    <definedName name="Z_00309A2A_F962_439A_9D96_09156C0A1CB4_.wvu.FilterData" localSheetId="6" hidden="1">'REDE PRESSURIZADA'!$B$22:$J$312</definedName>
    <definedName name="Z_00309A2A_F962_439A_9D96_09156C0A1CB4_.wvu.FilterData" localSheetId="16" hidden="1">'SERVIÇOS PRELIMINARES'!$A$22:$W$30</definedName>
    <definedName name="Z_00309A2A_F962_439A_9D96_09156C0A1CB4_.wvu.PrintArea" localSheetId="10" hidden="1">'Custo Drenagem'!$B$3:$J$53</definedName>
    <definedName name="Z_00309A2A_F962_439A_9D96_09156C0A1CB4_.wvu.PrintArea" localSheetId="4" hidden="1">'Custo EBSs'!$B$3:$J$832</definedName>
    <definedName name="Z_00309A2A_F962_439A_9D96_09156C0A1CB4_.wvu.PrintArea" localSheetId="2" hidden="1">'Custos Canais'!$B$3:$J$298</definedName>
    <definedName name="Z_00309A2A_F962_439A_9D96_09156C0A1CB4_.wvu.PrintArea" localSheetId="8" hidden="1">'Custos On farm'!$B$3:$J$197</definedName>
    <definedName name="Z_00309A2A_F962_439A_9D96_09156C0A1CB4_.wvu.PrintArea" localSheetId="14" hidden="1">'Custos Rede Baixa Pressão'!$B$2:$J$37</definedName>
    <definedName name="Z_00309A2A_F962_439A_9D96_09156C0A1CB4_.wvu.PrintArea" localSheetId="12" hidden="1">'Custos Sistema Viário'!$B$3:$J$33</definedName>
    <definedName name="Z_00309A2A_F962_439A_9D96_09156C0A1CB4_.wvu.PrintArea" localSheetId="17" hidden="1">DESMATAMENTO!$A$3:$X$26</definedName>
    <definedName name="Z_00309A2A_F962_439A_9D96_09156C0A1CB4_.wvu.PrintArea" localSheetId="6" hidden="1">'REDE PRESSURIZADA'!$B$3:$J$312</definedName>
    <definedName name="Z_00309A2A_F962_439A_9D96_09156C0A1CB4_.wvu.PrintArea" localSheetId="16" hidden="1">'SERVIÇOS PRELIMINARES'!$A$3:$W$30</definedName>
    <definedName name="Z_00309A2A_F962_439A_9D96_09156C0A1CB4_.wvu.PrintTitles" localSheetId="10" hidden="1">'Custo Drenagem'!$21:$22</definedName>
    <definedName name="Z_00309A2A_F962_439A_9D96_09156C0A1CB4_.wvu.PrintTitles" localSheetId="4" hidden="1">'Custo EBSs'!$21:$22</definedName>
    <definedName name="Z_00309A2A_F962_439A_9D96_09156C0A1CB4_.wvu.PrintTitles" localSheetId="2" hidden="1">'Custos Canais'!$21:$22</definedName>
    <definedName name="Z_00309A2A_F962_439A_9D96_09156C0A1CB4_.wvu.PrintTitles" localSheetId="8" hidden="1">'Custos On farm'!$21:$22</definedName>
    <definedName name="Z_00309A2A_F962_439A_9D96_09156C0A1CB4_.wvu.PrintTitles" localSheetId="14" hidden="1">'Custos Rede Baixa Pressão'!#REF!</definedName>
    <definedName name="Z_00309A2A_F962_439A_9D96_09156C0A1CB4_.wvu.PrintTitles" localSheetId="12" hidden="1">'Custos Sistema Viário'!$21:$22</definedName>
    <definedName name="Z_00309A2A_F962_439A_9D96_09156C0A1CB4_.wvu.PrintTitles" localSheetId="17" hidden="1">DESMATAMENTO!$21:$22</definedName>
    <definedName name="Z_00309A2A_F962_439A_9D96_09156C0A1CB4_.wvu.PrintTitles" localSheetId="6" hidden="1">'REDE PRESSURIZADA'!$21:$22</definedName>
    <definedName name="Z_00309A2A_F962_439A_9D96_09156C0A1CB4_.wvu.PrintTitles" localSheetId="16" hidden="1">'SERVIÇOS PRELIMINARES'!$21:$22</definedName>
    <definedName name="Z_00309A2A_F962_439A_9D96_09156C0A1CB4_.wvu.Rows" localSheetId="10" hidden="1">'Custo Drenagem'!#REF!,'Custo Drenagem'!#REF!,'Custo Drenagem'!#REF!,'Custo Drenagem'!#REF!,'Custo Drenagem'!#REF!,'Custo Drenagem'!#REF!,'Custo Drenagem'!#REF!,'Custo Drenagem'!#REF!,'Custo Drenagem'!#REF!,'Custo Drenagem'!#REF!,'Custo Drenagem'!#REF!,'Custo Drenagem'!#REF!,'Custo Drenagem'!#REF!,'Custo Drenagem'!$23:$51,'Custo Drenagem'!#REF!,'Custo Drenagem'!#REF!,'Custo Drenagem'!#REF!,'Custo Drenagem'!#REF!,'Custo Drenagem'!#REF!,'Custo Drenagem'!#REF!,'Custo Drenagem'!#REF!,'Custo Drenagem'!#REF!,'Custo Drenagem'!#REF!</definedName>
    <definedName name="Z_00309A2A_F962_439A_9D96_09156C0A1CB4_.wvu.Rows" localSheetId="4" hidden="1">'Custo EBSs'!#REF!,'Custo EBSs'!#REF!,'Custo EBSs'!#REF!,'Custo EBSs'!#REF!,'Custo EBSs'!#REF!,'Custo EBSs'!#REF!,'Custo EBSs'!#REF!,'Custo EBSs'!#REF!,'Custo EBSs'!$24:$831,'Custo EBSs'!#REF!,'Custo EBSs'!#REF!,'Custo EBSs'!#REF!,'Custo EBSs'!#REF!,'Custo EBSs'!#REF!,'Custo EBSs'!#REF!,'Custo EBSs'!#REF!,'Custo EBSs'!#REF!,'Custo EBSs'!#REF!,'Custo EBSs'!#REF!,'Custo EBSs'!#REF!,'Custo EBSs'!#REF!,'Custo EBSs'!#REF!,'Custo EBSs'!#REF!</definedName>
    <definedName name="Z_00309A2A_F962_439A_9D96_09156C0A1CB4_.wvu.Rows" localSheetId="2" hidden="1">'Custos Canais'!#REF!,'Custos Canais'!#REF!,'Custos Canais'!#REF!,'Custos Canais'!#REF!,'Custos Canais'!#REF!,'Custos Canais'!#REF!,'Custos Canais'!#REF!,'Custos Canais'!$24:$294,'Custos Canais'!#REF!,'Custos Canais'!#REF!,'Custos Canais'!#REF!,'Custos Canais'!#REF!,'Custos Canais'!#REF!,'Custos Canais'!#REF!,'Custos Canais'!#REF!,'Custos Canais'!#REF!,'Custos Canais'!#REF!,'Custos Canais'!#REF!,'Custos Canais'!#REF!,'Custos Canais'!#REF!,'Custos Canais'!#REF!,'Custos Canais'!#REF!,'Custos Canais'!#REF!</definedName>
    <definedName name="Z_00309A2A_F962_439A_9D96_09156C0A1CB4_.wvu.Rows" localSheetId="8" hidden="1">'Custos On farm'!#REF!,'Custos On farm'!#REF!,'Custos On farm'!#REF!,'Custos On farm'!#REF!,'Custos On farm'!#REF!,'Custos On farm'!#REF!,'Custos On farm'!#REF!,'Custos On farm'!#REF!,'Custos On farm'!#REF!,'Custos On farm'!#REF!,'Custos On farm'!#REF!,'Custos On farm'!#REF!,'Custos On farm'!$23:$196,'Custos On farm'!#REF!,'Custos On farm'!#REF!,'Custos On farm'!#REF!,'Custos On farm'!#REF!,'Custos On farm'!#REF!,'Custos On farm'!#REF!,'Custos On farm'!#REF!,'Custos On farm'!#REF!,'Custos On farm'!#REF!,'Custos On farm'!#REF!</definedName>
    <definedName name="Z_00309A2A_F962_439A_9D96_09156C0A1CB4_.wvu.Rows" localSheetId="14" hidden="1">'Custos Rede Baixa Pressão'!#REF!,'Custos Rede Baixa Pressão'!#REF!,'Custos Rede Baixa Pressão'!#REF!,'Custos Rede Baixa Pressão'!#REF!,'Custos Rede Baixa Pressão'!#REF!,'Custos Rede Baixa Pressão'!#REF!,'Custos Rede Baixa Pressão'!#REF!,'Custos Rede Baixa Pressão'!#REF!,'Custos Rede Baixa Pressão'!#REF!,'Custos Rede Baixa Pressão'!#REF!,'Custos Rede Baixa Pressão'!$5:$36,'Custos Rede Baixa Pressão'!#REF!,'Custos Rede Baixa Pressão'!#REF!,'Custos Rede Baixa Pressão'!#REF!,'Custos Rede Baixa Pressão'!#REF!,'Custos Rede Baixa Pressão'!#REF!,'Custos Rede Baixa Pressão'!#REF!,'Custos Rede Baixa Pressão'!#REF!,'Custos Rede Baixa Pressão'!#REF!,'Custos Rede Baixa Pressão'!#REF!,'Custos Rede Baixa Pressão'!#REF!,'Custos Rede Baixa Pressão'!#REF!,'Custos Rede Baixa Pressão'!#REF!</definedName>
    <definedName name="Z_00309A2A_F962_439A_9D96_09156C0A1CB4_.wvu.Rows" localSheetId="12" hidden="1">'Custos Sistema Viário'!#REF!,'Custos Sistema Viário'!#REF!,'Custos Sistema Viário'!#REF!,'Custos Sistema Viário'!#REF!,'Custos Sistema Viário'!#REF!,'Custos Sistema Viário'!#REF!,'Custos Sistema Viário'!#REF!,'Custos Sistema Viário'!#REF!,'Custos Sistema Viário'!#REF!,'Custos Sistema Viário'!#REF!,'Custos Sistema Viário'!#REF!,'Custos Sistema Viário'!#REF!,'Custos Sistema Viário'!#REF!,'Custos Sistema Viário'!#REF!,'Custos Sistema Viário'!$23:$32,'Custos Sistema Viário'!#REF!,'Custos Sistema Viário'!#REF!,'Custos Sistema Viário'!#REF!,'Custos Sistema Viário'!#REF!,'Custos Sistema Viário'!#REF!,'Custos Sistema Viário'!#REF!,'Custos Sistema Viário'!#REF!,'Custos Sistema Viário'!#REF!</definedName>
    <definedName name="Z_00309A2A_F962_439A_9D96_09156C0A1CB4_.wvu.Rows" localSheetId="17" hidden="1">DESMATAMENTO!#REF!,DESMATAMENTO!#REF!,DESMATAMENTO!#REF!,DESMATAMENTO!#REF!,DESMATAMENTO!#REF!,DESMATAMENTO!#REF!,DESMATAMENTO!#REF!,DESMATAMENTO!#REF!,DESMATAMENTO!#REF!,DESMATAMENTO!#REF!,DESMATAMENTO!#REF!,DESMATAMENTO!$23:$26,DESMATAMENTO!#REF!,DESMATAMENTO!#REF!,DESMATAMENTO!#REF!,DESMATAMENTO!#REF!,DESMATAMENTO!#REF!,DESMATAMENTO!#REF!,DESMATAMENTO!#REF!,DESMATAMENTO!#REF!,DESMATAMENTO!#REF!,DESMATAMENTO!#REF!,DESMATAMENTO!#REF!</definedName>
    <definedName name="Z_00309A2A_F962_439A_9D96_09156C0A1CB4_.wvu.Rows" localSheetId="6" hidden="1">'REDE PRESSURIZADA'!#REF!,'REDE PRESSURIZADA'!#REF!,'REDE PRESSURIZADA'!#REF!,'REDE PRESSURIZADA'!#REF!,'REDE PRESSURIZADA'!#REF!,'REDE PRESSURIZADA'!#REF!,'REDE PRESSURIZADA'!#REF!,'REDE PRESSURIZADA'!#REF!,'REDE PRESSURIZADA'!#REF!,'REDE PRESSURIZADA'!$23:$311,'REDE PRESSURIZADA'!#REF!,'REDE PRESSURIZADA'!#REF!,'REDE PRESSURIZADA'!#REF!,'REDE PRESSURIZADA'!#REF!,'REDE PRESSURIZADA'!#REF!,'REDE PRESSURIZADA'!#REF!,'REDE PRESSURIZADA'!#REF!,'REDE PRESSURIZADA'!#REF!,'REDE PRESSURIZADA'!#REF!,'REDE PRESSURIZADA'!#REF!,'REDE PRESSURIZADA'!#REF!,'REDE PRESSURIZADA'!#REF!,'REDE PRESSURIZADA'!#REF!</definedName>
    <definedName name="Z_00309A2A_F962_439A_9D96_09156C0A1CB4_.wvu.Rows" localSheetId="16" hidden="1">'SERVIÇOS PRELIMINARES'!$24:$27,'SERVIÇOS PRELIMINARES'!#REF!,'SERVIÇOS PRELIMINARES'!#REF!,'SERVIÇOS PRELIMINARES'!#REF!,'SERVIÇOS PRELIMINARES'!#REF!,'SERVIÇOS PRELIMINARES'!#REF!,'SERVIÇOS PRELIMINARES'!#REF!,'SERVIÇOS PRELIMINARES'!#REF!,'SERVIÇOS PRELIMINARES'!#REF!,'SERVIÇOS PRELIMINARES'!#REF!,'SERVIÇOS PRELIMINARES'!#REF!,'SERVIÇOS PRELIMINARES'!#REF!,'SERVIÇOS PRELIMINARES'!#REF!,'SERVIÇOS PRELIMINARES'!#REF!,'SERVIÇOS PRELIMINARES'!#REF!,'SERVIÇOS PRELIMINARES'!#REF!,'SERVIÇOS PRELIMINARES'!#REF!,'SERVIÇOS PRELIMINARES'!#REF!,'SERVIÇOS PRELIMINARES'!#REF!,'SERVIÇOS PRELIMINARES'!#REF!,'SERVIÇOS PRELIMINARES'!#REF!,'SERVIÇOS PRELIMINARES'!#REF!,'SERVIÇOS PRELIMINARES'!#REF!</definedName>
    <definedName name="Z_0096CA02_8D77_4A60_B2BD_5F325D07FA81_.wvu.FilterData" localSheetId="10" hidden="1">'Custo Drenagem'!$B$22:$J$52</definedName>
    <definedName name="Z_0096CA02_8D77_4A60_B2BD_5F325D07FA81_.wvu.FilterData" localSheetId="4" hidden="1">'Custo EBSs'!$B$22:$J$832</definedName>
    <definedName name="Z_0096CA02_8D77_4A60_B2BD_5F325D07FA81_.wvu.FilterData" localSheetId="2" hidden="1">'Custos Canais'!$B$22:$J$296</definedName>
    <definedName name="Z_0096CA02_8D77_4A60_B2BD_5F325D07FA81_.wvu.FilterData" localSheetId="8" hidden="1">'Custos On farm'!$B$22:$J$197</definedName>
    <definedName name="Z_0096CA02_8D77_4A60_B2BD_5F325D07FA81_.wvu.FilterData" localSheetId="14" hidden="1">'Custos Rede Baixa Pressão'!$B$5:$J$37</definedName>
    <definedName name="Z_0096CA02_8D77_4A60_B2BD_5F325D07FA81_.wvu.FilterData" localSheetId="12" hidden="1">'Custos Sistema Viário'!$B$22:$J$33</definedName>
    <definedName name="Z_0096CA02_8D77_4A60_B2BD_5F325D07FA81_.wvu.FilterData" localSheetId="17" hidden="1">DESMATAMENTO!$A$22:$X$26</definedName>
    <definedName name="Z_0096CA02_8D77_4A60_B2BD_5F325D07FA81_.wvu.FilterData" localSheetId="6" hidden="1">'REDE PRESSURIZADA'!$B$22:$J$312</definedName>
    <definedName name="Z_0096CA02_8D77_4A60_B2BD_5F325D07FA81_.wvu.FilterData" localSheetId="16" hidden="1">'SERVIÇOS PRELIMINARES'!$A$22:$W$30</definedName>
    <definedName name="Z_00D8EA6D_0C77_4526_8751_175A7A7E1061_.wvu.FilterData" localSheetId="10" hidden="1">'Custo Drenagem'!$B$22:$J$52</definedName>
    <definedName name="Z_00D8EA6D_0C77_4526_8751_175A7A7E1061_.wvu.FilterData" localSheetId="4" hidden="1">'Custo EBSs'!$B$22:$J$832</definedName>
    <definedName name="Z_00D8EA6D_0C77_4526_8751_175A7A7E1061_.wvu.FilterData" localSheetId="2" hidden="1">'Custos Canais'!$B$22:$J$296</definedName>
    <definedName name="Z_00D8EA6D_0C77_4526_8751_175A7A7E1061_.wvu.FilterData" localSheetId="8" hidden="1">'Custos On farm'!$B$22:$J$197</definedName>
    <definedName name="Z_00D8EA6D_0C77_4526_8751_175A7A7E1061_.wvu.FilterData" localSheetId="14" hidden="1">'Custos Rede Baixa Pressão'!$B$5:$J$37</definedName>
    <definedName name="Z_00D8EA6D_0C77_4526_8751_175A7A7E1061_.wvu.FilterData" localSheetId="12" hidden="1">'Custos Sistema Viário'!$B$22:$J$33</definedName>
    <definedName name="Z_00D8EA6D_0C77_4526_8751_175A7A7E1061_.wvu.FilterData" localSheetId="17" hidden="1">DESMATAMENTO!$A$22:$X$26</definedName>
    <definedName name="Z_00D8EA6D_0C77_4526_8751_175A7A7E1061_.wvu.FilterData" localSheetId="6" hidden="1">'REDE PRESSURIZADA'!$B$22:$J$312</definedName>
    <definedName name="Z_00D8EA6D_0C77_4526_8751_175A7A7E1061_.wvu.FilterData" localSheetId="16" hidden="1">'SERVIÇOS PRELIMINARES'!$A$22:$W$30</definedName>
    <definedName name="Z_039E1BC5_CDF2_468D_BD8B_B28D4EE573FD_.wvu.FilterData" localSheetId="10" hidden="1">'Custo Drenagem'!$B$22:$J$52</definedName>
    <definedName name="Z_039E1BC5_CDF2_468D_BD8B_B28D4EE573FD_.wvu.FilterData" localSheetId="4" hidden="1">'Custo EBSs'!$B$22:$J$832</definedName>
    <definedName name="Z_039E1BC5_CDF2_468D_BD8B_B28D4EE573FD_.wvu.FilterData" localSheetId="2" hidden="1">'Custos Canais'!$B$22:$J$296</definedName>
    <definedName name="Z_039E1BC5_CDF2_468D_BD8B_B28D4EE573FD_.wvu.FilterData" localSheetId="8" hidden="1">'Custos On farm'!$B$22:$J$197</definedName>
    <definedName name="Z_039E1BC5_CDF2_468D_BD8B_B28D4EE573FD_.wvu.FilterData" localSheetId="14" hidden="1">'Custos Rede Baixa Pressão'!$B$5:$J$37</definedName>
    <definedName name="Z_039E1BC5_CDF2_468D_BD8B_B28D4EE573FD_.wvu.FilterData" localSheetId="12" hidden="1">'Custos Sistema Viário'!$B$22:$J$33</definedName>
    <definedName name="Z_039E1BC5_CDF2_468D_BD8B_B28D4EE573FD_.wvu.FilterData" localSheetId="17" hidden="1">DESMATAMENTO!$A$22:$X$26</definedName>
    <definedName name="Z_039E1BC5_CDF2_468D_BD8B_B28D4EE573FD_.wvu.FilterData" localSheetId="6" hidden="1">'REDE PRESSURIZADA'!$B$22:$J$312</definedName>
    <definedName name="Z_039E1BC5_CDF2_468D_BD8B_B28D4EE573FD_.wvu.FilterData" localSheetId="16" hidden="1">'SERVIÇOS PRELIMINARES'!$A$22:$W$30</definedName>
    <definedName name="Z_03EF8853_8FE9_4B30_8C3C_F31818DAC50A_.wvu.FilterData" localSheetId="10" hidden="1">'Custo Drenagem'!$B$22:$J$52</definedName>
    <definedName name="Z_03EF8853_8FE9_4B30_8C3C_F31818DAC50A_.wvu.FilterData" localSheetId="4" hidden="1">'Custo EBSs'!$B$22:$J$832</definedName>
    <definedName name="Z_03EF8853_8FE9_4B30_8C3C_F31818DAC50A_.wvu.FilterData" localSheetId="2" hidden="1">'Custos Canais'!$B$22:$J$296</definedName>
    <definedName name="Z_03EF8853_8FE9_4B30_8C3C_F31818DAC50A_.wvu.FilterData" localSheetId="8" hidden="1">'Custos On farm'!$B$22:$J$197</definedName>
    <definedName name="Z_03EF8853_8FE9_4B30_8C3C_F31818DAC50A_.wvu.FilterData" localSheetId="14" hidden="1">'Custos Rede Baixa Pressão'!$B$5:$J$37</definedName>
    <definedName name="Z_03EF8853_8FE9_4B30_8C3C_F31818DAC50A_.wvu.FilterData" localSheetId="12" hidden="1">'Custos Sistema Viário'!$B$22:$J$33</definedName>
    <definedName name="Z_03EF8853_8FE9_4B30_8C3C_F31818DAC50A_.wvu.FilterData" localSheetId="17" hidden="1">DESMATAMENTO!$A$22:$X$26</definedName>
    <definedName name="Z_03EF8853_8FE9_4B30_8C3C_F31818DAC50A_.wvu.FilterData" localSheetId="6" hidden="1">'REDE PRESSURIZADA'!$B$22:$J$312</definedName>
    <definedName name="Z_03EF8853_8FE9_4B30_8C3C_F31818DAC50A_.wvu.FilterData" localSheetId="16" hidden="1">'SERVIÇOS PRELIMINARES'!$A$22:$W$30</definedName>
    <definedName name="Z_05B2A7F7_1E19_4546_B02C_A9C1653E9D18_.wvu.FilterData" localSheetId="10" hidden="1">'Custo Drenagem'!$B$22:$J$52</definedName>
    <definedName name="Z_05B2A7F7_1E19_4546_B02C_A9C1653E9D18_.wvu.FilterData" localSheetId="4" hidden="1">'Custo EBSs'!$B$22:$J$832</definedName>
    <definedName name="Z_05B2A7F7_1E19_4546_B02C_A9C1653E9D18_.wvu.FilterData" localSheetId="2" hidden="1">'Custos Canais'!$B$22:$J$296</definedName>
    <definedName name="Z_05B2A7F7_1E19_4546_B02C_A9C1653E9D18_.wvu.FilterData" localSheetId="8" hidden="1">'Custos On farm'!$B$22:$J$197</definedName>
    <definedName name="Z_05B2A7F7_1E19_4546_B02C_A9C1653E9D18_.wvu.FilterData" localSheetId="14" hidden="1">'Custos Rede Baixa Pressão'!$B$5:$J$37</definedName>
    <definedName name="Z_05B2A7F7_1E19_4546_B02C_A9C1653E9D18_.wvu.FilterData" localSheetId="12" hidden="1">'Custos Sistema Viário'!$B$22:$J$33</definedName>
    <definedName name="Z_05B2A7F7_1E19_4546_B02C_A9C1653E9D18_.wvu.FilterData" localSheetId="17" hidden="1">DESMATAMENTO!$A$22:$X$26</definedName>
    <definedName name="Z_05B2A7F7_1E19_4546_B02C_A9C1653E9D18_.wvu.FilterData" localSheetId="6" hidden="1">'REDE PRESSURIZADA'!$B$22:$J$312</definedName>
    <definedName name="Z_05B2A7F7_1E19_4546_B02C_A9C1653E9D18_.wvu.FilterData" localSheetId="16" hidden="1">'SERVIÇOS PRELIMINARES'!$A$22:$W$30</definedName>
    <definedName name="Z_08EA23E3_E4CC_4CD5_A5A7_243F3C796435_.wvu.FilterData" localSheetId="10" hidden="1">'Custo Drenagem'!$B$22:$J$52</definedName>
    <definedName name="Z_08EA23E3_E4CC_4CD5_A5A7_243F3C796435_.wvu.FilterData" localSheetId="4" hidden="1">'Custo EBSs'!$B$22:$J$832</definedName>
    <definedName name="Z_08EA23E3_E4CC_4CD5_A5A7_243F3C796435_.wvu.FilterData" localSheetId="2" hidden="1">'Custos Canais'!$B$22:$J$296</definedName>
    <definedName name="Z_08EA23E3_E4CC_4CD5_A5A7_243F3C796435_.wvu.FilterData" localSheetId="8" hidden="1">'Custos On farm'!$B$22:$J$197</definedName>
    <definedName name="Z_08EA23E3_E4CC_4CD5_A5A7_243F3C796435_.wvu.FilterData" localSheetId="14" hidden="1">'Custos Rede Baixa Pressão'!$B$5:$J$37</definedName>
    <definedName name="Z_08EA23E3_E4CC_4CD5_A5A7_243F3C796435_.wvu.FilterData" localSheetId="12" hidden="1">'Custos Sistema Viário'!$B$22:$J$33</definedName>
    <definedName name="Z_08EA23E3_E4CC_4CD5_A5A7_243F3C796435_.wvu.FilterData" localSheetId="17" hidden="1">DESMATAMENTO!$A$22:$X$26</definedName>
    <definedName name="Z_08EA23E3_E4CC_4CD5_A5A7_243F3C796435_.wvu.FilterData" localSheetId="6" hidden="1">'REDE PRESSURIZADA'!$B$22:$J$312</definedName>
    <definedName name="Z_08EA23E3_E4CC_4CD5_A5A7_243F3C796435_.wvu.FilterData" localSheetId="16" hidden="1">'SERVIÇOS PRELIMINARES'!$A$22:$W$30</definedName>
    <definedName name="Z_09078148_41B0_4B49_8F1C_16E6124AA022_.wvu.FilterData" localSheetId="10" hidden="1">'Custo Drenagem'!$B$22:$J$52</definedName>
    <definedName name="Z_09078148_41B0_4B49_8F1C_16E6124AA022_.wvu.FilterData" localSheetId="4" hidden="1">'Custo EBSs'!$B$22:$J$832</definedName>
    <definedName name="Z_09078148_41B0_4B49_8F1C_16E6124AA022_.wvu.FilterData" localSheetId="2" hidden="1">'Custos Canais'!$B$22:$J$296</definedName>
    <definedName name="Z_09078148_41B0_4B49_8F1C_16E6124AA022_.wvu.FilterData" localSheetId="8" hidden="1">'Custos On farm'!$B$22:$J$197</definedName>
    <definedName name="Z_09078148_41B0_4B49_8F1C_16E6124AA022_.wvu.FilterData" localSheetId="14" hidden="1">'Custos Rede Baixa Pressão'!$B$5:$J$37</definedName>
    <definedName name="Z_09078148_41B0_4B49_8F1C_16E6124AA022_.wvu.FilterData" localSheetId="12" hidden="1">'Custos Sistema Viário'!$B$22:$J$33</definedName>
    <definedName name="Z_09078148_41B0_4B49_8F1C_16E6124AA022_.wvu.FilterData" localSheetId="17" hidden="1">DESMATAMENTO!$A$22:$X$26</definedName>
    <definedName name="Z_09078148_41B0_4B49_8F1C_16E6124AA022_.wvu.FilterData" localSheetId="6" hidden="1">'REDE PRESSURIZADA'!$B$22:$J$312</definedName>
    <definedName name="Z_09078148_41B0_4B49_8F1C_16E6124AA022_.wvu.FilterData" localSheetId="16" hidden="1">'SERVIÇOS PRELIMINARES'!$A$22:$W$30</definedName>
    <definedName name="Z_09A2828F_CFF5_420F_9E6C_9E8978DFBC09_.wvu.FilterData" localSheetId="10" hidden="1">'Custo Drenagem'!$B$22:$J$52</definedName>
    <definedName name="Z_09A2828F_CFF5_420F_9E6C_9E8978DFBC09_.wvu.FilterData" localSheetId="4" hidden="1">'Custo EBSs'!$B$22:$J$832</definedName>
    <definedName name="Z_09A2828F_CFF5_420F_9E6C_9E8978DFBC09_.wvu.FilterData" localSheetId="2" hidden="1">'Custos Canais'!$B$22:$J$296</definedName>
    <definedName name="Z_09A2828F_CFF5_420F_9E6C_9E8978DFBC09_.wvu.FilterData" localSheetId="8" hidden="1">'Custos On farm'!$B$22:$J$197</definedName>
    <definedName name="Z_09A2828F_CFF5_420F_9E6C_9E8978DFBC09_.wvu.FilterData" localSheetId="14" hidden="1">'Custos Rede Baixa Pressão'!$B$5:$J$37</definedName>
    <definedName name="Z_09A2828F_CFF5_420F_9E6C_9E8978DFBC09_.wvu.FilterData" localSheetId="12" hidden="1">'Custos Sistema Viário'!$B$22:$J$33</definedName>
    <definedName name="Z_09A2828F_CFF5_420F_9E6C_9E8978DFBC09_.wvu.FilterData" localSheetId="17" hidden="1">DESMATAMENTO!$A$22:$X$26</definedName>
    <definedName name="Z_09A2828F_CFF5_420F_9E6C_9E8978DFBC09_.wvu.FilterData" localSheetId="6" hidden="1">'REDE PRESSURIZADA'!$B$22:$J$312</definedName>
    <definedName name="Z_09A2828F_CFF5_420F_9E6C_9E8978DFBC09_.wvu.FilterData" localSheetId="16" hidden="1">'SERVIÇOS PRELIMINARES'!$A$22:$W$30</definedName>
    <definedName name="Z_0C0EF2A1_C9AC_45DB_8243_4C6BD23F9109_.wvu.FilterData" localSheetId="10" hidden="1">'Custo Drenagem'!$B$22:$J$52</definedName>
    <definedName name="Z_0C0EF2A1_C9AC_45DB_8243_4C6BD23F9109_.wvu.FilterData" localSheetId="4" hidden="1">'Custo EBSs'!$B$22:$J$832</definedName>
    <definedName name="Z_0C0EF2A1_C9AC_45DB_8243_4C6BD23F9109_.wvu.FilterData" localSheetId="2" hidden="1">'Custos Canais'!$B$22:$J$296</definedName>
    <definedName name="Z_0C0EF2A1_C9AC_45DB_8243_4C6BD23F9109_.wvu.FilterData" localSheetId="8" hidden="1">'Custos On farm'!$B$22:$J$197</definedName>
    <definedName name="Z_0C0EF2A1_C9AC_45DB_8243_4C6BD23F9109_.wvu.FilterData" localSheetId="14" hidden="1">'Custos Rede Baixa Pressão'!$B$5:$J$37</definedName>
    <definedName name="Z_0C0EF2A1_C9AC_45DB_8243_4C6BD23F9109_.wvu.FilterData" localSheetId="12" hidden="1">'Custos Sistema Viário'!$B$22:$J$33</definedName>
    <definedName name="Z_0C0EF2A1_C9AC_45DB_8243_4C6BD23F9109_.wvu.FilterData" localSheetId="17" hidden="1">DESMATAMENTO!$A$22:$X$26</definedName>
    <definedName name="Z_0C0EF2A1_C9AC_45DB_8243_4C6BD23F9109_.wvu.FilterData" localSheetId="6" hidden="1">'REDE PRESSURIZADA'!$B$22:$J$312</definedName>
    <definedName name="Z_0C0EF2A1_C9AC_45DB_8243_4C6BD23F9109_.wvu.FilterData" localSheetId="16" hidden="1">'SERVIÇOS PRELIMINARES'!$A$22:$W$30</definedName>
    <definedName name="Z_10BB919E_4BD7_4A2F_BDDB_BF6D0D406729_.wvu.FilterData" localSheetId="10" hidden="1">'Custo Drenagem'!$B$22:$J$52</definedName>
    <definedName name="Z_10BB919E_4BD7_4A2F_BDDB_BF6D0D406729_.wvu.FilterData" localSheetId="4" hidden="1">'Custo EBSs'!$B$22:$J$832</definedName>
    <definedName name="Z_10BB919E_4BD7_4A2F_BDDB_BF6D0D406729_.wvu.FilterData" localSheetId="2" hidden="1">'Custos Canais'!$B$22:$J$296</definedName>
    <definedName name="Z_10BB919E_4BD7_4A2F_BDDB_BF6D0D406729_.wvu.FilterData" localSheetId="8" hidden="1">'Custos On farm'!$B$22:$J$197</definedName>
    <definedName name="Z_10BB919E_4BD7_4A2F_BDDB_BF6D0D406729_.wvu.FilterData" localSheetId="14" hidden="1">'Custos Rede Baixa Pressão'!$B$5:$J$37</definedName>
    <definedName name="Z_10BB919E_4BD7_4A2F_BDDB_BF6D0D406729_.wvu.FilterData" localSheetId="12" hidden="1">'Custos Sistema Viário'!$B$22:$J$33</definedName>
    <definedName name="Z_10BB919E_4BD7_4A2F_BDDB_BF6D0D406729_.wvu.FilterData" localSheetId="17" hidden="1">DESMATAMENTO!$A$22:$X$26</definedName>
    <definedName name="Z_10BB919E_4BD7_4A2F_BDDB_BF6D0D406729_.wvu.FilterData" localSheetId="6" hidden="1">'REDE PRESSURIZADA'!$B$22:$J$312</definedName>
    <definedName name="Z_10BB919E_4BD7_4A2F_BDDB_BF6D0D406729_.wvu.FilterData" localSheetId="16" hidden="1">'SERVIÇOS PRELIMINARES'!$A$22:$W$30</definedName>
    <definedName name="Z_11C0D0C8_B765_4467_8ABB_33065BF3BC0F_.wvu.FilterData" localSheetId="10" hidden="1">'Custo Drenagem'!$B$22:$J$52</definedName>
    <definedName name="Z_11C0D0C8_B765_4467_8ABB_33065BF3BC0F_.wvu.FilterData" localSheetId="4" hidden="1">'Custo EBSs'!$B$22:$J$832</definedName>
    <definedName name="Z_11C0D0C8_B765_4467_8ABB_33065BF3BC0F_.wvu.FilterData" localSheetId="2" hidden="1">'Custos Canais'!$B$22:$J$296</definedName>
    <definedName name="Z_11C0D0C8_B765_4467_8ABB_33065BF3BC0F_.wvu.FilterData" localSheetId="8" hidden="1">'Custos On farm'!$B$22:$J$197</definedName>
    <definedName name="Z_11C0D0C8_B765_4467_8ABB_33065BF3BC0F_.wvu.FilterData" localSheetId="14" hidden="1">'Custos Rede Baixa Pressão'!$B$5:$J$37</definedName>
    <definedName name="Z_11C0D0C8_B765_4467_8ABB_33065BF3BC0F_.wvu.FilterData" localSheetId="12" hidden="1">'Custos Sistema Viário'!$B$22:$J$33</definedName>
    <definedName name="Z_11C0D0C8_B765_4467_8ABB_33065BF3BC0F_.wvu.FilterData" localSheetId="17" hidden="1">DESMATAMENTO!$A$22:$X$26</definedName>
    <definedName name="Z_11C0D0C8_B765_4467_8ABB_33065BF3BC0F_.wvu.FilterData" localSheetId="6" hidden="1">'REDE PRESSURIZADA'!$B$22:$J$312</definedName>
    <definedName name="Z_11C0D0C8_B765_4467_8ABB_33065BF3BC0F_.wvu.FilterData" localSheetId="16" hidden="1">'SERVIÇOS PRELIMINARES'!$A$22:$W$30</definedName>
    <definedName name="Z_122856E6_D0C7_4D23_8CA6_13EECE9BBA06_.wvu.FilterData" localSheetId="10" hidden="1">'Custo Drenagem'!$B$22:$J$52</definedName>
    <definedName name="Z_122856E6_D0C7_4D23_8CA6_13EECE9BBA06_.wvu.FilterData" localSheetId="4" hidden="1">'Custo EBSs'!$B$22:$J$832</definedName>
    <definedName name="Z_122856E6_D0C7_4D23_8CA6_13EECE9BBA06_.wvu.FilterData" localSheetId="2" hidden="1">'Custos Canais'!$B$22:$J$296</definedName>
    <definedName name="Z_122856E6_D0C7_4D23_8CA6_13EECE9BBA06_.wvu.FilterData" localSheetId="8" hidden="1">'Custos On farm'!$B$22:$J$197</definedName>
    <definedName name="Z_122856E6_D0C7_4D23_8CA6_13EECE9BBA06_.wvu.FilterData" localSheetId="14" hidden="1">'Custos Rede Baixa Pressão'!$B$5:$J$37</definedName>
    <definedName name="Z_122856E6_D0C7_4D23_8CA6_13EECE9BBA06_.wvu.FilterData" localSheetId="12" hidden="1">'Custos Sistema Viário'!$B$22:$J$33</definedName>
    <definedName name="Z_122856E6_D0C7_4D23_8CA6_13EECE9BBA06_.wvu.FilterData" localSheetId="17" hidden="1">DESMATAMENTO!$A$22:$X$26</definedName>
    <definedName name="Z_122856E6_D0C7_4D23_8CA6_13EECE9BBA06_.wvu.FilterData" localSheetId="6" hidden="1">'REDE PRESSURIZADA'!$B$22:$J$312</definedName>
    <definedName name="Z_122856E6_D0C7_4D23_8CA6_13EECE9BBA06_.wvu.FilterData" localSheetId="16" hidden="1">'SERVIÇOS PRELIMINARES'!$A$22:$W$30</definedName>
    <definedName name="Z_12DE61B3_F4F6_4E5C_A41C_E6FD5A033F11_.wvu.FilterData" localSheetId="10" hidden="1">'Custo Drenagem'!$B$22:$J$52</definedName>
    <definedName name="Z_12DE61B3_F4F6_4E5C_A41C_E6FD5A033F11_.wvu.FilterData" localSheetId="4" hidden="1">'Custo EBSs'!$B$22:$J$832</definedName>
    <definedName name="Z_12DE61B3_F4F6_4E5C_A41C_E6FD5A033F11_.wvu.FilterData" localSheetId="2" hidden="1">'Custos Canais'!$B$22:$J$296</definedName>
    <definedName name="Z_12DE61B3_F4F6_4E5C_A41C_E6FD5A033F11_.wvu.FilterData" localSheetId="8" hidden="1">'Custos On farm'!$B$22:$J$197</definedName>
    <definedName name="Z_12DE61B3_F4F6_4E5C_A41C_E6FD5A033F11_.wvu.FilterData" localSheetId="14" hidden="1">'Custos Rede Baixa Pressão'!$B$5:$J$37</definedName>
    <definedName name="Z_12DE61B3_F4F6_4E5C_A41C_E6FD5A033F11_.wvu.FilterData" localSheetId="12" hidden="1">'Custos Sistema Viário'!$B$22:$J$33</definedName>
    <definedName name="Z_12DE61B3_F4F6_4E5C_A41C_E6FD5A033F11_.wvu.FilterData" localSheetId="17" hidden="1">DESMATAMENTO!$A$22:$X$26</definedName>
    <definedName name="Z_12DE61B3_F4F6_4E5C_A41C_E6FD5A033F11_.wvu.FilterData" localSheetId="6" hidden="1">'REDE PRESSURIZADA'!$B$22:$J$312</definedName>
    <definedName name="Z_12DE61B3_F4F6_4E5C_A41C_E6FD5A033F11_.wvu.FilterData" localSheetId="16" hidden="1">'SERVIÇOS PRELIMINARES'!$A$22:$W$30</definedName>
    <definedName name="Z_148A7693_25A5_4AC8_B8A4_CB874FF7424C_.wvu.FilterData" localSheetId="10" hidden="1">'Custo Drenagem'!$B$22:$J$52</definedName>
    <definedName name="Z_148A7693_25A5_4AC8_B8A4_CB874FF7424C_.wvu.FilterData" localSheetId="4" hidden="1">'Custo EBSs'!$B$22:$J$832</definedName>
    <definedName name="Z_148A7693_25A5_4AC8_B8A4_CB874FF7424C_.wvu.FilterData" localSheetId="2" hidden="1">'Custos Canais'!$B$22:$J$296</definedName>
    <definedName name="Z_148A7693_25A5_4AC8_B8A4_CB874FF7424C_.wvu.FilterData" localSheetId="8" hidden="1">'Custos On farm'!$B$22:$J$197</definedName>
    <definedName name="Z_148A7693_25A5_4AC8_B8A4_CB874FF7424C_.wvu.FilterData" localSheetId="14" hidden="1">'Custos Rede Baixa Pressão'!$B$5:$J$37</definedName>
    <definedName name="Z_148A7693_25A5_4AC8_B8A4_CB874FF7424C_.wvu.FilterData" localSheetId="12" hidden="1">'Custos Sistema Viário'!$B$22:$J$33</definedName>
    <definedName name="Z_148A7693_25A5_4AC8_B8A4_CB874FF7424C_.wvu.FilterData" localSheetId="17" hidden="1">DESMATAMENTO!$A$22:$X$26</definedName>
    <definedName name="Z_148A7693_25A5_4AC8_B8A4_CB874FF7424C_.wvu.FilterData" localSheetId="6" hidden="1">'REDE PRESSURIZADA'!$B$22:$J$312</definedName>
    <definedName name="Z_148A7693_25A5_4AC8_B8A4_CB874FF7424C_.wvu.FilterData" localSheetId="16" hidden="1">'SERVIÇOS PRELIMINARES'!$A$22:$W$30</definedName>
    <definedName name="Z_15BF021A_D460_4987_81D7_B06106BCA2CE_.wvu.FilterData" localSheetId="10" hidden="1">'Custo Drenagem'!$B$22:$J$52</definedName>
    <definedName name="Z_15BF021A_D460_4987_81D7_B06106BCA2CE_.wvu.FilterData" localSheetId="4" hidden="1">'Custo EBSs'!$B$22:$J$832</definedName>
    <definedName name="Z_15BF021A_D460_4987_81D7_B06106BCA2CE_.wvu.FilterData" localSheetId="2" hidden="1">'Custos Canais'!$B$22:$J$296</definedName>
    <definedName name="Z_15BF021A_D460_4987_81D7_B06106BCA2CE_.wvu.FilterData" localSheetId="8" hidden="1">'Custos On farm'!$B$22:$J$197</definedName>
    <definedName name="Z_15BF021A_D460_4987_81D7_B06106BCA2CE_.wvu.FilterData" localSheetId="14" hidden="1">'Custos Rede Baixa Pressão'!$B$5:$J$37</definedName>
    <definedName name="Z_15BF021A_D460_4987_81D7_B06106BCA2CE_.wvu.FilterData" localSheetId="12" hidden="1">'Custos Sistema Viário'!$B$22:$J$33</definedName>
    <definedName name="Z_15BF021A_D460_4987_81D7_B06106BCA2CE_.wvu.FilterData" localSheetId="17" hidden="1">DESMATAMENTO!$A$22:$X$26</definedName>
    <definedName name="Z_15BF021A_D460_4987_81D7_B06106BCA2CE_.wvu.FilterData" localSheetId="6" hidden="1">'REDE PRESSURIZADA'!$B$22:$J$312</definedName>
    <definedName name="Z_15BF021A_D460_4987_81D7_B06106BCA2CE_.wvu.FilterData" localSheetId="16" hidden="1">'SERVIÇOS PRELIMINARES'!$A$22:$W$30</definedName>
    <definedName name="Z_17649EC9_6EF2_4AF6_BE54_2EAB0281F6E3_.wvu.FilterData" localSheetId="10" hidden="1">'Custo Drenagem'!$B$22:$J$52</definedName>
    <definedName name="Z_17649EC9_6EF2_4AF6_BE54_2EAB0281F6E3_.wvu.FilterData" localSheetId="4" hidden="1">'Custo EBSs'!$B$22:$J$832</definedName>
    <definedName name="Z_17649EC9_6EF2_4AF6_BE54_2EAB0281F6E3_.wvu.FilterData" localSheetId="2" hidden="1">'Custos Canais'!$B$22:$J$296</definedName>
    <definedName name="Z_17649EC9_6EF2_4AF6_BE54_2EAB0281F6E3_.wvu.FilterData" localSheetId="8" hidden="1">'Custos On farm'!$B$22:$J$197</definedName>
    <definedName name="Z_17649EC9_6EF2_4AF6_BE54_2EAB0281F6E3_.wvu.FilterData" localSheetId="14" hidden="1">'Custos Rede Baixa Pressão'!$B$5:$J$37</definedName>
    <definedName name="Z_17649EC9_6EF2_4AF6_BE54_2EAB0281F6E3_.wvu.FilterData" localSheetId="12" hidden="1">'Custos Sistema Viário'!$B$22:$J$33</definedName>
    <definedName name="Z_17649EC9_6EF2_4AF6_BE54_2EAB0281F6E3_.wvu.FilterData" localSheetId="17" hidden="1">DESMATAMENTO!$A$22:$X$26</definedName>
    <definedName name="Z_17649EC9_6EF2_4AF6_BE54_2EAB0281F6E3_.wvu.FilterData" localSheetId="6" hidden="1">'REDE PRESSURIZADA'!$B$22:$J$312</definedName>
    <definedName name="Z_17649EC9_6EF2_4AF6_BE54_2EAB0281F6E3_.wvu.FilterData" localSheetId="16" hidden="1">'SERVIÇOS PRELIMINARES'!$A$22:$W$30</definedName>
    <definedName name="Z_18069210_94DF_4C76_B85E_1DF4DC4A4E48_.wvu.FilterData" localSheetId="10" hidden="1">'Custo Drenagem'!$B$22:$J$52</definedName>
    <definedName name="Z_18069210_94DF_4C76_B85E_1DF4DC4A4E48_.wvu.FilterData" localSheetId="4" hidden="1">'Custo EBSs'!$B$22:$J$832</definedName>
    <definedName name="Z_18069210_94DF_4C76_B85E_1DF4DC4A4E48_.wvu.FilterData" localSheetId="2" hidden="1">'Custos Canais'!$B$22:$J$296</definedName>
    <definedName name="Z_18069210_94DF_4C76_B85E_1DF4DC4A4E48_.wvu.FilterData" localSheetId="8" hidden="1">'Custos On farm'!$B$22:$J$197</definedName>
    <definedName name="Z_18069210_94DF_4C76_B85E_1DF4DC4A4E48_.wvu.FilterData" localSheetId="14" hidden="1">'Custos Rede Baixa Pressão'!$B$5:$J$37</definedName>
    <definedName name="Z_18069210_94DF_4C76_B85E_1DF4DC4A4E48_.wvu.FilterData" localSheetId="12" hidden="1">'Custos Sistema Viário'!$B$22:$J$33</definedName>
    <definedName name="Z_18069210_94DF_4C76_B85E_1DF4DC4A4E48_.wvu.FilterData" localSheetId="17" hidden="1">DESMATAMENTO!$A$22:$X$26</definedName>
    <definedName name="Z_18069210_94DF_4C76_B85E_1DF4DC4A4E48_.wvu.FilterData" localSheetId="6" hidden="1">'REDE PRESSURIZADA'!$B$22:$J$312</definedName>
    <definedName name="Z_18069210_94DF_4C76_B85E_1DF4DC4A4E48_.wvu.FilterData" localSheetId="16" hidden="1">'SERVIÇOS PRELIMINARES'!$A$22:$W$30</definedName>
    <definedName name="Z_1898A22F_6E73_4912_A5CF_72BE8D9A8ED8_.wvu.FilterData" localSheetId="10" hidden="1">'Custo Drenagem'!$B$22:$J$52</definedName>
    <definedName name="Z_1898A22F_6E73_4912_A5CF_72BE8D9A8ED8_.wvu.FilterData" localSheetId="4" hidden="1">'Custo EBSs'!$B$22:$J$832</definedName>
    <definedName name="Z_1898A22F_6E73_4912_A5CF_72BE8D9A8ED8_.wvu.FilterData" localSheetId="2" hidden="1">'Custos Canais'!$B$22:$J$296</definedName>
    <definedName name="Z_1898A22F_6E73_4912_A5CF_72BE8D9A8ED8_.wvu.FilterData" localSheetId="8" hidden="1">'Custos On farm'!$B$22:$J$197</definedName>
    <definedName name="Z_1898A22F_6E73_4912_A5CF_72BE8D9A8ED8_.wvu.FilterData" localSheetId="14" hidden="1">'Custos Rede Baixa Pressão'!$B$5:$J$37</definedName>
    <definedName name="Z_1898A22F_6E73_4912_A5CF_72BE8D9A8ED8_.wvu.FilterData" localSheetId="12" hidden="1">'Custos Sistema Viário'!$B$22:$J$33</definedName>
    <definedName name="Z_1898A22F_6E73_4912_A5CF_72BE8D9A8ED8_.wvu.FilterData" localSheetId="17" hidden="1">DESMATAMENTO!$A$22:$X$26</definedName>
    <definedName name="Z_1898A22F_6E73_4912_A5CF_72BE8D9A8ED8_.wvu.FilterData" localSheetId="6" hidden="1">'REDE PRESSURIZADA'!$B$22:$J$312</definedName>
    <definedName name="Z_1898A22F_6E73_4912_A5CF_72BE8D9A8ED8_.wvu.FilterData" localSheetId="16" hidden="1">'SERVIÇOS PRELIMINARES'!$A$22:$W$30</definedName>
    <definedName name="Z_19F5E7E1_B6F6_4527_A492_B90C93FBEEBF_.wvu.FilterData" localSheetId="10" hidden="1">'Custo Drenagem'!$B$22:$J$52</definedName>
    <definedName name="Z_19F5E7E1_B6F6_4527_A492_B90C93FBEEBF_.wvu.FilterData" localSheetId="4" hidden="1">'Custo EBSs'!$B$22:$J$832</definedName>
    <definedName name="Z_19F5E7E1_B6F6_4527_A492_B90C93FBEEBF_.wvu.FilterData" localSheetId="2" hidden="1">'Custos Canais'!$B$22:$J$296</definedName>
    <definedName name="Z_19F5E7E1_B6F6_4527_A492_B90C93FBEEBF_.wvu.FilterData" localSheetId="8" hidden="1">'Custos On farm'!$B$22:$J$197</definedName>
    <definedName name="Z_19F5E7E1_B6F6_4527_A492_B90C93FBEEBF_.wvu.FilterData" localSheetId="14" hidden="1">'Custos Rede Baixa Pressão'!$B$5:$J$37</definedName>
    <definedName name="Z_19F5E7E1_B6F6_4527_A492_B90C93FBEEBF_.wvu.FilterData" localSheetId="12" hidden="1">'Custos Sistema Viário'!$B$22:$J$33</definedName>
    <definedName name="Z_19F5E7E1_B6F6_4527_A492_B90C93FBEEBF_.wvu.FilterData" localSheetId="17" hidden="1">DESMATAMENTO!$A$22:$X$26</definedName>
    <definedName name="Z_19F5E7E1_B6F6_4527_A492_B90C93FBEEBF_.wvu.FilterData" localSheetId="6" hidden="1">'REDE PRESSURIZADA'!$B$22:$J$312</definedName>
    <definedName name="Z_19F5E7E1_B6F6_4527_A492_B90C93FBEEBF_.wvu.FilterData" localSheetId="16" hidden="1">'SERVIÇOS PRELIMINARES'!$A$22:$W$30</definedName>
    <definedName name="Z_1A09C7F4_0077_4100_8B41_4FF2D0FC86BC_.wvu.FilterData" localSheetId="10" hidden="1">'Custo Drenagem'!$B$22:$J$52</definedName>
    <definedName name="Z_1A09C7F4_0077_4100_8B41_4FF2D0FC86BC_.wvu.FilterData" localSheetId="4" hidden="1">'Custo EBSs'!$B$22:$J$832</definedName>
    <definedName name="Z_1A09C7F4_0077_4100_8B41_4FF2D0FC86BC_.wvu.FilterData" localSheetId="2" hidden="1">'Custos Canais'!$B$22:$J$296</definedName>
    <definedName name="Z_1A09C7F4_0077_4100_8B41_4FF2D0FC86BC_.wvu.FilterData" localSheetId="8" hidden="1">'Custos On farm'!$B$22:$J$197</definedName>
    <definedName name="Z_1A09C7F4_0077_4100_8B41_4FF2D0FC86BC_.wvu.FilterData" localSheetId="14" hidden="1">'Custos Rede Baixa Pressão'!$B$5:$J$37</definedName>
    <definedName name="Z_1A09C7F4_0077_4100_8B41_4FF2D0FC86BC_.wvu.FilterData" localSheetId="12" hidden="1">'Custos Sistema Viário'!$B$22:$J$33</definedName>
    <definedName name="Z_1A09C7F4_0077_4100_8B41_4FF2D0FC86BC_.wvu.FilterData" localSheetId="17" hidden="1">DESMATAMENTO!$A$22:$X$26</definedName>
    <definedName name="Z_1A09C7F4_0077_4100_8B41_4FF2D0FC86BC_.wvu.FilterData" localSheetId="6" hidden="1">'REDE PRESSURIZADA'!$B$22:$J$312</definedName>
    <definedName name="Z_1A09C7F4_0077_4100_8B41_4FF2D0FC86BC_.wvu.FilterData" localSheetId="16" hidden="1">'SERVIÇOS PRELIMINARES'!$A$22:$W$30</definedName>
    <definedName name="Z_1C27C6BD_9C95_4B0C_9C6F_3C4D9C07D558_.wvu.FilterData" localSheetId="10" hidden="1">'Custo Drenagem'!$B$22:$J$52</definedName>
    <definedName name="Z_1C27C6BD_9C95_4B0C_9C6F_3C4D9C07D558_.wvu.FilterData" localSheetId="4" hidden="1">'Custo EBSs'!$B$22:$J$832</definedName>
    <definedName name="Z_1C27C6BD_9C95_4B0C_9C6F_3C4D9C07D558_.wvu.FilterData" localSheetId="2" hidden="1">'Custos Canais'!$B$22:$J$294</definedName>
    <definedName name="Z_1C27C6BD_9C95_4B0C_9C6F_3C4D9C07D558_.wvu.FilterData" localSheetId="8" hidden="1">'Custos On farm'!$B$22:$J$197</definedName>
    <definedName name="Z_1C27C6BD_9C95_4B0C_9C6F_3C4D9C07D558_.wvu.FilterData" localSheetId="14" hidden="1">'Custos Rede Baixa Pressão'!$B$5:$J$37</definedName>
    <definedName name="Z_1C27C6BD_9C95_4B0C_9C6F_3C4D9C07D558_.wvu.FilterData" localSheetId="12" hidden="1">'Custos Sistema Viário'!$B$22:$J$33</definedName>
    <definedName name="Z_1C27C6BD_9C95_4B0C_9C6F_3C4D9C07D558_.wvu.FilterData" localSheetId="17" hidden="1">DESMATAMENTO!$A$22:$X$26</definedName>
    <definedName name="Z_1C27C6BD_9C95_4B0C_9C6F_3C4D9C07D558_.wvu.FilterData" localSheetId="6" hidden="1">'REDE PRESSURIZADA'!$B$22:$J$312</definedName>
    <definedName name="Z_1C27C6BD_9C95_4B0C_9C6F_3C4D9C07D558_.wvu.FilterData" localSheetId="16" hidden="1">'SERVIÇOS PRELIMINARES'!$A$22:$W$30</definedName>
    <definedName name="Z_1C8BB2B0_D9EA_4CEA_A965_4958C71881E8_.wvu.FilterData" localSheetId="10" hidden="1">'Custo Drenagem'!$B$22:$J$52</definedName>
    <definedName name="Z_1C8BB2B0_D9EA_4CEA_A965_4958C71881E8_.wvu.FilterData" localSheetId="4" hidden="1">'Custo EBSs'!$B$22:$J$832</definedName>
    <definedName name="Z_1C8BB2B0_D9EA_4CEA_A965_4958C71881E8_.wvu.FilterData" localSheetId="2" hidden="1">'Custos Canais'!$B$22:$J$296</definedName>
    <definedName name="Z_1C8BB2B0_D9EA_4CEA_A965_4958C71881E8_.wvu.FilterData" localSheetId="8" hidden="1">'Custos On farm'!$B$22:$J$197</definedName>
    <definedName name="Z_1C8BB2B0_D9EA_4CEA_A965_4958C71881E8_.wvu.FilterData" localSheetId="14" hidden="1">'Custos Rede Baixa Pressão'!$B$5:$J$37</definedName>
    <definedName name="Z_1C8BB2B0_D9EA_4CEA_A965_4958C71881E8_.wvu.FilterData" localSheetId="12" hidden="1">'Custos Sistema Viário'!$B$22:$J$33</definedName>
    <definedName name="Z_1C8BB2B0_D9EA_4CEA_A965_4958C71881E8_.wvu.FilterData" localSheetId="17" hidden="1">DESMATAMENTO!$A$22:$X$26</definedName>
    <definedName name="Z_1C8BB2B0_D9EA_4CEA_A965_4958C71881E8_.wvu.FilterData" localSheetId="6" hidden="1">'REDE PRESSURIZADA'!$B$22:$J$312</definedName>
    <definedName name="Z_1C8BB2B0_D9EA_4CEA_A965_4958C71881E8_.wvu.FilterData" localSheetId="16" hidden="1">'SERVIÇOS PRELIMINARES'!$A$22:$W$30</definedName>
    <definedName name="Z_1D2D5EAD_64EA_4B31_99CF_267C2D251C67_.wvu.FilterData" localSheetId="10" hidden="1">'Custo Drenagem'!$B$22:$J$52</definedName>
    <definedName name="Z_1D2D5EAD_64EA_4B31_99CF_267C2D251C67_.wvu.FilterData" localSheetId="4" hidden="1">'Custo EBSs'!$B$22:$J$832</definedName>
    <definedName name="Z_1D2D5EAD_64EA_4B31_99CF_267C2D251C67_.wvu.FilterData" localSheetId="2" hidden="1">'Custos Canais'!$B$22:$J$296</definedName>
    <definedName name="Z_1D2D5EAD_64EA_4B31_99CF_267C2D251C67_.wvu.FilterData" localSheetId="8" hidden="1">'Custos On farm'!$B$22:$J$197</definedName>
    <definedName name="Z_1D2D5EAD_64EA_4B31_99CF_267C2D251C67_.wvu.FilterData" localSheetId="14" hidden="1">'Custos Rede Baixa Pressão'!$B$5:$J$37</definedName>
    <definedName name="Z_1D2D5EAD_64EA_4B31_99CF_267C2D251C67_.wvu.FilterData" localSheetId="12" hidden="1">'Custos Sistema Viário'!$B$22:$J$33</definedName>
    <definedName name="Z_1D2D5EAD_64EA_4B31_99CF_267C2D251C67_.wvu.FilterData" localSheetId="17" hidden="1">DESMATAMENTO!$A$22:$X$26</definedName>
    <definedName name="Z_1D2D5EAD_64EA_4B31_99CF_267C2D251C67_.wvu.FilterData" localSheetId="6" hidden="1">'REDE PRESSURIZADA'!$B$22:$J$312</definedName>
    <definedName name="Z_1D2D5EAD_64EA_4B31_99CF_267C2D251C67_.wvu.FilterData" localSheetId="16" hidden="1">'SERVIÇOS PRELIMINARES'!$A$22:$W$30</definedName>
    <definedName name="Z_1D6FECA7_3F51_4F86_A41C_60186364A1AD_.wvu.FilterData" localSheetId="10" hidden="1">'Custo Drenagem'!$B$22:$J$52</definedName>
    <definedName name="Z_1D6FECA7_3F51_4F86_A41C_60186364A1AD_.wvu.FilterData" localSheetId="4" hidden="1">'Custo EBSs'!$B$22:$J$832</definedName>
    <definedName name="Z_1D6FECA7_3F51_4F86_A41C_60186364A1AD_.wvu.FilterData" localSheetId="2" hidden="1">'Custos Canais'!$B$22:$J$296</definedName>
    <definedName name="Z_1D6FECA7_3F51_4F86_A41C_60186364A1AD_.wvu.FilterData" localSheetId="8" hidden="1">'Custos On farm'!$B$22:$J$197</definedName>
    <definedName name="Z_1D6FECA7_3F51_4F86_A41C_60186364A1AD_.wvu.FilterData" localSheetId="14" hidden="1">'Custos Rede Baixa Pressão'!$B$5:$J$37</definedName>
    <definedName name="Z_1D6FECA7_3F51_4F86_A41C_60186364A1AD_.wvu.FilterData" localSheetId="12" hidden="1">'Custos Sistema Viário'!$B$22:$J$33</definedName>
    <definedName name="Z_1D6FECA7_3F51_4F86_A41C_60186364A1AD_.wvu.FilterData" localSheetId="17" hidden="1">DESMATAMENTO!$A$22:$X$26</definedName>
    <definedName name="Z_1D6FECA7_3F51_4F86_A41C_60186364A1AD_.wvu.FilterData" localSheetId="6" hidden="1">'REDE PRESSURIZADA'!$B$22:$J$312</definedName>
    <definedName name="Z_1D6FECA7_3F51_4F86_A41C_60186364A1AD_.wvu.FilterData" localSheetId="16" hidden="1">'SERVIÇOS PRELIMINARES'!$A$22:$W$30</definedName>
    <definedName name="Z_1EF64D0D_0CD6_4F21_BA99_2107EDFA625B_.wvu.FilterData" localSheetId="10" hidden="1">'Custo Drenagem'!$B$22:$J$52</definedName>
    <definedName name="Z_1EF64D0D_0CD6_4F21_BA99_2107EDFA625B_.wvu.FilterData" localSheetId="4" hidden="1">'Custo EBSs'!$B$22:$J$832</definedName>
    <definedName name="Z_1EF64D0D_0CD6_4F21_BA99_2107EDFA625B_.wvu.FilterData" localSheetId="2" hidden="1">'Custos Canais'!$B$22:$J$296</definedName>
    <definedName name="Z_1EF64D0D_0CD6_4F21_BA99_2107EDFA625B_.wvu.FilterData" localSheetId="8" hidden="1">'Custos On farm'!$B$22:$J$197</definedName>
    <definedName name="Z_1EF64D0D_0CD6_4F21_BA99_2107EDFA625B_.wvu.FilterData" localSheetId="14" hidden="1">'Custos Rede Baixa Pressão'!$B$5:$J$37</definedName>
    <definedName name="Z_1EF64D0D_0CD6_4F21_BA99_2107EDFA625B_.wvu.FilterData" localSheetId="12" hidden="1">'Custos Sistema Viário'!$B$22:$J$33</definedName>
    <definedName name="Z_1EF64D0D_0CD6_4F21_BA99_2107EDFA625B_.wvu.FilterData" localSheetId="17" hidden="1">DESMATAMENTO!$A$22:$X$26</definedName>
    <definedName name="Z_1EF64D0D_0CD6_4F21_BA99_2107EDFA625B_.wvu.FilterData" localSheetId="6" hidden="1">'REDE PRESSURIZADA'!$B$22:$J$312</definedName>
    <definedName name="Z_1EF64D0D_0CD6_4F21_BA99_2107EDFA625B_.wvu.FilterData" localSheetId="16" hidden="1">'SERVIÇOS PRELIMINARES'!$A$22:$W$30</definedName>
    <definedName name="Z_1F30A0C0_F566_4635_9846_D0AFBEFBEDAF_.wvu.FilterData" localSheetId="10" hidden="1">'Custo Drenagem'!$B$22:$J$52</definedName>
    <definedName name="Z_1F30A0C0_F566_4635_9846_D0AFBEFBEDAF_.wvu.FilterData" localSheetId="4" hidden="1">'Custo EBSs'!$B$22:$J$832</definedName>
    <definedName name="Z_1F30A0C0_F566_4635_9846_D0AFBEFBEDAF_.wvu.FilterData" localSheetId="2" hidden="1">'Custos Canais'!$B$22:$J$294</definedName>
    <definedName name="Z_1F30A0C0_F566_4635_9846_D0AFBEFBEDAF_.wvu.FilterData" localSheetId="8" hidden="1">'Custos On farm'!$B$22:$J$197</definedName>
    <definedName name="Z_1F30A0C0_F566_4635_9846_D0AFBEFBEDAF_.wvu.FilterData" localSheetId="14" hidden="1">'Custos Rede Baixa Pressão'!$B$5:$J$37</definedName>
    <definedName name="Z_1F30A0C0_F566_4635_9846_D0AFBEFBEDAF_.wvu.FilterData" localSheetId="12" hidden="1">'Custos Sistema Viário'!$B$22:$J$33</definedName>
    <definedName name="Z_1F30A0C0_F566_4635_9846_D0AFBEFBEDAF_.wvu.FilterData" localSheetId="17" hidden="1">DESMATAMENTO!$A$22:$X$26</definedName>
    <definedName name="Z_1F30A0C0_F566_4635_9846_D0AFBEFBEDAF_.wvu.FilterData" localSheetId="6" hidden="1">'REDE PRESSURIZADA'!$B$22:$J$312</definedName>
    <definedName name="Z_1F30A0C0_F566_4635_9846_D0AFBEFBEDAF_.wvu.FilterData" localSheetId="16" hidden="1">'SERVIÇOS PRELIMINARES'!$A$22:$W$30</definedName>
    <definedName name="Z_20D62BC3_C560_450D_B668_C3CE4E1BD49D_.wvu.FilterData" localSheetId="10" hidden="1">'Custo Drenagem'!$B$22:$J$52</definedName>
    <definedName name="Z_20D62BC3_C560_450D_B668_C3CE4E1BD49D_.wvu.FilterData" localSheetId="4" hidden="1">'Custo EBSs'!$B$22:$J$832</definedName>
    <definedName name="Z_20D62BC3_C560_450D_B668_C3CE4E1BD49D_.wvu.FilterData" localSheetId="2" hidden="1">'Custos Canais'!$B$22:$J$294</definedName>
    <definedName name="Z_20D62BC3_C560_450D_B668_C3CE4E1BD49D_.wvu.FilterData" localSheetId="8" hidden="1">'Custos On farm'!$B$22:$J$197</definedName>
    <definedName name="Z_20D62BC3_C560_450D_B668_C3CE4E1BD49D_.wvu.FilterData" localSheetId="14" hidden="1">'Custos Rede Baixa Pressão'!$B$5:$J$37</definedName>
    <definedName name="Z_20D62BC3_C560_450D_B668_C3CE4E1BD49D_.wvu.FilterData" localSheetId="12" hidden="1">'Custos Sistema Viário'!$B$22:$J$33</definedName>
    <definedName name="Z_20D62BC3_C560_450D_B668_C3CE4E1BD49D_.wvu.FilterData" localSheetId="17" hidden="1">DESMATAMENTO!$A$22:$X$26</definedName>
    <definedName name="Z_20D62BC3_C560_450D_B668_C3CE4E1BD49D_.wvu.FilterData" localSheetId="6" hidden="1">'REDE PRESSURIZADA'!$B$22:$J$312</definedName>
    <definedName name="Z_20D62BC3_C560_450D_B668_C3CE4E1BD49D_.wvu.FilterData" localSheetId="16" hidden="1">'SERVIÇOS PRELIMINARES'!$A$22:$W$30</definedName>
    <definedName name="Z_249C20C4_9309_4E5C_8DC5_F2C6F61F8F19_.wvu.FilterData" localSheetId="10" hidden="1">'Custo Drenagem'!$B$22:$J$52</definedName>
    <definedName name="Z_249C20C4_9309_4E5C_8DC5_F2C6F61F8F19_.wvu.FilterData" localSheetId="4" hidden="1">'Custo EBSs'!$B$22:$J$832</definedName>
    <definedName name="Z_249C20C4_9309_4E5C_8DC5_F2C6F61F8F19_.wvu.FilterData" localSheetId="2" hidden="1">'Custos Canais'!$B$22:$J$296</definedName>
    <definedName name="Z_249C20C4_9309_4E5C_8DC5_F2C6F61F8F19_.wvu.FilterData" localSheetId="8" hidden="1">'Custos On farm'!$B$22:$J$197</definedName>
    <definedName name="Z_249C20C4_9309_4E5C_8DC5_F2C6F61F8F19_.wvu.FilterData" localSheetId="14" hidden="1">'Custos Rede Baixa Pressão'!$B$5:$J$37</definedName>
    <definedName name="Z_249C20C4_9309_4E5C_8DC5_F2C6F61F8F19_.wvu.FilterData" localSheetId="12" hidden="1">'Custos Sistema Viário'!$B$22:$J$33</definedName>
    <definedName name="Z_249C20C4_9309_4E5C_8DC5_F2C6F61F8F19_.wvu.FilterData" localSheetId="17" hidden="1">DESMATAMENTO!$A$22:$X$26</definedName>
    <definedName name="Z_249C20C4_9309_4E5C_8DC5_F2C6F61F8F19_.wvu.FilterData" localSheetId="6" hidden="1">'REDE PRESSURIZADA'!$B$22:$J$312</definedName>
    <definedName name="Z_249C20C4_9309_4E5C_8DC5_F2C6F61F8F19_.wvu.FilterData" localSheetId="16" hidden="1">'SERVIÇOS PRELIMINARES'!$A$22:$W$30</definedName>
    <definedName name="Z_24FA97AF_9787_405A_9F0F_E4CB01DC6CB0_.wvu.FilterData" localSheetId="10" hidden="1">'Custo Drenagem'!$B$22:$J$52</definedName>
    <definedName name="Z_24FA97AF_9787_405A_9F0F_E4CB01DC6CB0_.wvu.FilterData" localSheetId="4" hidden="1">'Custo EBSs'!$B$22:$J$832</definedName>
    <definedName name="Z_24FA97AF_9787_405A_9F0F_E4CB01DC6CB0_.wvu.FilterData" localSheetId="2" hidden="1">'Custos Canais'!$B$22:$J$296</definedName>
    <definedName name="Z_24FA97AF_9787_405A_9F0F_E4CB01DC6CB0_.wvu.FilterData" localSheetId="8" hidden="1">'Custos On farm'!$B$22:$J$197</definedName>
    <definedName name="Z_24FA97AF_9787_405A_9F0F_E4CB01DC6CB0_.wvu.FilterData" localSheetId="14" hidden="1">'Custos Rede Baixa Pressão'!$B$5:$J$37</definedName>
    <definedName name="Z_24FA97AF_9787_405A_9F0F_E4CB01DC6CB0_.wvu.FilterData" localSheetId="12" hidden="1">'Custos Sistema Viário'!$B$22:$J$33</definedName>
    <definedName name="Z_24FA97AF_9787_405A_9F0F_E4CB01DC6CB0_.wvu.FilterData" localSheetId="17" hidden="1">DESMATAMENTO!$A$22:$X$26</definedName>
    <definedName name="Z_24FA97AF_9787_405A_9F0F_E4CB01DC6CB0_.wvu.FilterData" localSheetId="6" hidden="1">'REDE PRESSURIZADA'!$B$22:$J$312</definedName>
    <definedName name="Z_24FA97AF_9787_405A_9F0F_E4CB01DC6CB0_.wvu.FilterData" localSheetId="16" hidden="1">'SERVIÇOS PRELIMINARES'!$A$22:$W$30</definedName>
    <definedName name="Z_25923952_B461_4AB7_8D7A_CA3ED535D245_.wvu.FilterData" localSheetId="10" hidden="1">'Custo Drenagem'!$B$22:$J$52</definedName>
    <definedName name="Z_25923952_B461_4AB7_8D7A_CA3ED535D245_.wvu.FilterData" localSheetId="4" hidden="1">'Custo EBSs'!$B$22:$J$832</definedName>
    <definedName name="Z_25923952_B461_4AB7_8D7A_CA3ED535D245_.wvu.FilterData" localSheetId="2" hidden="1">'Custos Canais'!$B$22:$J$296</definedName>
    <definedName name="Z_25923952_B461_4AB7_8D7A_CA3ED535D245_.wvu.FilterData" localSheetId="8" hidden="1">'Custos On farm'!$B$22:$J$197</definedName>
    <definedName name="Z_25923952_B461_4AB7_8D7A_CA3ED535D245_.wvu.FilterData" localSheetId="14" hidden="1">'Custos Rede Baixa Pressão'!$B$5:$J$37</definedName>
    <definedName name="Z_25923952_B461_4AB7_8D7A_CA3ED535D245_.wvu.FilterData" localSheetId="12" hidden="1">'Custos Sistema Viário'!$B$22:$J$33</definedName>
    <definedName name="Z_25923952_B461_4AB7_8D7A_CA3ED535D245_.wvu.FilterData" localSheetId="17" hidden="1">DESMATAMENTO!$A$22:$X$26</definedName>
    <definedName name="Z_25923952_B461_4AB7_8D7A_CA3ED535D245_.wvu.FilterData" localSheetId="6" hidden="1">'REDE PRESSURIZADA'!$B$22:$J$312</definedName>
    <definedName name="Z_25923952_B461_4AB7_8D7A_CA3ED535D245_.wvu.FilterData" localSheetId="16" hidden="1">'SERVIÇOS PRELIMINARES'!$A$22:$W$30</definedName>
    <definedName name="Z_271AD616_EB70_4525_95CD_EBF5FD34AA9E_.wvu.FilterData" localSheetId="10" hidden="1">'Custo Drenagem'!$B$22:$J$52</definedName>
    <definedName name="Z_271AD616_EB70_4525_95CD_EBF5FD34AA9E_.wvu.FilterData" localSheetId="4" hidden="1">'Custo EBSs'!$B$22:$J$832</definedName>
    <definedName name="Z_271AD616_EB70_4525_95CD_EBF5FD34AA9E_.wvu.FilterData" localSheetId="2" hidden="1">'Custos Canais'!$B$22:$J$296</definedName>
    <definedName name="Z_271AD616_EB70_4525_95CD_EBF5FD34AA9E_.wvu.FilterData" localSheetId="8" hidden="1">'Custos On farm'!$B$22:$J$197</definedName>
    <definedName name="Z_271AD616_EB70_4525_95CD_EBF5FD34AA9E_.wvu.FilterData" localSheetId="14" hidden="1">'Custos Rede Baixa Pressão'!$B$5:$J$37</definedName>
    <definedName name="Z_271AD616_EB70_4525_95CD_EBF5FD34AA9E_.wvu.FilterData" localSheetId="12" hidden="1">'Custos Sistema Viário'!$B$22:$J$33</definedName>
    <definedName name="Z_271AD616_EB70_4525_95CD_EBF5FD34AA9E_.wvu.FilterData" localSheetId="17" hidden="1">DESMATAMENTO!$A$22:$X$26</definedName>
    <definedName name="Z_271AD616_EB70_4525_95CD_EBF5FD34AA9E_.wvu.FilterData" localSheetId="6" hidden="1">'REDE PRESSURIZADA'!$B$22:$J$312</definedName>
    <definedName name="Z_271AD616_EB70_4525_95CD_EBF5FD34AA9E_.wvu.FilterData" localSheetId="16" hidden="1">'SERVIÇOS PRELIMINARES'!$A$22:$W$30</definedName>
    <definedName name="Z_2DD5D8FE_DE07_48ED_B1F7_D0E00E10228E_.wvu.FilterData" localSheetId="10" hidden="1">'Custo Drenagem'!$B$22:$J$52</definedName>
    <definedName name="Z_2DD5D8FE_DE07_48ED_B1F7_D0E00E10228E_.wvu.FilterData" localSheetId="4" hidden="1">'Custo EBSs'!$B$22:$J$832</definedName>
    <definedName name="Z_2DD5D8FE_DE07_48ED_B1F7_D0E00E10228E_.wvu.FilterData" localSheetId="2" hidden="1">'Custos Canais'!$B$22:$J$296</definedName>
    <definedName name="Z_2DD5D8FE_DE07_48ED_B1F7_D0E00E10228E_.wvu.FilterData" localSheetId="8" hidden="1">'Custos On farm'!$B$22:$J$197</definedName>
    <definedName name="Z_2DD5D8FE_DE07_48ED_B1F7_D0E00E10228E_.wvu.FilterData" localSheetId="14" hidden="1">'Custos Rede Baixa Pressão'!$B$5:$J$37</definedName>
    <definedName name="Z_2DD5D8FE_DE07_48ED_B1F7_D0E00E10228E_.wvu.FilterData" localSheetId="12" hidden="1">'Custos Sistema Viário'!$B$22:$J$33</definedName>
    <definedName name="Z_2DD5D8FE_DE07_48ED_B1F7_D0E00E10228E_.wvu.FilterData" localSheetId="17" hidden="1">DESMATAMENTO!$A$22:$X$26</definedName>
    <definedName name="Z_2DD5D8FE_DE07_48ED_B1F7_D0E00E10228E_.wvu.FilterData" localSheetId="6" hidden="1">'REDE PRESSURIZADA'!$B$22:$J$312</definedName>
    <definedName name="Z_2DD5D8FE_DE07_48ED_B1F7_D0E00E10228E_.wvu.FilterData" localSheetId="16" hidden="1">'SERVIÇOS PRELIMINARES'!$A$22:$W$30</definedName>
    <definedName name="Z_2EB062CF_3B01_4955_B001_FB1B4E5F5C9A_.wvu.FilterData" localSheetId="10" hidden="1">'Custo Drenagem'!$B$22:$J$52</definedName>
    <definedName name="Z_2EB062CF_3B01_4955_B001_FB1B4E5F5C9A_.wvu.FilterData" localSheetId="4" hidden="1">'Custo EBSs'!$B$22:$J$832</definedName>
    <definedName name="Z_2EB062CF_3B01_4955_B001_FB1B4E5F5C9A_.wvu.FilterData" localSheetId="2" hidden="1">'Custos Canais'!$B$22:$J$296</definedName>
    <definedName name="Z_2EB062CF_3B01_4955_B001_FB1B4E5F5C9A_.wvu.FilterData" localSheetId="8" hidden="1">'Custos On farm'!$B$22:$J$197</definedName>
    <definedName name="Z_2EB062CF_3B01_4955_B001_FB1B4E5F5C9A_.wvu.FilterData" localSheetId="14" hidden="1">'Custos Rede Baixa Pressão'!$B$5:$J$37</definedName>
    <definedName name="Z_2EB062CF_3B01_4955_B001_FB1B4E5F5C9A_.wvu.FilterData" localSheetId="12" hidden="1">'Custos Sistema Viário'!$B$22:$J$33</definedName>
    <definedName name="Z_2EB062CF_3B01_4955_B001_FB1B4E5F5C9A_.wvu.FilterData" localSheetId="17" hidden="1">DESMATAMENTO!$A$22:$X$26</definedName>
    <definedName name="Z_2EB062CF_3B01_4955_B001_FB1B4E5F5C9A_.wvu.FilterData" localSheetId="6" hidden="1">'REDE PRESSURIZADA'!$B$22:$J$312</definedName>
    <definedName name="Z_2EB062CF_3B01_4955_B001_FB1B4E5F5C9A_.wvu.FilterData" localSheetId="16" hidden="1">'SERVIÇOS PRELIMINARES'!$A$22:$W$30</definedName>
    <definedName name="Z_2F0204E7_FE69_440C_9644_30429B68C4EF_.wvu.FilterData" localSheetId="10" hidden="1">'Custo Drenagem'!$B$22:$J$52</definedName>
    <definedName name="Z_2F0204E7_FE69_440C_9644_30429B68C4EF_.wvu.FilterData" localSheetId="4" hidden="1">'Custo EBSs'!$B$22:$J$832</definedName>
    <definedName name="Z_2F0204E7_FE69_440C_9644_30429B68C4EF_.wvu.FilterData" localSheetId="2" hidden="1">'Custos Canais'!$B$22:$J$294</definedName>
    <definedName name="Z_2F0204E7_FE69_440C_9644_30429B68C4EF_.wvu.FilterData" localSheetId="8" hidden="1">'Custos On farm'!$B$22:$J$197</definedName>
    <definedName name="Z_2F0204E7_FE69_440C_9644_30429B68C4EF_.wvu.FilterData" localSheetId="14" hidden="1">'Custos Rede Baixa Pressão'!$B$5:$J$37</definedName>
    <definedName name="Z_2F0204E7_FE69_440C_9644_30429B68C4EF_.wvu.FilterData" localSheetId="12" hidden="1">'Custos Sistema Viário'!$B$22:$J$33</definedName>
    <definedName name="Z_2F0204E7_FE69_440C_9644_30429B68C4EF_.wvu.FilterData" localSheetId="17" hidden="1">DESMATAMENTO!$A$22:$X$26</definedName>
    <definedName name="Z_2F0204E7_FE69_440C_9644_30429B68C4EF_.wvu.FilterData" localSheetId="6" hidden="1">'REDE PRESSURIZADA'!$B$22:$J$312</definedName>
    <definedName name="Z_2F0204E7_FE69_440C_9644_30429B68C4EF_.wvu.FilterData" localSheetId="16" hidden="1">'SERVIÇOS PRELIMINARES'!$A$22:$W$30</definedName>
    <definedName name="Z_300B3C89_EA43_4245_820C_A25682DFA0A8_.wvu.FilterData" localSheetId="10" hidden="1">'Custo Drenagem'!$B$22:$J$52</definedName>
    <definedName name="Z_300B3C89_EA43_4245_820C_A25682DFA0A8_.wvu.FilterData" localSheetId="4" hidden="1">'Custo EBSs'!$B$22:$J$832</definedName>
    <definedName name="Z_300B3C89_EA43_4245_820C_A25682DFA0A8_.wvu.FilterData" localSheetId="2" hidden="1">'Custos Canais'!$B$22:$J$296</definedName>
    <definedName name="Z_300B3C89_EA43_4245_820C_A25682DFA0A8_.wvu.FilterData" localSheetId="8" hidden="1">'Custos On farm'!$B$22:$J$197</definedName>
    <definedName name="Z_300B3C89_EA43_4245_820C_A25682DFA0A8_.wvu.FilterData" localSheetId="14" hidden="1">'Custos Rede Baixa Pressão'!$B$5:$J$37</definedName>
    <definedName name="Z_300B3C89_EA43_4245_820C_A25682DFA0A8_.wvu.FilterData" localSheetId="12" hidden="1">'Custos Sistema Viário'!$B$22:$J$33</definedName>
    <definedName name="Z_300B3C89_EA43_4245_820C_A25682DFA0A8_.wvu.FilterData" localSheetId="17" hidden="1">DESMATAMENTO!$A$22:$X$26</definedName>
    <definedName name="Z_300B3C89_EA43_4245_820C_A25682DFA0A8_.wvu.FilterData" localSheetId="6" hidden="1">'REDE PRESSURIZADA'!$B$22:$J$312</definedName>
    <definedName name="Z_300B3C89_EA43_4245_820C_A25682DFA0A8_.wvu.FilterData" localSheetId="16" hidden="1">'SERVIÇOS PRELIMINARES'!$A$22:$W$30</definedName>
    <definedName name="Z_315D6F33_27D1_4A3B_ABFB_4E4A05CD43C2_.wvu.FilterData" localSheetId="10" hidden="1">'Custo Drenagem'!$B$22:$J$52</definedName>
    <definedName name="Z_315D6F33_27D1_4A3B_ABFB_4E4A05CD43C2_.wvu.FilterData" localSheetId="4" hidden="1">'Custo EBSs'!$B$22:$J$832</definedName>
    <definedName name="Z_315D6F33_27D1_4A3B_ABFB_4E4A05CD43C2_.wvu.FilterData" localSheetId="2" hidden="1">'Custos Canais'!$B$22:$J$296</definedName>
    <definedName name="Z_315D6F33_27D1_4A3B_ABFB_4E4A05CD43C2_.wvu.FilterData" localSheetId="8" hidden="1">'Custos On farm'!$B$22:$J$197</definedName>
    <definedName name="Z_315D6F33_27D1_4A3B_ABFB_4E4A05CD43C2_.wvu.FilterData" localSheetId="14" hidden="1">'Custos Rede Baixa Pressão'!$B$5:$J$37</definedName>
    <definedName name="Z_315D6F33_27D1_4A3B_ABFB_4E4A05CD43C2_.wvu.FilterData" localSheetId="12" hidden="1">'Custos Sistema Viário'!$B$22:$J$33</definedName>
    <definedName name="Z_315D6F33_27D1_4A3B_ABFB_4E4A05CD43C2_.wvu.FilterData" localSheetId="17" hidden="1">DESMATAMENTO!$A$22:$X$26</definedName>
    <definedName name="Z_315D6F33_27D1_4A3B_ABFB_4E4A05CD43C2_.wvu.FilterData" localSheetId="6" hidden="1">'REDE PRESSURIZADA'!$B$22:$J$312</definedName>
    <definedName name="Z_315D6F33_27D1_4A3B_ABFB_4E4A05CD43C2_.wvu.FilterData" localSheetId="16" hidden="1">'SERVIÇOS PRELIMINARES'!$A$22:$W$30</definedName>
    <definedName name="Z_32424F11_978C_4570_9EBD_53DCED1D1006_.wvu.FilterData" localSheetId="10" hidden="1">'Custo Drenagem'!$B$22:$J$52</definedName>
    <definedName name="Z_32424F11_978C_4570_9EBD_53DCED1D1006_.wvu.FilterData" localSheetId="4" hidden="1">'Custo EBSs'!$B$22:$J$832</definedName>
    <definedName name="Z_32424F11_978C_4570_9EBD_53DCED1D1006_.wvu.FilterData" localSheetId="2" hidden="1">'Custos Canais'!$B$22:$J$296</definedName>
    <definedName name="Z_32424F11_978C_4570_9EBD_53DCED1D1006_.wvu.FilterData" localSheetId="8" hidden="1">'Custos On farm'!$B$22:$J$197</definedName>
    <definedName name="Z_32424F11_978C_4570_9EBD_53DCED1D1006_.wvu.FilterData" localSheetId="14" hidden="1">'Custos Rede Baixa Pressão'!$B$5:$J$37</definedName>
    <definedName name="Z_32424F11_978C_4570_9EBD_53DCED1D1006_.wvu.FilterData" localSheetId="12" hidden="1">'Custos Sistema Viário'!$B$22:$J$33</definedName>
    <definedName name="Z_32424F11_978C_4570_9EBD_53DCED1D1006_.wvu.FilterData" localSheetId="17" hidden="1">DESMATAMENTO!$A$22:$X$26</definedName>
    <definedName name="Z_32424F11_978C_4570_9EBD_53DCED1D1006_.wvu.FilterData" localSheetId="6" hidden="1">'REDE PRESSURIZADA'!$B$22:$J$312</definedName>
    <definedName name="Z_32424F11_978C_4570_9EBD_53DCED1D1006_.wvu.FilterData" localSheetId="16" hidden="1">'SERVIÇOS PRELIMINARES'!$A$22:$W$30</definedName>
    <definedName name="Z_334EEB19_51DA_4121_8907_2D2C5ED77851_.wvu.FilterData" localSheetId="10" hidden="1">'Custo Drenagem'!$B$22:$J$52</definedName>
    <definedName name="Z_334EEB19_51DA_4121_8907_2D2C5ED77851_.wvu.FilterData" localSheetId="4" hidden="1">'Custo EBSs'!$B$22:$J$832</definedName>
    <definedName name="Z_334EEB19_51DA_4121_8907_2D2C5ED77851_.wvu.FilterData" localSheetId="2" hidden="1">'Custos Canais'!$B$22:$J$296</definedName>
    <definedName name="Z_334EEB19_51DA_4121_8907_2D2C5ED77851_.wvu.FilterData" localSheetId="8" hidden="1">'Custos On farm'!$B$22:$J$197</definedName>
    <definedName name="Z_334EEB19_51DA_4121_8907_2D2C5ED77851_.wvu.FilterData" localSheetId="14" hidden="1">'Custos Rede Baixa Pressão'!$B$5:$J$37</definedName>
    <definedName name="Z_334EEB19_51DA_4121_8907_2D2C5ED77851_.wvu.FilterData" localSheetId="12" hidden="1">'Custos Sistema Viário'!$B$22:$J$33</definedName>
    <definedName name="Z_334EEB19_51DA_4121_8907_2D2C5ED77851_.wvu.FilterData" localSheetId="17" hidden="1">DESMATAMENTO!$A$22:$X$26</definedName>
    <definedName name="Z_334EEB19_51DA_4121_8907_2D2C5ED77851_.wvu.FilterData" localSheetId="6" hidden="1">'REDE PRESSURIZADA'!$B$22:$J$312</definedName>
    <definedName name="Z_334EEB19_51DA_4121_8907_2D2C5ED77851_.wvu.FilterData" localSheetId="16" hidden="1">'SERVIÇOS PRELIMINARES'!$A$22:$W$30</definedName>
    <definedName name="Z_34204212_C526_42B8_85C6_67DF59E6C290_.wvu.FilterData" localSheetId="10" hidden="1">'Custo Drenagem'!$B$22:$J$52</definedName>
    <definedName name="Z_34204212_C526_42B8_85C6_67DF59E6C290_.wvu.FilterData" localSheetId="4" hidden="1">'Custo EBSs'!$B$22:$J$832</definedName>
    <definedName name="Z_34204212_C526_42B8_85C6_67DF59E6C290_.wvu.FilterData" localSheetId="2" hidden="1">'Custos Canais'!$B$22:$J$296</definedName>
    <definedName name="Z_34204212_C526_42B8_85C6_67DF59E6C290_.wvu.FilterData" localSheetId="8" hidden="1">'Custos On farm'!$B$22:$J$197</definedName>
    <definedName name="Z_34204212_C526_42B8_85C6_67DF59E6C290_.wvu.FilterData" localSheetId="14" hidden="1">'Custos Rede Baixa Pressão'!$B$5:$J$37</definedName>
    <definedName name="Z_34204212_C526_42B8_85C6_67DF59E6C290_.wvu.FilterData" localSheetId="12" hidden="1">'Custos Sistema Viário'!$B$22:$J$33</definedName>
    <definedName name="Z_34204212_C526_42B8_85C6_67DF59E6C290_.wvu.FilterData" localSheetId="17" hidden="1">DESMATAMENTO!$A$22:$X$26</definedName>
    <definedName name="Z_34204212_C526_42B8_85C6_67DF59E6C290_.wvu.FilterData" localSheetId="6" hidden="1">'REDE PRESSURIZADA'!$B$22:$J$312</definedName>
    <definedName name="Z_34204212_C526_42B8_85C6_67DF59E6C290_.wvu.FilterData" localSheetId="16" hidden="1">'SERVIÇOS PRELIMINARES'!$A$22:$W$30</definedName>
    <definedName name="Z_34BB5CC9_ABEB_4CA9_82E2_D563F82086FA_.wvu.FilterData" localSheetId="10" hidden="1">'Custo Drenagem'!$B$22:$J$52</definedName>
    <definedName name="Z_34BB5CC9_ABEB_4CA9_82E2_D563F82086FA_.wvu.FilterData" localSheetId="4" hidden="1">'Custo EBSs'!$B$22:$J$832</definedName>
    <definedName name="Z_34BB5CC9_ABEB_4CA9_82E2_D563F82086FA_.wvu.FilterData" localSheetId="2" hidden="1">'Custos Canais'!$B$22:$J$296</definedName>
    <definedName name="Z_34BB5CC9_ABEB_4CA9_82E2_D563F82086FA_.wvu.FilterData" localSheetId="8" hidden="1">'Custos On farm'!$B$22:$J$197</definedName>
    <definedName name="Z_34BB5CC9_ABEB_4CA9_82E2_D563F82086FA_.wvu.FilterData" localSheetId="14" hidden="1">'Custos Rede Baixa Pressão'!$B$5:$J$37</definedName>
    <definedName name="Z_34BB5CC9_ABEB_4CA9_82E2_D563F82086FA_.wvu.FilterData" localSheetId="12" hidden="1">'Custos Sistema Viário'!$B$22:$J$33</definedName>
    <definedName name="Z_34BB5CC9_ABEB_4CA9_82E2_D563F82086FA_.wvu.FilterData" localSheetId="17" hidden="1">DESMATAMENTO!$A$22:$X$26</definedName>
    <definedName name="Z_34BB5CC9_ABEB_4CA9_82E2_D563F82086FA_.wvu.FilterData" localSheetId="6" hidden="1">'REDE PRESSURIZADA'!$B$22:$J$312</definedName>
    <definedName name="Z_34BB5CC9_ABEB_4CA9_82E2_D563F82086FA_.wvu.FilterData" localSheetId="16" hidden="1">'SERVIÇOS PRELIMINARES'!$A$22:$W$30</definedName>
    <definedName name="Z_35986FD2_72C5_4112_9506_60664EC0B9FE_.wvu.FilterData" localSheetId="10" hidden="1">'Custo Drenagem'!$B$22:$J$52</definedName>
    <definedName name="Z_35986FD2_72C5_4112_9506_60664EC0B9FE_.wvu.FilterData" localSheetId="4" hidden="1">'Custo EBSs'!$B$22:$J$832</definedName>
    <definedName name="Z_35986FD2_72C5_4112_9506_60664EC0B9FE_.wvu.FilterData" localSheetId="2" hidden="1">'Custos Canais'!$B$22:$J$296</definedName>
    <definedName name="Z_35986FD2_72C5_4112_9506_60664EC0B9FE_.wvu.FilterData" localSheetId="8" hidden="1">'Custos On farm'!$B$22:$J$197</definedName>
    <definedName name="Z_35986FD2_72C5_4112_9506_60664EC0B9FE_.wvu.FilterData" localSheetId="14" hidden="1">'Custos Rede Baixa Pressão'!$B$5:$J$37</definedName>
    <definedName name="Z_35986FD2_72C5_4112_9506_60664EC0B9FE_.wvu.FilterData" localSheetId="12" hidden="1">'Custos Sistema Viário'!$B$22:$J$33</definedName>
    <definedName name="Z_35986FD2_72C5_4112_9506_60664EC0B9FE_.wvu.FilterData" localSheetId="17" hidden="1">DESMATAMENTO!$A$22:$X$26</definedName>
    <definedName name="Z_35986FD2_72C5_4112_9506_60664EC0B9FE_.wvu.FilterData" localSheetId="6" hidden="1">'REDE PRESSURIZADA'!$B$22:$J$312</definedName>
    <definedName name="Z_35986FD2_72C5_4112_9506_60664EC0B9FE_.wvu.FilterData" localSheetId="16" hidden="1">'SERVIÇOS PRELIMINARES'!$A$22:$W$30</definedName>
    <definedName name="Z_38438846_B678_49B0_91B7_319FBAEF6509_.wvu.FilterData" localSheetId="10" hidden="1">'Custo Drenagem'!$B$22:$J$52</definedName>
    <definedName name="Z_38438846_B678_49B0_91B7_319FBAEF6509_.wvu.FilterData" localSheetId="4" hidden="1">'Custo EBSs'!$B$22:$J$832</definedName>
    <definedName name="Z_38438846_B678_49B0_91B7_319FBAEF6509_.wvu.FilterData" localSheetId="2" hidden="1">'Custos Canais'!$B$22:$J$296</definedName>
    <definedName name="Z_38438846_B678_49B0_91B7_319FBAEF6509_.wvu.FilterData" localSheetId="8" hidden="1">'Custos On farm'!$B$22:$J$197</definedName>
    <definedName name="Z_38438846_B678_49B0_91B7_319FBAEF6509_.wvu.FilterData" localSheetId="14" hidden="1">'Custos Rede Baixa Pressão'!$B$5:$J$37</definedName>
    <definedName name="Z_38438846_B678_49B0_91B7_319FBAEF6509_.wvu.FilterData" localSheetId="12" hidden="1">'Custos Sistema Viário'!$B$22:$J$33</definedName>
    <definedName name="Z_38438846_B678_49B0_91B7_319FBAEF6509_.wvu.FilterData" localSheetId="17" hidden="1">DESMATAMENTO!$A$22:$X$26</definedName>
    <definedName name="Z_38438846_B678_49B0_91B7_319FBAEF6509_.wvu.FilterData" localSheetId="6" hidden="1">'REDE PRESSURIZADA'!$B$22:$J$312</definedName>
    <definedName name="Z_38438846_B678_49B0_91B7_319FBAEF6509_.wvu.FilterData" localSheetId="16" hidden="1">'SERVIÇOS PRELIMINARES'!$A$22:$W$30</definedName>
    <definedName name="Z_39424DE9_75A2_4597_A31A_42A57B7DF473_.wvu.FilterData" localSheetId="10" hidden="1">'Custo Drenagem'!$B$22:$J$52</definedName>
    <definedName name="Z_39424DE9_75A2_4597_A31A_42A57B7DF473_.wvu.FilterData" localSheetId="4" hidden="1">'Custo EBSs'!$B$22:$J$832</definedName>
    <definedName name="Z_39424DE9_75A2_4597_A31A_42A57B7DF473_.wvu.FilterData" localSheetId="2" hidden="1">'Custos Canais'!$B$22:$J$296</definedName>
    <definedName name="Z_39424DE9_75A2_4597_A31A_42A57B7DF473_.wvu.FilterData" localSheetId="8" hidden="1">'Custos On farm'!$B$22:$J$197</definedName>
    <definedName name="Z_39424DE9_75A2_4597_A31A_42A57B7DF473_.wvu.FilterData" localSheetId="14" hidden="1">'Custos Rede Baixa Pressão'!$B$5:$J$37</definedName>
    <definedName name="Z_39424DE9_75A2_4597_A31A_42A57B7DF473_.wvu.FilterData" localSheetId="12" hidden="1">'Custos Sistema Viário'!$B$22:$J$33</definedName>
    <definedName name="Z_39424DE9_75A2_4597_A31A_42A57B7DF473_.wvu.FilterData" localSheetId="17" hidden="1">DESMATAMENTO!$A$22:$X$26</definedName>
    <definedName name="Z_39424DE9_75A2_4597_A31A_42A57B7DF473_.wvu.FilterData" localSheetId="6" hidden="1">'REDE PRESSURIZADA'!$B$22:$J$312</definedName>
    <definedName name="Z_39424DE9_75A2_4597_A31A_42A57B7DF473_.wvu.FilterData" localSheetId="16" hidden="1">'SERVIÇOS PRELIMINARES'!$A$22:$W$30</definedName>
    <definedName name="Z_399882F3_56AB_49C7_9858_63AD2A3C8BEF_.wvu.FilterData" localSheetId="10" hidden="1">'Custo Drenagem'!$B$22:$J$52</definedName>
    <definedName name="Z_399882F3_56AB_49C7_9858_63AD2A3C8BEF_.wvu.FilterData" localSheetId="4" hidden="1">'Custo EBSs'!$B$22:$J$832</definedName>
    <definedName name="Z_399882F3_56AB_49C7_9858_63AD2A3C8BEF_.wvu.FilterData" localSheetId="2" hidden="1">'Custos Canais'!$B$22:$J$296</definedName>
    <definedName name="Z_399882F3_56AB_49C7_9858_63AD2A3C8BEF_.wvu.FilterData" localSheetId="8" hidden="1">'Custos On farm'!$B$22:$J$197</definedName>
    <definedName name="Z_399882F3_56AB_49C7_9858_63AD2A3C8BEF_.wvu.FilterData" localSheetId="14" hidden="1">'Custos Rede Baixa Pressão'!$B$5:$J$37</definedName>
    <definedName name="Z_399882F3_56AB_49C7_9858_63AD2A3C8BEF_.wvu.FilterData" localSheetId="12" hidden="1">'Custos Sistema Viário'!$B$22:$J$33</definedName>
    <definedName name="Z_399882F3_56AB_49C7_9858_63AD2A3C8BEF_.wvu.FilterData" localSheetId="17" hidden="1">DESMATAMENTO!$A$22:$X$26</definedName>
    <definedName name="Z_399882F3_56AB_49C7_9858_63AD2A3C8BEF_.wvu.FilterData" localSheetId="6" hidden="1">'REDE PRESSURIZADA'!$B$22:$J$312</definedName>
    <definedName name="Z_399882F3_56AB_49C7_9858_63AD2A3C8BEF_.wvu.FilterData" localSheetId="16" hidden="1">'SERVIÇOS PRELIMINARES'!$A$22:$W$30</definedName>
    <definedName name="Z_39B02E40_C118_43BC_9AA8_956BC4C9445F_.wvu.FilterData" localSheetId="10" hidden="1">'Custo Drenagem'!$B$22:$J$52</definedName>
    <definedName name="Z_39B02E40_C118_43BC_9AA8_956BC4C9445F_.wvu.FilterData" localSheetId="4" hidden="1">'Custo EBSs'!$B$22:$J$832</definedName>
    <definedName name="Z_39B02E40_C118_43BC_9AA8_956BC4C9445F_.wvu.FilterData" localSheetId="2" hidden="1">'Custos Canais'!$B$22:$J$296</definedName>
    <definedName name="Z_39B02E40_C118_43BC_9AA8_956BC4C9445F_.wvu.FilterData" localSheetId="8" hidden="1">'Custos On farm'!$B$22:$J$197</definedName>
    <definedName name="Z_39B02E40_C118_43BC_9AA8_956BC4C9445F_.wvu.FilterData" localSheetId="14" hidden="1">'Custos Rede Baixa Pressão'!$B$5:$J$37</definedName>
    <definedName name="Z_39B02E40_C118_43BC_9AA8_956BC4C9445F_.wvu.FilterData" localSheetId="12" hidden="1">'Custos Sistema Viário'!$B$22:$J$33</definedName>
    <definedName name="Z_39B02E40_C118_43BC_9AA8_956BC4C9445F_.wvu.FilterData" localSheetId="17" hidden="1">DESMATAMENTO!$A$22:$X$26</definedName>
    <definedName name="Z_39B02E40_C118_43BC_9AA8_956BC4C9445F_.wvu.FilterData" localSheetId="6" hidden="1">'REDE PRESSURIZADA'!$B$22:$J$312</definedName>
    <definedName name="Z_39B02E40_C118_43BC_9AA8_956BC4C9445F_.wvu.FilterData" localSheetId="16" hidden="1">'SERVIÇOS PRELIMINARES'!$A$22:$W$30</definedName>
    <definedName name="Z_3C627CAF_E64E_4C25_8BED_36A9C956E8C1_.wvu.FilterData" localSheetId="10" hidden="1">'Custo Drenagem'!$B$22:$J$52</definedName>
    <definedName name="Z_3C627CAF_E64E_4C25_8BED_36A9C956E8C1_.wvu.FilterData" localSheetId="4" hidden="1">'Custo EBSs'!$B$22:$J$832</definedName>
    <definedName name="Z_3C627CAF_E64E_4C25_8BED_36A9C956E8C1_.wvu.FilterData" localSheetId="2" hidden="1">'Custos Canais'!$B$22:$J$296</definedName>
    <definedName name="Z_3C627CAF_E64E_4C25_8BED_36A9C956E8C1_.wvu.FilterData" localSheetId="8" hidden="1">'Custos On farm'!$B$22:$J$197</definedName>
    <definedName name="Z_3C627CAF_E64E_4C25_8BED_36A9C956E8C1_.wvu.FilterData" localSheetId="14" hidden="1">'Custos Rede Baixa Pressão'!$B$5:$J$37</definedName>
    <definedName name="Z_3C627CAF_E64E_4C25_8BED_36A9C956E8C1_.wvu.FilterData" localSheetId="12" hidden="1">'Custos Sistema Viário'!$B$22:$J$33</definedName>
    <definedName name="Z_3C627CAF_E64E_4C25_8BED_36A9C956E8C1_.wvu.FilterData" localSheetId="17" hidden="1">DESMATAMENTO!$A$22:$X$26</definedName>
    <definedName name="Z_3C627CAF_E64E_4C25_8BED_36A9C956E8C1_.wvu.FilterData" localSheetId="6" hidden="1">'REDE PRESSURIZADA'!$B$22:$J$312</definedName>
    <definedName name="Z_3C627CAF_E64E_4C25_8BED_36A9C956E8C1_.wvu.FilterData" localSheetId="16" hidden="1">'SERVIÇOS PRELIMINARES'!$A$22:$W$30</definedName>
    <definedName name="Z_3DC56E27_103F_4D88_B9AD_F5D7768FBA74_.wvu.FilterData" localSheetId="10" hidden="1">'Custo Drenagem'!$B$22:$J$52</definedName>
    <definedName name="Z_3DC56E27_103F_4D88_B9AD_F5D7768FBA74_.wvu.FilterData" localSheetId="4" hidden="1">'Custo EBSs'!$B$22:$J$832</definedName>
    <definedName name="Z_3DC56E27_103F_4D88_B9AD_F5D7768FBA74_.wvu.FilterData" localSheetId="2" hidden="1">'Custos Canais'!$B$22:$J$296</definedName>
    <definedName name="Z_3DC56E27_103F_4D88_B9AD_F5D7768FBA74_.wvu.FilterData" localSheetId="8" hidden="1">'Custos On farm'!$B$22:$J$197</definedName>
    <definedName name="Z_3DC56E27_103F_4D88_B9AD_F5D7768FBA74_.wvu.FilterData" localSheetId="14" hidden="1">'Custos Rede Baixa Pressão'!$B$5:$J$37</definedName>
    <definedName name="Z_3DC56E27_103F_4D88_B9AD_F5D7768FBA74_.wvu.FilterData" localSheetId="12" hidden="1">'Custos Sistema Viário'!$B$22:$J$33</definedName>
    <definedName name="Z_3DC56E27_103F_4D88_B9AD_F5D7768FBA74_.wvu.FilterData" localSheetId="17" hidden="1">DESMATAMENTO!$A$22:$X$26</definedName>
    <definedName name="Z_3DC56E27_103F_4D88_B9AD_F5D7768FBA74_.wvu.FilterData" localSheetId="6" hidden="1">'REDE PRESSURIZADA'!$B$22:$J$312</definedName>
    <definedName name="Z_3DC56E27_103F_4D88_B9AD_F5D7768FBA74_.wvu.FilterData" localSheetId="16" hidden="1">'SERVIÇOS PRELIMINARES'!$A$22:$W$30</definedName>
    <definedName name="Z_3E42E4FF_2555_4F79_8826_408A3B1A31E2_.wvu.FilterData" localSheetId="10" hidden="1">'Custo Drenagem'!$B$22:$J$52</definedName>
    <definedName name="Z_3E42E4FF_2555_4F79_8826_408A3B1A31E2_.wvu.FilterData" localSheetId="4" hidden="1">'Custo EBSs'!$B$22:$J$832</definedName>
    <definedName name="Z_3E42E4FF_2555_4F79_8826_408A3B1A31E2_.wvu.FilterData" localSheetId="2" hidden="1">'Custos Canais'!$B$22:$J$294</definedName>
    <definedName name="Z_3E42E4FF_2555_4F79_8826_408A3B1A31E2_.wvu.FilterData" localSheetId="8" hidden="1">'Custos On farm'!$B$22:$J$197</definedName>
    <definedName name="Z_3E42E4FF_2555_4F79_8826_408A3B1A31E2_.wvu.FilterData" localSheetId="14" hidden="1">'Custos Rede Baixa Pressão'!$B$5:$J$37</definedName>
    <definedName name="Z_3E42E4FF_2555_4F79_8826_408A3B1A31E2_.wvu.FilterData" localSheetId="12" hidden="1">'Custos Sistema Viário'!$B$22:$J$33</definedName>
    <definedName name="Z_3E42E4FF_2555_4F79_8826_408A3B1A31E2_.wvu.FilterData" localSheetId="17" hidden="1">DESMATAMENTO!$A$22:$X$26</definedName>
    <definedName name="Z_3E42E4FF_2555_4F79_8826_408A3B1A31E2_.wvu.FilterData" localSheetId="6" hidden="1">'REDE PRESSURIZADA'!$B$22:$J$312</definedName>
    <definedName name="Z_3E42E4FF_2555_4F79_8826_408A3B1A31E2_.wvu.FilterData" localSheetId="16" hidden="1">'SERVIÇOS PRELIMINARES'!$A$22:$W$30</definedName>
    <definedName name="Z_3E69542D_3807_4665_8AA7_B81C1136106E_.wvu.FilterData" localSheetId="10" hidden="1">'Custo Drenagem'!$B$22:$J$52</definedName>
    <definedName name="Z_3E69542D_3807_4665_8AA7_B81C1136106E_.wvu.FilterData" localSheetId="4" hidden="1">'Custo EBSs'!$B$22:$J$832</definedName>
    <definedName name="Z_3E69542D_3807_4665_8AA7_B81C1136106E_.wvu.FilterData" localSheetId="2" hidden="1">'Custos Canais'!$B$22:$J$296</definedName>
    <definedName name="Z_3E69542D_3807_4665_8AA7_B81C1136106E_.wvu.FilterData" localSheetId="8" hidden="1">'Custos On farm'!$B$22:$J$197</definedName>
    <definedName name="Z_3E69542D_3807_4665_8AA7_B81C1136106E_.wvu.FilterData" localSheetId="14" hidden="1">'Custos Rede Baixa Pressão'!$B$5:$J$37</definedName>
    <definedName name="Z_3E69542D_3807_4665_8AA7_B81C1136106E_.wvu.FilterData" localSheetId="12" hidden="1">'Custos Sistema Viário'!$B$22:$J$33</definedName>
    <definedName name="Z_3E69542D_3807_4665_8AA7_B81C1136106E_.wvu.FilterData" localSheetId="17" hidden="1">DESMATAMENTO!$A$22:$X$26</definedName>
    <definedName name="Z_3E69542D_3807_4665_8AA7_B81C1136106E_.wvu.FilterData" localSheetId="6" hidden="1">'REDE PRESSURIZADA'!$B$22:$J$312</definedName>
    <definedName name="Z_3E69542D_3807_4665_8AA7_B81C1136106E_.wvu.FilterData" localSheetId="16" hidden="1">'SERVIÇOS PRELIMINARES'!$A$22:$W$30</definedName>
    <definedName name="Z_3F900805_7DDC_4EBA_9F04_DF75E846D5AD_.wvu.FilterData" localSheetId="10" hidden="1">'Custo Drenagem'!$B$22:$J$52</definedName>
    <definedName name="Z_3F900805_7DDC_4EBA_9F04_DF75E846D5AD_.wvu.FilterData" localSheetId="4" hidden="1">'Custo EBSs'!$B$22:$J$832</definedName>
    <definedName name="Z_3F900805_7DDC_4EBA_9F04_DF75E846D5AD_.wvu.FilterData" localSheetId="2" hidden="1">'Custos Canais'!$B$22:$J$296</definedName>
    <definedName name="Z_3F900805_7DDC_4EBA_9F04_DF75E846D5AD_.wvu.FilterData" localSheetId="8" hidden="1">'Custos On farm'!$B$22:$J$197</definedName>
    <definedName name="Z_3F900805_7DDC_4EBA_9F04_DF75E846D5AD_.wvu.FilterData" localSheetId="14" hidden="1">'Custos Rede Baixa Pressão'!$B$5:$J$37</definedName>
    <definedName name="Z_3F900805_7DDC_4EBA_9F04_DF75E846D5AD_.wvu.FilterData" localSheetId="12" hidden="1">'Custos Sistema Viário'!$B$22:$J$33</definedName>
    <definedName name="Z_3F900805_7DDC_4EBA_9F04_DF75E846D5AD_.wvu.FilterData" localSheetId="17" hidden="1">DESMATAMENTO!$A$22:$X$26</definedName>
    <definedName name="Z_3F900805_7DDC_4EBA_9F04_DF75E846D5AD_.wvu.FilterData" localSheetId="6" hidden="1">'REDE PRESSURIZADA'!$B$22:$J$312</definedName>
    <definedName name="Z_3F900805_7DDC_4EBA_9F04_DF75E846D5AD_.wvu.FilterData" localSheetId="16" hidden="1">'SERVIÇOS PRELIMINARES'!$A$22:$W$30</definedName>
    <definedName name="Z_4107BB2A_0B6B_4A00_A8A5_1FEA9044E50D_.wvu.FilterData" localSheetId="10" hidden="1">'Custo Drenagem'!$B$22:$J$52</definedName>
    <definedName name="Z_4107BB2A_0B6B_4A00_A8A5_1FEA9044E50D_.wvu.FilterData" localSheetId="4" hidden="1">'Custo EBSs'!$B$22:$J$832</definedName>
    <definedName name="Z_4107BB2A_0B6B_4A00_A8A5_1FEA9044E50D_.wvu.FilterData" localSheetId="2" hidden="1">'Custos Canais'!$B$22:$J$296</definedName>
    <definedName name="Z_4107BB2A_0B6B_4A00_A8A5_1FEA9044E50D_.wvu.FilterData" localSheetId="8" hidden="1">'Custos On farm'!$B$22:$J$197</definedName>
    <definedName name="Z_4107BB2A_0B6B_4A00_A8A5_1FEA9044E50D_.wvu.FilterData" localSheetId="14" hidden="1">'Custos Rede Baixa Pressão'!$B$5:$J$37</definedName>
    <definedName name="Z_4107BB2A_0B6B_4A00_A8A5_1FEA9044E50D_.wvu.FilterData" localSheetId="12" hidden="1">'Custos Sistema Viário'!$B$22:$J$33</definedName>
    <definedName name="Z_4107BB2A_0B6B_4A00_A8A5_1FEA9044E50D_.wvu.FilterData" localSheetId="17" hidden="1">DESMATAMENTO!$A$22:$X$26</definedName>
    <definedName name="Z_4107BB2A_0B6B_4A00_A8A5_1FEA9044E50D_.wvu.FilterData" localSheetId="6" hidden="1">'REDE PRESSURIZADA'!$B$22:$J$312</definedName>
    <definedName name="Z_4107BB2A_0B6B_4A00_A8A5_1FEA9044E50D_.wvu.FilterData" localSheetId="16" hidden="1">'SERVIÇOS PRELIMINARES'!$A$22:$W$30</definedName>
    <definedName name="Z_432DDFD3_8FAA_41D1_A636_C6C38D159382_.wvu.FilterData" localSheetId="10" hidden="1">'Custo Drenagem'!$B$22:$J$52</definedName>
    <definedName name="Z_432DDFD3_8FAA_41D1_A636_C6C38D159382_.wvu.FilterData" localSheetId="4" hidden="1">'Custo EBSs'!$B$22:$J$832</definedName>
    <definedName name="Z_432DDFD3_8FAA_41D1_A636_C6C38D159382_.wvu.FilterData" localSheetId="2" hidden="1">'Custos Canais'!$B$22:$J$294</definedName>
    <definedName name="Z_432DDFD3_8FAA_41D1_A636_C6C38D159382_.wvu.FilterData" localSheetId="8" hidden="1">'Custos On farm'!$B$22:$J$197</definedName>
    <definedName name="Z_432DDFD3_8FAA_41D1_A636_C6C38D159382_.wvu.FilterData" localSheetId="14" hidden="1">'Custos Rede Baixa Pressão'!$B$5:$J$37</definedName>
    <definedName name="Z_432DDFD3_8FAA_41D1_A636_C6C38D159382_.wvu.FilterData" localSheetId="12" hidden="1">'Custos Sistema Viário'!$B$22:$J$33</definedName>
    <definedName name="Z_432DDFD3_8FAA_41D1_A636_C6C38D159382_.wvu.FilterData" localSheetId="17" hidden="1">DESMATAMENTO!$A$22:$X$26</definedName>
    <definedName name="Z_432DDFD3_8FAA_41D1_A636_C6C38D159382_.wvu.FilterData" localSheetId="6" hidden="1">'REDE PRESSURIZADA'!$B$22:$J$312</definedName>
    <definedName name="Z_432DDFD3_8FAA_41D1_A636_C6C38D159382_.wvu.FilterData" localSheetId="16" hidden="1">'SERVIÇOS PRELIMINARES'!$A$22:$W$30</definedName>
    <definedName name="Z_46583E5A_8C9C_4966_8907_688FFE2F54EC_.wvu.FilterData" localSheetId="10" hidden="1">'Custo Drenagem'!$B$22:$J$52</definedName>
    <definedName name="Z_46583E5A_8C9C_4966_8907_688FFE2F54EC_.wvu.FilterData" localSheetId="4" hidden="1">'Custo EBSs'!$B$22:$J$832</definedName>
    <definedName name="Z_46583E5A_8C9C_4966_8907_688FFE2F54EC_.wvu.FilterData" localSheetId="2" hidden="1">'Custos Canais'!$B$22:$J$296</definedName>
    <definedName name="Z_46583E5A_8C9C_4966_8907_688FFE2F54EC_.wvu.FilterData" localSheetId="8" hidden="1">'Custos On farm'!$B$22:$J$197</definedName>
    <definedName name="Z_46583E5A_8C9C_4966_8907_688FFE2F54EC_.wvu.FilterData" localSheetId="14" hidden="1">'Custos Rede Baixa Pressão'!$B$5:$J$37</definedName>
    <definedName name="Z_46583E5A_8C9C_4966_8907_688FFE2F54EC_.wvu.FilterData" localSheetId="12" hidden="1">'Custos Sistema Viário'!$B$22:$J$33</definedName>
    <definedName name="Z_46583E5A_8C9C_4966_8907_688FFE2F54EC_.wvu.FilterData" localSheetId="17" hidden="1">DESMATAMENTO!$A$22:$X$26</definedName>
    <definedName name="Z_46583E5A_8C9C_4966_8907_688FFE2F54EC_.wvu.FilterData" localSheetId="6" hidden="1">'REDE PRESSURIZADA'!$B$22:$J$312</definedName>
    <definedName name="Z_46583E5A_8C9C_4966_8907_688FFE2F54EC_.wvu.FilterData" localSheetId="16" hidden="1">'SERVIÇOS PRELIMINARES'!$A$22:$W$30</definedName>
    <definedName name="Z_4A4A7E65_ABB4_444B_A273_159C19DF3F58_.wvu.FilterData" localSheetId="10" hidden="1">'Custo Drenagem'!$B$22:$J$52</definedName>
    <definedName name="Z_4A4A7E65_ABB4_444B_A273_159C19DF3F58_.wvu.FilterData" localSheetId="4" hidden="1">'Custo EBSs'!$B$22:$J$832</definedName>
    <definedName name="Z_4A4A7E65_ABB4_444B_A273_159C19DF3F58_.wvu.FilterData" localSheetId="2" hidden="1">'Custos Canais'!$B$22:$J$296</definedName>
    <definedName name="Z_4A4A7E65_ABB4_444B_A273_159C19DF3F58_.wvu.FilterData" localSheetId="8" hidden="1">'Custos On farm'!$B$22:$J$197</definedName>
    <definedName name="Z_4A4A7E65_ABB4_444B_A273_159C19DF3F58_.wvu.FilterData" localSheetId="14" hidden="1">'Custos Rede Baixa Pressão'!$B$5:$J$37</definedName>
    <definedName name="Z_4A4A7E65_ABB4_444B_A273_159C19DF3F58_.wvu.FilterData" localSheetId="12" hidden="1">'Custos Sistema Viário'!$B$22:$J$33</definedName>
    <definedName name="Z_4A4A7E65_ABB4_444B_A273_159C19DF3F58_.wvu.FilterData" localSheetId="17" hidden="1">DESMATAMENTO!$A$22:$X$26</definedName>
    <definedName name="Z_4A4A7E65_ABB4_444B_A273_159C19DF3F58_.wvu.FilterData" localSheetId="6" hidden="1">'REDE PRESSURIZADA'!$B$22:$J$312</definedName>
    <definedName name="Z_4A4A7E65_ABB4_444B_A273_159C19DF3F58_.wvu.FilterData" localSheetId="16" hidden="1">'SERVIÇOS PRELIMINARES'!$A$22:$W$30</definedName>
    <definedName name="Z_4D9701C1_DD84_4120_A880_4D7C7A59F296_.wvu.FilterData" localSheetId="10" hidden="1">'Custo Drenagem'!$B$22:$J$52</definedName>
    <definedName name="Z_4D9701C1_DD84_4120_A880_4D7C7A59F296_.wvu.FilterData" localSheetId="4" hidden="1">'Custo EBSs'!$B$22:$J$832</definedName>
    <definedName name="Z_4D9701C1_DD84_4120_A880_4D7C7A59F296_.wvu.FilterData" localSheetId="2" hidden="1">'Custos Canais'!$B$22:$J$296</definedName>
    <definedName name="Z_4D9701C1_DD84_4120_A880_4D7C7A59F296_.wvu.FilterData" localSheetId="8" hidden="1">'Custos On farm'!$B$22:$J$197</definedName>
    <definedName name="Z_4D9701C1_DD84_4120_A880_4D7C7A59F296_.wvu.FilterData" localSheetId="14" hidden="1">'Custos Rede Baixa Pressão'!$B$5:$J$37</definedName>
    <definedName name="Z_4D9701C1_DD84_4120_A880_4D7C7A59F296_.wvu.FilterData" localSheetId="12" hidden="1">'Custos Sistema Viário'!$B$22:$J$33</definedName>
    <definedName name="Z_4D9701C1_DD84_4120_A880_4D7C7A59F296_.wvu.FilterData" localSheetId="17" hidden="1">DESMATAMENTO!$A$22:$X$26</definedName>
    <definedName name="Z_4D9701C1_DD84_4120_A880_4D7C7A59F296_.wvu.FilterData" localSheetId="6" hidden="1">'REDE PRESSURIZADA'!$B$22:$J$312</definedName>
    <definedName name="Z_4D9701C1_DD84_4120_A880_4D7C7A59F296_.wvu.FilterData" localSheetId="16" hidden="1">'SERVIÇOS PRELIMINARES'!$A$22:$W$30</definedName>
    <definedName name="Z_51B125D0_4E85_4B05_B8D5_39805DAEBFD5_.wvu.FilterData" localSheetId="10" hidden="1">'Custo Drenagem'!$B$22:$J$52</definedName>
    <definedName name="Z_51B125D0_4E85_4B05_B8D5_39805DAEBFD5_.wvu.FilterData" localSheetId="4" hidden="1">'Custo EBSs'!$B$22:$J$832</definedName>
    <definedName name="Z_51B125D0_4E85_4B05_B8D5_39805DAEBFD5_.wvu.FilterData" localSheetId="2" hidden="1">'Custos Canais'!$B$22:$J$296</definedName>
    <definedName name="Z_51B125D0_4E85_4B05_B8D5_39805DAEBFD5_.wvu.FilterData" localSheetId="8" hidden="1">'Custos On farm'!$B$22:$J$197</definedName>
    <definedName name="Z_51B125D0_4E85_4B05_B8D5_39805DAEBFD5_.wvu.FilterData" localSheetId="14" hidden="1">'Custos Rede Baixa Pressão'!$B$5:$J$37</definedName>
    <definedName name="Z_51B125D0_4E85_4B05_B8D5_39805DAEBFD5_.wvu.FilterData" localSheetId="12" hidden="1">'Custos Sistema Viário'!$B$22:$J$33</definedName>
    <definedName name="Z_51B125D0_4E85_4B05_B8D5_39805DAEBFD5_.wvu.FilterData" localSheetId="17" hidden="1">DESMATAMENTO!$A$22:$X$26</definedName>
    <definedName name="Z_51B125D0_4E85_4B05_B8D5_39805DAEBFD5_.wvu.FilterData" localSheetId="6" hidden="1">'REDE PRESSURIZADA'!$B$22:$J$312</definedName>
    <definedName name="Z_51B125D0_4E85_4B05_B8D5_39805DAEBFD5_.wvu.FilterData" localSheetId="16" hidden="1">'SERVIÇOS PRELIMINARES'!$A$22:$W$30</definedName>
    <definedName name="Z_5426CB54_975C_4BCE_8531_95E7B668F880_.wvu.FilterData" localSheetId="10" hidden="1">'Custo Drenagem'!$B$22:$J$52</definedName>
    <definedName name="Z_5426CB54_975C_4BCE_8531_95E7B668F880_.wvu.FilterData" localSheetId="4" hidden="1">'Custo EBSs'!$B$22:$J$832</definedName>
    <definedName name="Z_5426CB54_975C_4BCE_8531_95E7B668F880_.wvu.FilterData" localSheetId="2" hidden="1">'Custos Canais'!$B$22:$J$296</definedName>
    <definedName name="Z_5426CB54_975C_4BCE_8531_95E7B668F880_.wvu.FilterData" localSheetId="8" hidden="1">'Custos On farm'!$B$22:$J$197</definedName>
    <definedName name="Z_5426CB54_975C_4BCE_8531_95E7B668F880_.wvu.FilterData" localSheetId="14" hidden="1">'Custos Rede Baixa Pressão'!$B$5:$J$37</definedName>
    <definedName name="Z_5426CB54_975C_4BCE_8531_95E7B668F880_.wvu.FilterData" localSheetId="12" hidden="1">'Custos Sistema Viário'!$B$22:$J$33</definedName>
    <definedName name="Z_5426CB54_975C_4BCE_8531_95E7B668F880_.wvu.FilterData" localSheetId="17" hidden="1">DESMATAMENTO!$A$22:$X$26</definedName>
    <definedName name="Z_5426CB54_975C_4BCE_8531_95E7B668F880_.wvu.FilterData" localSheetId="6" hidden="1">'REDE PRESSURIZADA'!$B$22:$J$312</definedName>
    <definedName name="Z_5426CB54_975C_4BCE_8531_95E7B668F880_.wvu.FilterData" localSheetId="16" hidden="1">'SERVIÇOS PRELIMINARES'!$A$22:$W$30</definedName>
    <definedName name="Z_576F1171_A8FD_40E6_A9C5_DD477E72FF47_.wvu.FilterData" localSheetId="10" hidden="1">'Custo Drenagem'!$B$22:$J$52</definedName>
    <definedName name="Z_576F1171_A8FD_40E6_A9C5_DD477E72FF47_.wvu.FilterData" localSheetId="4" hidden="1">'Custo EBSs'!$B$22:$J$832</definedName>
    <definedName name="Z_576F1171_A8FD_40E6_A9C5_DD477E72FF47_.wvu.FilterData" localSheetId="2" hidden="1">'Custos Canais'!$B$22:$J$296</definedName>
    <definedName name="Z_576F1171_A8FD_40E6_A9C5_DD477E72FF47_.wvu.FilterData" localSheetId="8" hidden="1">'Custos On farm'!$B$22:$J$197</definedName>
    <definedName name="Z_576F1171_A8FD_40E6_A9C5_DD477E72FF47_.wvu.FilterData" localSheetId="14" hidden="1">'Custos Rede Baixa Pressão'!$B$5:$J$37</definedName>
    <definedName name="Z_576F1171_A8FD_40E6_A9C5_DD477E72FF47_.wvu.FilterData" localSheetId="12" hidden="1">'Custos Sistema Viário'!$B$22:$J$33</definedName>
    <definedName name="Z_576F1171_A8FD_40E6_A9C5_DD477E72FF47_.wvu.FilterData" localSheetId="17" hidden="1">DESMATAMENTO!$A$22:$X$26</definedName>
    <definedName name="Z_576F1171_A8FD_40E6_A9C5_DD477E72FF47_.wvu.FilterData" localSheetId="6" hidden="1">'REDE PRESSURIZADA'!$B$22:$J$312</definedName>
    <definedName name="Z_576F1171_A8FD_40E6_A9C5_DD477E72FF47_.wvu.FilterData" localSheetId="16" hidden="1">'SERVIÇOS PRELIMINARES'!$A$22:$W$30</definedName>
    <definedName name="Z_5B0F28C0_5885_4319_B009_28760982E159_.wvu.FilterData" localSheetId="10" hidden="1">'Custo Drenagem'!$B$22:$J$52</definedName>
    <definedName name="Z_5B0F28C0_5885_4319_B009_28760982E159_.wvu.FilterData" localSheetId="4" hidden="1">'Custo EBSs'!$B$22:$J$832</definedName>
    <definedName name="Z_5B0F28C0_5885_4319_B009_28760982E159_.wvu.FilterData" localSheetId="2" hidden="1">'Custos Canais'!$B$22:$J$296</definedName>
    <definedName name="Z_5B0F28C0_5885_4319_B009_28760982E159_.wvu.FilterData" localSheetId="8" hidden="1">'Custos On farm'!$B$22:$J$197</definedName>
    <definedName name="Z_5B0F28C0_5885_4319_B009_28760982E159_.wvu.FilterData" localSheetId="14" hidden="1">'Custos Rede Baixa Pressão'!$B$5:$J$37</definedName>
    <definedName name="Z_5B0F28C0_5885_4319_B009_28760982E159_.wvu.FilterData" localSheetId="12" hidden="1">'Custos Sistema Viário'!$B$22:$J$33</definedName>
    <definedName name="Z_5B0F28C0_5885_4319_B009_28760982E159_.wvu.FilterData" localSheetId="17" hidden="1">DESMATAMENTO!$A$22:$X$26</definedName>
    <definedName name="Z_5B0F28C0_5885_4319_B009_28760982E159_.wvu.FilterData" localSheetId="6" hidden="1">'REDE PRESSURIZADA'!$B$22:$J$312</definedName>
    <definedName name="Z_5B0F28C0_5885_4319_B009_28760982E159_.wvu.FilterData" localSheetId="16" hidden="1">'SERVIÇOS PRELIMINARES'!$A$22:$W$30</definedName>
    <definedName name="Z_5CBE5677_262C_4837_9260_2372759C3C3D_.wvu.FilterData" localSheetId="10" hidden="1">'Custo Drenagem'!$B$22:$J$52</definedName>
    <definedName name="Z_5CBE5677_262C_4837_9260_2372759C3C3D_.wvu.FilterData" localSheetId="4" hidden="1">'Custo EBSs'!$B$22:$J$832</definedName>
    <definedName name="Z_5CBE5677_262C_4837_9260_2372759C3C3D_.wvu.FilterData" localSheetId="2" hidden="1">'Custos Canais'!$B$22:$J$296</definedName>
    <definedName name="Z_5CBE5677_262C_4837_9260_2372759C3C3D_.wvu.FilterData" localSheetId="8" hidden="1">'Custos On farm'!$B$22:$J$197</definedName>
    <definedName name="Z_5CBE5677_262C_4837_9260_2372759C3C3D_.wvu.FilterData" localSheetId="14" hidden="1">'Custos Rede Baixa Pressão'!$B$5:$J$37</definedName>
    <definedName name="Z_5CBE5677_262C_4837_9260_2372759C3C3D_.wvu.FilterData" localSheetId="12" hidden="1">'Custos Sistema Viário'!$B$22:$J$33</definedName>
    <definedName name="Z_5CBE5677_262C_4837_9260_2372759C3C3D_.wvu.FilterData" localSheetId="17" hidden="1">DESMATAMENTO!$A$22:$X$26</definedName>
    <definedName name="Z_5CBE5677_262C_4837_9260_2372759C3C3D_.wvu.FilterData" localSheetId="6" hidden="1">'REDE PRESSURIZADA'!$B$22:$J$312</definedName>
    <definedName name="Z_5CBE5677_262C_4837_9260_2372759C3C3D_.wvu.FilterData" localSheetId="16" hidden="1">'SERVIÇOS PRELIMINARES'!$A$22:$W$30</definedName>
    <definedName name="Z_5E9A0929_E2A3_4DC5_9D77_4CB27EB71858_.wvu.FilterData" localSheetId="10" hidden="1">'Custo Drenagem'!$B$22:$J$52</definedName>
    <definedName name="Z_5E9A0929_E2A3_4DC5_9D77_4CB27EB71858_.wvu.FilterData" localSheetId="4" hidden="1">'Custo EBSs'!$B$22:$J$832</definedName>
    <definedName name="Z_5E9A0929_E2A3_4DC5_9D77_4CB27EB71858_.wvu.FilterData" localSheetId="2" hidden="1">'Custos Canais'!$B$22:$J$296</definedName>
    <definedName name="Z_5E9A0929_E2A3_4DC5_9D77_4CB27EB71858_.wvu.FilterData" localSheetId="8" hidden="1">'Custos On farm'!$B$22:$J$197</definedName>
    <definedName name="Z_5E9A0929_E2A3_4DC5_9D77_4CB27EB71858_.wvu.FilterData" localSheetId="14" hidden="1">'Custos Rede Baixa Pressão'!$B$5:$J$37</definedName>
    <definedName name="Z_5E9A0929_E2A3_4DC5_9D77_4CB27EB71858_.wvu.FilterData" localSheetId="12" hidden="1">'Custos Sistema Viário'!$B$22:$J$33</definedName>
    <definedName name="Z_5E9A0929_E2A3_4DC5_9D77_4CB27EB71858_.wvu.FilterData" localSheetId="17" hidden="1">DESMATAMENTO!$A$22:$X$26</definedName>
    <definedName name="Z_5E9A0929_E2A3_4DC5_9D77_4CB27EB71858_.wvu.FilterData" localSheetId="6" hidden="1">'REDE PRESSURIZADA'!$B$22:$J$312</definedName>
    <definedName name="Z_5E9A0929_E2A3_4DC5_9D77_4CB27EB71858_.wvu.FilterData" localSheetId="16" hidden="1">'SERVIÇOS PRELIMINARES'!$A$22:$W$30</definedName>
    <definedName name="Z_5F118EFE_5702_4457_A515_32813CA87687_.wvu.FilterData" localSheetId="10" hidden="1">'Custo Drenagem'!$B$22:$J$52</definedName>
    <definedName name="Z_5F118EFE_5702_4457_A515_32813CA87687_.wvu.FilterData" localSheetId="4" hidden="1">'Custo EBSs'!$B$22:$J$832</definedName>
    <definedName name="Z_5F118EFE_5702_4457_A515_32813CA87687_.wvu.FilterData" localSheetId="2" hidden="1">'Custos Canais'!$B$22:$J$296</definedName>
    <definedName name="Z_5F118EFE_5702_4457_A515_32813CA87687_.wvu.FilterData" localSheetId="8" hidden="1">'Custos On farm'!$B$22:$J$197</definedName>
    <definedName name="Z_5F118EFE_5702_4457_A515_32813CA87687_.wvu.FilterData" localSheetId="14" hidden="1">'Custos Rede Baixa Pressão'!$B$5:$J$37</definedName>
    <definedName name="Z_5F118EFE_5702_4457_A515_32813CA87687_.wvu.FilterData" localSheetId="12" hidden="1">'Custos Sistema Viário'!$B$22:$J$33</definedName>
    <definedName name="Z_5F118EFE_5702_4457_A515_32813CA87687_.wvu.FilterData" localSheetId="17" hidden="1">DESMATAMENTO!$A$22:$X$26</definedName>
    <definedName name="Z_5F118EFE_5702_4457_A515_32813CA87687_.wvu.FilterData" localSheetId="6" hidden="1">'REDE PRESSURIZADA'!$B$22:$J$312</definedName>
    <definedName name="Z_5F118EFE_5702_4457_A515_32813CA87687_.wvu.FilterData" localSheetId="16" hidden="1">'SERVIÇOS PRELIMINARES'!$A$22:$W$30</definedName>
    <definedName name="Z_61B5C89B_3A43_440F_829A_D605DFC256FC_.wvu.FilterData" localSheetId="10" hidden="1">'Custo Drenagem'!$B$22:$J$52</definedName>
    <definedName name="Z_61B5C89B_3A43_440F_829A_D605DFC256FC_.wvu.FilterData" localSheetId="4" hidden="1">'Custo EBSs'!$B$22:$J$832</definedName>
    <definedName name="Z_61B5C89B_3A43_440F_829A_D605DFC256FC_.wvu.FilterData" localSheetId="2" hidden="1">'Custos Canais'!$B$22:$J$296</definedName>
    <definedName name="Z_61B5C89B_3A43_440F_829A_D605DFC256FC_.wvu.FilterData" localSheetId="8" hidden="1">'Custos On farm'!$B$22:$J$197</definedName>
    <definedName name="Z_61B5C89B_3A43_440F_829A_D605DFC256FC_.wvu.FilterData" localSheetId="14" hidden="1">'Custos Rede Baixa Pressão'!$B$5:$J$37</definedName>
    <definedName name="Z_61B5C89B_3A43_440F_829A_D605DFC256FC_.wvu.FilterData" localSheetId="12" hidden="1">'Custos Sistema Viário'!$B$22:$J$33</definedName>
    <definedName name="Z_61B5C89B_3A43_440F_829A_D605DFC256FC_.wvu.FilterData" localSheetId="17" hidden="1">DESMATAMENTO!$A$22:$X$26</definedName>
    <definedName name="Z_61B5C89B_3A43_440F_829A_D605DFC256FC_.wvu.FilterData" localSheetId="6" hidden="1">'REDE PRESSURIZADA'!$B$22:$J$312</definedName>
    <definedName name="Z_61B5C89B_3A43_440F_829A_D605DFC256FC_.wvu.FilterData" localSheetId="16" hidden="1">'SERVIÇOS PRELIMINARES'!$A$22:$W$30</definedName>
    <definedName name="Z_62586AD2_491C_4C00_90E7_AAD2E6903194_.wvu.FilterData" localSheetId="10" hidden="1">'Custo Drenagem'!$B$22:$J$52</definedName>
    <definedName name="Z_62586AD2_491C_4C00_90E7_AAD2E6903194_.wvu.FilterData" localSheetId="4" hidden="1">'Custo EBSs'!$B$22:$J$832</definedName>
    <definedName name="Z_62586AD2_491C_4C00_90E7_AAD2E6903194_.wvu.FilterData" localSheetId="2" hidden="1">'Custos Canais'!$B$22:$J$296</definedName>
    <definedName name="Z_62586AD2_491C_4C00_90E7_AAD2E6903194_.wvu.FilterData" localSheetId="8" hidden="1">'Custos On farm'!$B$22:$J$197</definedName>
    <definedName name="Z_62586AD2_491C_4C00_90E7_AAD2E6903194_.wvu.FilterData" localSheetId="14" hidden="1">'Custos Rede Baixa Pressão'!$B$5:$J$37</definedName>
    <definedName name="Z_62586AD2_491C_4C00_90E7_AAD2E6903194_.wvu.FilterData" localSheetId="12" hidden="1">'Custos Sistema Viário'!$B$22:$J$33</definedName>
    <definedName name="Z_62586AD2_491C_4C00_90E7_AAD2E6903194_.wvu.FilterData" localSheetId="17" hidden="1">DESMATAMENTO!$A$22:$X$26</definedName>
    <definedName name="Z_62586AD2_491C_4C00_90E7_AAD2E6903194_.wvu.FilterData" localSheetId="6" hidden="1">'REDE PRESSURIZADA'!$B$22:$J$312</definedName>
    <definedName name="Z_62586AD2_491C_4C00_90E7_AAD2E6903194_.wvu.FilterData" localSheetId="16" hidden="1">'SERVIÇOS PRELIMINARES'!$A$22:$W$30</definedName>
    <definedName name="Z_62707F7C_6C56_4646_80E6_0A90384F1C1D_.wvu.FilterData" localSheetId="10" hidden="1">'Custo Drenagem'!$B$22:$J$52</definedName>
    <definedName name="Z_62707F7C_6C56_4646_80E6_0A90384F1C1D_.wvu.FilterData" localSheetId="4" hidden="1">'Custo EBSs'!$B$22:$J$832</definedName>
    <definedName name="Z_62707F7C_6C56_4646_80E6_0A90384F1C1D_.wvu.FilterData" localSheetId="2" hidden="1">'Custos Canais'!$B$22:$J$296</definedName>
    <definedName name="Z_62707F7C_6C56_4646_80E6_0A90384F1C1D_.wvu.FilterData" localSheetId="8" hidden="1">'Custos On farm'!$B$22:$J$197</definedName>
    <definedName name="Z_62707F7C_6C56_4646_80E6_0A90384F1C1D_.wvu.FilterData" localSheetId="14" hidden="1">'Custos Rede Baixa Pressão'!$B$5:$J$37</definedName>
    <definedName name="Z_62707F7C_6C56_4646_80E6_0A90384F1C1D_.wvu.FilterData" localSheetId="12" hidden="1">'Custos Sistema Viário'!$B$22:$J$33</definedName>
    <definedName name="Z_62707F7C_6C56_4646_80E6_0A90384F1C1D_.wvu.FilterData" localSheetId="17" hidden="1">DESMATAMENTO!$A$22:$X$26</definedName>
    <definedName name="Z_62707F7C_6C56_4646_80E6_0A90384F1C1D_.wvu.FilterData" localSheetId="6" hidden="1">'REDE PRESSURIZADA'!$B$22:$J$312</definedName>
    <definedName name="Z_62707F7C_6C56_4646_80E6_0A90384F1C1D_.wvu.FilterData" localSheetId="16" hidden="1">'SERVIÇOS PRELIMINARES'!$A$22:$W$30</definedName>
    <definedName name="Z_62E41B81_89A0_420A_9B5A_2C33152854AE_.wvu.FilterData" localSheetId="10" hidden="1">'Custo Drenagem'!$B$22:$J$52</definedName>
    <definedName name="Z_62E41B81_89A0_420A_9B5A_2C33152854AE_.wvu.FilterData" localSheetId="4" hidden="1">'Custo EBSs'!$B$22:$J$832</definedName>
    <definedName name="Z_62E41B81_89A0_420A_9B5A_2C33152854AE_.wvu.FilterData" localSheetId="2" hidden="1">'Custos Canais'!$B$22:$J$294</definedName>
    <definedName name="Z_62E41B81_89A0_420A_9B5A_2C33152854AE_.wvu.FilterData" localSheetId="8" hidden="1">'Custos On farm'!$B$22:$J$197</definedName>
    <definedName name="Z_62E41B81_89A0_420A_9B5A_2C33152854AE_.wvu.FilterData" localSheetId="14" hidden="1">'Custos Rede Baixa Pressão'!$B$5:$J$37</definedName>
    <definedName name="Z_62E41B81_89A0_420A_9B5A_2C33152854AE_.wvu.FilterData" localSheetId="12" hidden="1">'Custos Sistema Viário'!$B$22:$J$33</definedName>
    <definedName name="Z_62E41B81_89A0_420A_9B5A_2C33152854AE_.wvu.FilterData" localSheetId="17" hidden="1">DESMATAMENTO!$A$22:$X$26</definedName>
    <definedName name="Z_62E41B81_89A0_420A_9B5A_2C33152854AE_.wvu.FilterData" localSheetId="6" hidden="1">'REDE PRESSURIZADA'!$B$22:$J$312</definedName>
    <definedName name="Z_62E41B81_89A0_420A_9B5A_2C33152854AE_.wvu.FilterData" localSheetId="16" hidden="1">'SERVIÇOS PRELIMINARES'!$A$22:$W$30</definedName>
    <definedName name="Z_63E0B1FC_6C1B_467B_93D7_CF0565D981D1_.wvu.FilterData" localSheetId="10" hidden="1">'Custo Drenagem'!$B$22:$J$52</definedName>
    <definedName name="Z_63E0B1FC_6C1B_467B_93D7_CF0565D981D1_.wvu.FilterData" localSheetId="4" hidden="1">'Custo EBSs'!$B$22:$J$832</definedName>
    <definedName name="Z_63E0B1FC_6C1B_467B_93D7_CF0565D981D1_.wvu.FilterData" localSheetId="2" hidden="1">'Custos Canais'!$B$22:$J$296</definedName>
    <definedName name="Z_63E0B1FC_6C1B_467B_93D7_CF0565D981D1_.wvu.FilterData" localSheetId="8" hidden="1">'Custos On farm'!$B$22:$J$197</definedName>
    <definedName name="Z_63E0B1FC_6C1B_467B_93D7_CF0565D981D1_.wvu.FilterData" localSheetId="14" hidden="1">'Custos Rede Baixa Pressão'!$B$5:$J$37</definedName>
    <definedName name="Z_63E0B1FC_6C1B_467B_93D7_CF0565D981D1_.wvu.FilterData" localSheetId="12" hidden="1">'Custos Sistema Viário'!$B$22:$J$33</definedName>
    <definedName name="Z_63E0B1FC_6C1B_467B_93D7_CF0565D981D1_.wvu.FilterData" localSheetId="17" hidden="1">DESMATAMENTO!$A$22:$X$26</definedName>
    <definedName name="Z_63E0B1FC_6C1B_467B_93D7_CF0565D981D1_.wvu.FilterData" localSheetId="6" hidden="1">'REDE PRESSURIZADA'!$B$22:$J$312</definedName>
    <definedName name="Z_63E0B1FC_6C1B_467B_93D7_CF0565D981D1_.wvu.FilterData" localSheetId="16" hidden="1">'SERVIÇOS PRELIMINARES'!$A$22:$W$30</definedName>
    <definedName name="Z_643B042D_3C78_4745_B0CB_772B401DACCC_.wvu.FilterData" localSheetId="10" hidden="1">'Custo Drenagem'!$B$22:$J$52</definedName>
    <definedName name="Z_643B042D_3C78_4745_B0CB_772B401DACCC_.wvu.FilterData" localSheetId="4" hidden="1">'Custo EBSs'!$B$22:$J$832</definedName>
    <definedName name="Z_643B042D_3C78_4745_B0CB_772B401DACCC_.wvu.FilterData" localSheetId="2" hidden="1">'Custos Canais'!$B$22:$J$296</definedName>
    <definedName name="Z_643B042D_3C78_4745_B0CB_772B401DACCC_.wvu.FilterData" localSheetId="8" hidden="1">'Custos On farm'!$B$22:$J$197</definedName>
    <definedName name="Z_643B042D_3C78_4745_B0CB_772B401DACCC_.wvu.FilterData" localSheetId="14" hidden="1">'Custos Rede Baixa Pressão'!$B$5:$J$37</definedName>
    <definedName name="Z_643B042D_3C78_4745_B0CB_772B401DACCC_.wvu.FilterData" localSheetId="12" hidden="1">'Custos Sistema Viário'!$B$22:$J$33</definedName>
    <definedName name="Z_643B042D_3C78_4745_B0CB_772B401DACCC_.wvu.FilterData" localSheetId="17" hidden="1">DESMATAMENTO!$A$22:$X$26</definedName>
    <definedName name="Z_643B042D_3C78_4745_B0CB_772B401DACCC_.wvu.FilterData" localSheetId="6" hidden="1">'REDE PRESSURIZADA'!$B$22:$J$312</definedName>
    <definedName name="Z_643B042D_3C78_4745_B0CB_772B401DACCC_.wvu.FilterData" localSheetId="16" hidden="1">'SERVIÇOS PRELIMINARES'!$A$22:$W$30</definedName>
    <definedName name="Z_68A25076_0187_4CD2_B471_0827BF715310_.wvu.FilterData" localSheetId="10" hidden="1">'Custo Drenagem'!$B$22:$J$52</definedName>
    <definedName name="Z_68A25076_0187_4CD2_B471_0827BF715310_.wvu.FilterData" localSheetId="4" hidden="1">'Custo EBSs'!$B$22:$J$832</definedName>
    <definedName name="Z_68A25076_0187_4CD2_B471_0827BF715310_.wvu.FilterData" localSheetId="2" hidden="1">'Custos Canais'!$B$22:$J$296</definedName>
    <definedName name="Z_68A25076_0187_4CD2_B471_0827BF715310_.wvu.FilterData" localSheetId="8" hidden="1">'Custos On farm'!$B$22:$J$197</definedName>
    <definedName name="Z_68A25076_0187_4CD2_B471_0827BF715310_.wvu.FilterData" localSheetId="14" hidden="1">'Custos Rede Baixa Pressão'!$B$5:$J$37</definedName>
    <definedName name="Z_68A25076_0187_4CD2_B471_0827BF715310_.wvu.FilterData" localSheetId="12" hidden="1">'Custos Sistema Viário'!$B$22:$J$33</definedName>
    <definedName name="Z_68A25076_0187_4CD2_B471_0827BF715310_.wvu.FilterData" localSheetId="17" hidden="1">DESMATAMENTO!$A$22:$X$26</definedName>
    <definedName name="Z_68A25076_0187_4CD2_B471_0827BF715310_.wvu.FilterData" localSheetId="6" hidden="1">'REDE PRESSURIZADA'!$B$22:$J$312</definedName>
    <definedName name="Z_68A25076_0187_4CD2_B471_0827BF715310_.wvu.FilterData" localSheetId="16" hidden="1">'SERVIÇOS PRELIMINARES'!$A$22:$W$30</definedName>
    <definedName name="Z_6B36A1F0_7A97_4F00_8A1B_B862125C3756_.wvu.FilterData" localSheetId="10" hidden="1">'Custo Drenagem'!$B$22:$J$52</definedName>
    <definedName name="Z_6B36A1F0_7A97_4F00_8A1B_B862125C3756_.wvu.FilterData" localSheetId="4" hidden="1">'Custo EBSs'!$B$22:$J$832</definedName>
    <definedName name="Z_6B36A1F0_7A97_4F00_8A1B_B862125C3756_.wvu.FilterData" localSheetId="2" hidden="1">'Custos Canais'!$B$22:$J$296</definedName>
    <definedName name="Z_6B36A1F0_7A97_4F00_8A1B_B862125C3756_.wvu.FilterData" localSheetId="8" hidden="1">'Custos On farm'!$B$22:$J$197</definedName>
    <definedName name="Z_6B36A1F0_7A97_4F00_8A1B_B862125C3756_.wvu.FilterData" localSheetId="14" hidden="1">'Custos Rede Baixa Pressão'!$B$5:$J$37</definedName>
    <definedName name="Z_6B36A1F0_7A97_4F00_8A1B_B862125C3756_.wvu.FilterData" localSheetId="12" hidden="1">'Custos Sistema Viário'!$B$22:$J$33</definedName>
    <definedName name="Z_6B36A1F0_7A97_4F00_8A1B_B862125C3756_.wvu.FilterData" localSheetId="17" hidden="1">DESMATAMENTO!$A$22:$X$26</definedName>
    <definedName name="Z_6B36A1F0_7A97_4F00_8A1B_B862125C3756_.wvu.FilterData" localSheetId="6" hidden="1">'REDE PRESSURIZADA'!$B$22:$J$312</definedName>
    <definedName name="Z_6B36A1F0_7A97_4F00_8A1B_B862125C3756_.wvu.FilterData" localSheetId="16" hidden="1">'SERVIÇOS PRELIMINARES'!$A$22:$W$30</definedName>
    <definedName name="Z_6BE0ED41_878C_47B4_BC0D_071271198FD1_.wvu.FilterData" localSheetId="10" hidden="1">'Custo Drenagem'!$B$22:$J$52</definedName>
    <definedName name="Z_6BE0ED41_878C_47B4_BC0D_071271198FD1_.wvu.FilterData" localSheetId="4" hidden="1">'Custo EBSs'!$B$22:$J$832</definedName>
    <definedName name="Z_6BE0ED41_878C_47B4_BC0D_071271198FD1_.wvu.FilterData" localSheetId="2" hidden="1">'Custos Canais'!$B$22:$J$294</definedName>
    <definedName name="Z_6BE0ED41_878C_47B4_BC0D_071271198FD1_.wvu.FilterData" localSheetId="8" hidden="1">'Custos On farm'!$B$22:$J$197</definedName>
    <definedName name="Z_6BE0ED41_878C_47B4_BC0D_071271198FD1_.wvu.FilterData" localSheetId="14" hidden="1">'Custos Rede Baixa Pressão'!$B$5:$J$37</definedName>
    <definedName name="Z_6BE0ED41_878C_47B4_BC0D_071271198FD1_.wvu.FilterData" localSheetId="12" hidden="1">'Custos Sistema Viário'!$B$22:$J$33</definedName>
    <definedName name="Z_6BE0ED41_878C_47B4_BC0D_071271198FD1_.wvu.FilterData" localSheetId="17" hidden="1">DESMATAMENTO!$A$22:$X$26</definedName>
    <definedName name="Z_6BE0ED41_878C_47B4_BC0D_071271198FD1_.wvu.FilterData" localSheetId="6" hidden="1">'REDE PRESSURIZADA'!$B$22:$J$312</definedName>
    <definedName name="Z_6BE0ED41_878C_47B4_BC0D_071271198FD1_.wvu.FilterData" localSheetId="16" hidden="1">'SERVIÇOS PRELIMINARES'!$A$22:$W$30</definedName>
    <definedName name="Z_6EA1772F_209F_48CF_9AFE_E1B6B329E482_.wvu.FilterData" localSheetId="10" hidden="1">'Custo Drenagem'!$B$22:$J$52</definedName>
    <definedName name="Z_6EA1772F_209F_48CF_9AFE_E1B6B329E482_.wvu.FilterData" localSheetId="4" hidden="1">'Custo EBSs'!$B$22:$J$832</definedName>
    <definedName name="Z_6EA1772F_209F_48CF_9AFE_E1B6B329E482_.wvu.FilterData" localSheetId="2" hidden="1">'Custos Canais'!$B$22:$J$294</definedName>
    <definedName name="Z_6EA1772F_209F_48CF_9AFE_E1B6B329E482_.wvu.FilterData" localSheetId="8" hidden="1">'Custos On farm'!$B$22:$J$197</definedName>
    <definedName name="Z_6EA1772F_209F_48CF_9AFE_E1B6B329E482_.wvu.FilterData" localSheetId="14" hidden="1">'Custos Rede Baixa Pressão'!$B$5:$J$37</definedName>
    <definedName name="Z_6EA1772F_209F_48CF_9AFE_E1B6B329E482_.wvu.FilterData" localSheetId="12" hidden="1">'Custos Sistema Viário'!$B$22:$J$33</definedName>
    <definedName name="Z_6EA1772F_209F_48CF_9AFE_E1B6B329E482_.wvu.FilterData" localSheetId="17" hidden="1">DESMATAMENTO!$A$22:$X$26</definedName>
    <definedName name="Z_6EA1772F_209F_48CF_9AFE_E1B6B329E482_.wvu.FilterData" localSheetId="6" hidden="1">'REDE PRESSURIZADA'!$B$22:$J$312</definedName>
    <definedName name="Z_6EA1772F_209F_48CF_9AFE_E1B6B329E482_.wvu.FilterData" localSheetId="16" hidden="1">'SERVIÇOS PRELIMINARES'!$A$22:$W$30</definedName>
    <definedName name="Z_6EF6A0CB_801B_4423_8CE4_B2D16BAEAF60_.wvu.FilterData" localSheetId="10" hidden="1">'Custo Drenagem'!$B$22:$J$52</definedName>
    <definedName name="Z_6EF6A0CB_801B_4423_8CE4_B2D16BAEAF60_.wvu.FilterData" localSheetId="4" hidden="1">'Custo EBSs'!$B$22:$J$832</definedName>
    <definedName name="Z_6EF6A0CB_801B_4423_8CE4_B2D16BAEAF60_.wvu.FilterData" localSheetId="2" hidden="1">'Custos Canais'!$B$22:$J$296</definedName>
    <definedName name="Z_6EF6A0CB_801B_4423_8CE4_B2D16BAEAF60_.wvu.FilterData" localSheetId="8" hidden="1">'Custos On farm'!$B$22:$J$197</definedName>
    <definedName name="Z_6EF6A0CB_801B_4423_8CE4_B2D16BAEAF60_.wvu.FilterData" localSheetId="14" hidden="1">'Custos Rede Baixa Pressão'!$B$5:$J$37</definedName>
    <definedName name="Z_6EF6A0CB_801B_4423_8CE4_B2D16BAEAF60_.wvu.FilterData" localSheetId="12" hidden="1">'Custos Sistema Viário'!$B$22:$J$33</definedName>
    <definedName name="Z_6EF6A0CB_801B_4423_8CE4_B2D16BAEAF60_.wvu.FilterData" localSheetId="17" hidden="1">DESMATAMENTO!$A$22:$X$26</definedName>
    <definedName name="Z_6EF6A0CB_801B_4423_8CE4_B2D16BAEAF60_.wvu.FilterData" localSheetId="6" hidden="1">'REDE PRESSURIZADA'!$B$22:$J$312</definedName>
    <definedName name="Z_6EF6A0CB_801B_4423_8CE4_B2D16BAEAF60_.wvu.FilterData" localSheetId="16" hidden="1">'SERVIÇOS PRELIMINARES'!$A$22:$W$30</definedName>
    <definedName name="Z_700F32D3_6FC7_466C_853E_DBDAF9E664CB_.wvu.FilterData" localSheetId="10" hidden="1">'Custo Drenagem'!$B$22:$J$52</definedName>
    <definedName name="Z_700F32D3_6FC7_466C_853E_DBDAF9E664CB_.wvu.FilterData" localSheetId="4" hidden="1">'Custo EBSs'!$B$22:$J$832</definedName>
    <definedName name="Z_700F32D3_6FC7_466C_853E_DBDAF9E664CB_.wvu.FilterData" localSheetId="2" hidden="1">'Custos Canais'!$B$22:$J$296</definedName>
    <definedName name="Z_700F32D3_6FC7_466C_853E_DBDAF9E664CB_.wvu.FilterData" localSheetId="8" hidden="1">'Custos On farm'!$B$22:$J$197</definedName>
    <definedName name="Z_700F32D3_6FC7_466C_853E_DBDAF9E664CB_.wvu.FilterData" localSheetId="14" hidden="1">'Custos Rede Baixa Pressão'!$B$5:$J$37</definedName>
    <definedName name="Z_700F32D3_6FC7_466C_853E_DBDAF9E664CB_.wvu.FilterData" localSheetId="12" hidden="1">'Custos Sistema Viário'!$B$22:$J$33</definedName>
    <definedName name="Z_700F32D3_6FC7_466C_853E_DBDAF9E664CB_.wvu.FilterData" localSheetId="17" hidden="1">DESMATAMENTO!$A$22:$X$26</definedName>
    <definedName name="Z_700F32D3_6FC7_466C_853E_DBDAF9E664CB_.wvu.FilterData" localSheetId="6" hidden="1">'REDE PRESSURIZADA'!$B$22:$J$312</definedName>
    <definedName name="Z_700F32D3_6FC7_466C_853E_DBDAF9E664CB_.wvu.FilterData" localSheetId="16" hidden="1">'SERVIÇOS PRELIMINARES'!$A$22:$W$30</definedName>
    <definedName name="Z_71261BB7_D489_4A4D_8B52_631D74D3B2E1_.wvu.Cols" localSheetId="10" hidden="1">'Custo Drenagem'!#REF!</definedName>
    <definedName name="Z_71261BB7_D489_4A4D_8B52_631D74D3B2E1_.wvu.Cols" localSheetId="4" hidden="1">'Custo EBSs'!#REF!</definedName>
    <definedName name="Z_71261BB7_D489_4A4D_8B52_631D74D3B2E1_.wvu.Cols" localSheetId="2" hidden="1">'Custos Canais'!#REF!</definedName>
    <definedName name="Z_71261BB7_D489_4A4D_8B52_631D74D3B2E1_.wvu.Cols" localSheetId="8" hidden="1">'Custos On farm'!#REF!</definedName>
    <definedName name="Z_71261BB7_D489_4A4D_8B52_631D74D3B2E1_.wvu.Cols" localSheetId="14" hidden="1">'Custos Rede Baixa Pressão'!#REF!</definedName>
    <definedName name="Z_71261BB7_D489_4A4D_8B52_631D74D3B2E1_.wvu.Cols" localSheetId="12" hidden="1">'Custos Sistema Viário'!#REF!</definedName>
    <definedName name="Z_71261BB7_D489_4A4D_8B52_631D74D3B2E1_.wvu.Cols" localSheetId="17" hidden="1">DESMATAMENTO!#REF!</definedName>
    <definedName name="Z_71261BB7_D489_4A4D_8B52_631D74D3B2E1_.wvu.Cols" localSheetId="6" hidden="1">'REDE PRESSURIZADA'!#REF!</definedName>
    <definedName name="Z_71261BB7_D489_4A4D_8B52_631D74D3B2E1_.wvu.Cols" localSheetId="16" hidden="1">'SERVIÇOS PRELIMINARES'!#REF!</definedName>
    <definedName name="Z_71261BB7_D489_4A4D_8B52_631D74D3B2E1_.wvu.FilterData" localSheetId="10" hidden="1">'Custo Drenagem'!$B$22:$J$52</definedName>
    <definedName name="Z_71261BB7_D489_4A4D_8B52_631D74D3B2E1_.wvu.FilterData" localSheetId="4" hidden="1">'Custo EBSs'!$B$22:$J$832</definedName>
    <definedName name="Z_71261BB7_D489_4A4D_8B52_631D74D3B2E1_.wvu.FilterData" localSheetId="2" hidden="1">'Custos Canais'!$B$22:$J$296</definedName>
    <definedName name="Z_71261BB7_D489_4A4D_8B52_631D74D3B2E1_.wvu.FilterData" localSheetId="8" hidden="1">'Custos On farm'!$B$22:$J$197</definedName>
    <definedName name="Z_71261BB7_D489_4A4D_8B52_631D74D3B2E1_.wvu.FilterData" localSheetId="14" hidden="1">'Custos Rede Baixa Pressão'!$B$5:$J$37</definedName>
    <definedName name="Z_71261BB7_D489_4A4D_8B52_631D74D3B2E1_.wvu.FilterData" localSheetId="12" hidden="1">'Custos Sistema Viário'!$B$22:$J$33</definedName>
    <definedName name="Z_71261BB7_D489_4A4D_8B52_631D74D3B2E1_.wvu.FilterData" localSheetId="17" hidden="1">DESMATAMENTO!$A$22:$X$26</definedName>
    <definedName name="Z_71261BB7_D489_4A4D_8B52_631D74D3B2E1_.wvu.FilterData" localSheetId="6" hidden="1">'REDE PRESSURIZADA'!$B$22:$J$312</definedName>
    <definedName name="Z_71261BB7_D489_4A4D_8B52_631D74D3B2E1_.wvu.FilterData" localSheetId="16" hidden="1">'SERVIÇOS PRELIMINARES'!$A$22:$W$30</definedName>
    <definedName name="Z_71261BB7_D489_4A4D_8B52_631D74D3B2E1_.wvu.PrintArea" localSheetId="10" hidden="1">'Custo Drenagem'!$B$3:$J$53</definedName>
    <definedName name="Z_71261BB7_D489_4A4D_8B52_631D74D3B2E1_.wvu.PrintArea" localSheetId="4" hidden="1">'Custo EBSs'!$B$3:$J$832</definedName>
    <definedName name="Z_71261BB7_D489_4A4D_8B52_631D74D3B2E1_.wvu.PrintArea" localSheetId="2" hidden="1">'Custos Canais'!$B$3:$J$298</definedName>
    <definedName name="Z_71261BB7_D489_4A4D_8B52_631D74D3B2E1_.wvu.PrintArea" localSheetId="8" hidden="1">'Custos On farm'!$B$3:$J$197</definedName>
    <definedName name="Z_71261BB7_D489_4A4D_8B52_631D74D3B2E1_.wvu.PrintArea" localSheetId="14" hidden="1">'Custos Rede Baixa Pressão'!$B$2:$J$37</definedName>
    <definedName name="Z_71261BB7_D489_4A4D_8B52_631D74D3B2E1_.wvu.PrintArea" localSheetId="12" hidden="1">'Custos Sistema Viário'!$B$3:$J$33</definedName>
    <definedName name="Z_71261BB7_D489_4A4D_8B52_631D74D3B2E1_.wvu.PrintArea" localSheetId="17" hidden="1">DESMATAMENTO!$A$3:$X$26</definedName>
    <definedName name="Z_71261BB7_D489_4A4D_8B52_631D74D3B2E1_.wvu.PrintArea" localSheetId="6" hidden="1">'REDE PRESSURIZADA'!$B$3:$J$312</definedName>
    <definedName name="Z_71261BB7_D489_4A4D_8B52_631D74D3B2E1_.wvu.PrintArea" localSheetId="16" hidden="1">'SERVIÇOS PRELIMINARES'!$A$3:$W$30</definedName>
    <definedName name="Z_71261BB7_D489_4A4D_8B52_631D74D3B2E1_.wvu.PrintTitles" localSheetId="10" hidden="1">'Custo Drenagem'!$21:$22</definedName>
    <definedName name="Z_71261BB7_D489_4A4D_8B52_631D74D3B2E1_.wvu.PrintTitles" localSheetId="4" hidden="1">'Custo EBSs'!$21:$22</definedName>
    <definedName name="Z_71261BB7_D489_4A4D_8B52_631D74D3B2E1_.wvu.PrintTitles" localSheetId="2" hidden="1">'Custos Canais'!$21:$22</definedName>
    <definedName name="Z_71261BB7_D489_4A4D_8B52_631D74D3B2E1_.wvu.PrintTitles" localSheetId="8" hidden="1">'Custos On farm'!$21:$22</definedName>
    <definedName name="Z_71261BB7_D489_4A4D_8B52_631D74D3B2E1_.wvu.PrintTitles" localSheetId="14" hidden="1">'Custos Rede Baixa Pressão'!#REF!</definedName>
    <definedName name="Z_71261BB7_D489_4A4D_8B52_631D74D3B2E1_.wvu.PrintTitles" localSheetId="12" hidden="1">'Custos Sistema Viário'!$21:$22</definedName>
    <definedName name="Z_71261BB7_D489_4A4D_8B52_631D74D3B2E1_.wvu.PrintTitles" localSheetId="17" hidden="1">DESMATAMENTO!$21:$22</definedName>
    <definedName name="Z_71261BB7_D489_4A4D_8B52_631D74D3B2E1_.wvu.PrintTitles" localSheetId="6" hidden="1">'REDE PRESSURIZADA'!$21:$22</definedName>
    <definedName name="Z_71261BB7_D489_4A4D_8B52_631D74D3B2E1_.wvu.PrintTitles" localSheetId="16" hidden="1">'SERVIÇOS PRELIMINARES'!$21:$22</definedName>
    <definedName name="Z_71D4EAAC_DFB3_43CA_869D_8591B548909B_.wvu.FilterData" localSheetId="10" hidden="1">'Custo Drenagem'!$B$22:$J$52</definedName>
    <definedName name="Z_71D4EAAC_DFB3_43CA_869D_8591B548909B_.wvu.FilterData" localSheetId="4" hidden="1">'Custo EBSs'!$B$22:$J$832</definedName>
    <definedName name="Z_71D4EAAC_DFB3_43CA_869D_8591B548909B_.wvu.FilterData" localSheetId="2" hidden="1">'Custos Canais'!$B$22:$J$296</definedName>
    <definedName name="Z_71D4EAAC_DFB3_43CA_869D_8591B548909B_.wvu.FilterData" localSheetId="8" hidden="1">'Custos On farm'!$B$22:$J$197</definedName>
    <definedName name="Z_71D4EAAC_DFB3_43CA_869D_8591B548909B_.wvu.FilterData" localSheetId="14" hidden="1">'Custos Rede Baixa Pressão'!$B$5:$J$37</definedName>
    <definedName name="Z_71D4EAAC_DFB3_43CA_869D_8591B548909B_.wvu.FilterData" localSheetId="12" hidden="1">'Custos Sistema Viário'!$B$22:$J$33</definedName>
    <definedName name="Z_71D4EAAC_DFB3_43CA_869D_8591B548909B_.wvu.FilterData" localSheetId="17" hidden="1">DESMATAMENTO!$A$22:$X$26</definedName>
    <definedName name="Z_71D4EAAC_DFB3_43CA_869D_8591B548909B_.wvu.FilterData" localSheetId="6" hidden="1">'REDE PRESSURIZADA'!$B$22:$J$312</definedName>
    <definedName name="Z_71D4EAAC_DFB3_43CA_869D_8591B548909B_.wvu.FilterData" localSheetId="16" hidden="1">'SERVIÇOS PRELIMINARES'!$A$22:$W$30</definedName>
    <definedName name="Z_71D4EAAC_DFB3_43CA_869D_8591B548909B_.wvu.PrintArea" localSheetId="10" hidden="1">'Custo Drenagem'!$B$3:$J$53</definedName>
    <definedName name="Z_71D4EAAC_DFB3_43CA_869D_8591B548909B_.wvu.PrintArea" localSheetId="4" hidden="1">'Custo EBSs'!$B$3:$J$832</definedName>
    <definedName name="Z_71D4EAAC_DFB3_43CA_869D_8591B548909B_.wvu.PrintArea" localSheetId="2" hidden="1">'Custos Canais'!$B$3:$J$298</definedName>
    <definedName name="Z_71D4EAAC_DFB3_43CA_869D_8591B548909B_.wvu.PrintArea" localSheetId="8" hidden="1">'Custos On farm'!$B$3:$J$197</definedName>
    <definedName name="Z_71D4EAAC_DFB3_43CA_869D_8591B548909B_.wvu.PrintArea" localSheetId="14" hidden="1">'Custos Rede Baixa Pressão'!$B$2:$J$37</definedName>
    <definedName name="Z_71D4EAAC_DFB3_43CA_869D_8591B548909B_.wvu.PrintArea" localSheetId="12" hidden="1">'Custos Sistema Viário'!$B$3:$J$33</definedName>
    <definedName name="Z_71D4EAAC_DFB3_43CA_869D_8591B548909B_.wvu.PrintArea" localSheetId="17" hidden="1">DESMATAMENTO!$A$3:$X$26</definedName>
    <definedName name="Z_71D4EAAC_DFB3_43CA_869D_8591B548909B_.wvu.PrintArea" localSheetId="6" hidden="1">'REDE PRESSURIZADA'!$B$3:$J$312</definedName>
    <definedName name="Z_71D4EAAC_DFB3_43CA_869D_8591B548909B_.wvu.PrintArea" localSheetId="16" hidden="1">'SERVIÇOS PRELIMINARES'!$A$3:$W$30</definedName>
    <definedName name="Z_71D4EAAC_DFB3_43CA_869D_8591B548909B_.wvu.PrintTitles" localSheetId="10" hidden="1">'Custo Drenagem'!$21:$22</definedName>
    <definedName name="Z_71D4EAAC_DFB3_43CA_869D_8591B548909B_.wvu.PrintTitles" localSheetId="4" hidden="1">'Custo EBSs'!$21:$22</definedName>
    <definedName name="Z_71D4EAAC_DFB3_43CA_869D_8591B548909B_.wvu.PrintTitles" localSheetId="2" hidden="1">'Custos Canais'!$21:$22</definedName>
    <definedName name="Z_71D4EAAC_DFB3_43CA_869D_8591B548909B_.wvu.PrintTitles" localSheetId="8" hidden="1">'Custos On farm'!$21:$22</definedName>
    <definedName name="Z_71D4EAAC_DFB3_43CA_869D_8591B548909B_.wvu.PrintTitles" localSheetId="14" hidden="1">'Custos Rede Baixa Pressão'!#REF!</definedName>
    <definedName name="Z_71D4EAAC_DFB3_43CA_869D_8591B548909B_.wvu.PrintTitles" localSheetId="12" hidden="1">'Custos Sistema Viário'!$21:$22</definedName>
    <definedName name="Z_71D4EAAC_DFB3_43CA_869D_8591B548909B_.wvu.PrintTitles" localSheetId="17" hidden="1">DESMATAMENTO!$21:$22</definedName>
    <definedName name="Z_71D4EAAC_DFB3_43CA_869D_8591B548909B_.wvu.PrintTitles" localSheetId="6" hidden="1">'REDE PRESSURIZADA'!$21:$22</definedName>
    <definedName name="Z_71D4EAAC_DFB3_43CA_869D_8591B548909B_.wvu.PrintTitles" localSheetId="16" hidden="1">'SERVIÇOS PRELIMINARES'!$21:$22</definedName>
    <definedName name="Z_73017F64_A019_4C02_8222_4E2B62C2BDFC_.wvu.Cols" localSheetId="10" hidden="1">'Custo Drenagem'!#REF!</definedName>
    <definedName name="Z_73017F64_A019_4C02_8222_4E2B62C2BDFC_.wvu.Cols" localSheetId="4" hidden="1">'Custo EBSs'!#REF!</definedName>
    <definedName name="Z_73017F64_A019_4C02_8222_4E2B62C2BDFC_.wvu.Cols" localSheetId="2" hidden="1">'Custos Canais'!#REF!</definedName>
    <definedName name="Z_73017F64_A019_4C02_8222_4E2B62C2BDFC_.wvu.Cols" localSheetId="8" hidden="1">'Custos On farm'!#REF!</definedName>
    <definedName name="Z_73017F64_A019_4C02_8222_4E2B62C2BDFC_.wvu.Cols" localSheetId="14" hidden="1">'Custos Rede Baixa Pressão'!#REF!</definedName>
    <definedName name="Z_73017F64_A019_4C02_8222_4E2B62C2BDFC_.wvu.Cols" localSheetId="12" hidden="1">'Custos Sistema Viário'!#REF!</definedName>
    <definedName name="Z_73017F64_A019_4C02_8222_4E2B62C2BDFC_.wvu.Cols" localSheetId="17" hidden="1">DESMATAMENTO!#REF!</definedName>
    <definedName name="Z_73017F64_A019_4C02_8222_4E2B62C2BDFC_.wvu.Cols" localSheetId="6" hidden="1">'REDE PRESSURIZADA'!#REF!</definedName>
    <definedName name="Z_73017F64_A019_4C02_8222_4E2B62C2BDFC_.wvu.Cols" localSheetId="16" hidden="1">'SERVIÇOS PRELIMINARES'!#REF!</definedName>
    <definedName name="Z_73017F64_A019_4C02_8222_4E2B62C2BDFC_.wvu.FilterData" localSheetId="10" hidden="1">'Custo Drenagem'!$B$22:$J$52</definedName>
    <definedName name="Z_73017F64_A019_4C02_8222_4E2B62C2BDFC_.wvu.FilterData" localSheetId="4" hidden="1">'Custo EBSs'!$B$22:$J$832</definedName>
    <definedName name="Z_73017F64_A019_4C02_8222_4E2B62C2BDFC_.wvu.FilterData" localSheetId="2" hidden="1">'Custos Canais'!$B$22:$J$296</definedName>
    <definedName name="Z_73017F64_A019_4C02_8222_4E2B62C2BDFC_.wvu.FilterData" localSheetId="8" hidden="1">'Custos On farm'!$B$22:$J$197</definedName>
    <definedName name="Z_73017F64_A019_4C02_8222_4E2B62C2BDFC_.wvu.FilterData" localSheetId="14" hidden="1">'Custos Rede Baixa Pressão'!$B$5:$J$37</definedName>
    <definedName name="Z_73017F64_A019_4C02_8222_4E2B62C2BDFC_.wvu.FilterData" localSheetId="12" hidden="1">'Custos Sistema Viário'!$B$22:$J$33</definedName>
    <definedName name="Z_73017F64_A019_4C02_8222_4E2B62C2BDFC_.wvu.FilterData" localSheetId="17" hidden="1">DESMATAMENTO!$A$22:$X$26</definedName>
    <definedName name="Z_73017F64_A019_4C02_8222_4E2B62C2BDFC_.wvu.FilterData" localSheetId="6" hidden="1">'REDE PRESSURIZADA'!$B$22:$J$312</definedName>
    <definedName name="Z_73017F64_A019_4C02_8222_4E2B62C2BDFC_.wvu.FilterData" localSheetId="16" hidden="1">'SERVIÇOS PRELIMINARES'!$A$22:$W$30</definedName>
    <definedName name="Z_73017F64_A019_4C02_8222_4E2B62C2BDFC_.wvu.PrintArea" localSheetId="10" hidden="1">'Custo Drenagem'!$B$3:$J$53</definedName>
    <definedName name="Z_73017F64_A019_4C02_8222_4E2B62C2BDFC_.wvu.PrintArea" localSheetId="4" hidden="1">'Custo EBSs'!$B$3:$J$832</definedName>
    <definedName name="Z_73017F64_A019_4C02_8222_4E2B62C2BDFC_.wvu.PrintArea" localSheetId="2" hidden="1">'Custos Canais'!$B$3:$J$298</definedName>
    <definedName name="Z_73017F64_A019_4C02_8222_4E2B62C2BDFC_.wvu.PrintArea" localSheetId="8" hidden="1">'Custos On farm'!$B$3:$J$197</definedName>
    <definedName name="Z_73017F64_A019_4C02_8222_4E2B62C2BDFC_.wvu.PrintArea" localSheetId="14" hidden="1">'Custos Rede Baixa Pressão'!$B$2:$J$37</definedName>
    <definedName name="Z_73017F64_A019_4C02_8222_4E2B62C2BDFC_.wvu.PrintArea" localSheetId="12" hidden="1">'Custos Sistema Viário'!$B$3:$J$33</definedName>
    <definedName name="Z_73017F64_A019_4C02_8222_4E2B62C2BDFC_.wvu.PrintArea" localSheetId="17" hidden="1">DESMATAMENTO!$A$3:$X$26</definedName>
    <definedName name="Z_73017F64_A019_4C02_8222_4E2B62C2BDFC_.wvu.PrintArea" localSheetId="6" hidden="1">'REDE PRESSURIZADA'!$B$3:$J$312</definedName>
    <definedName name="Z_73017F64_A019_4C02_8222_4E2B62C2BDFC_.wvu.PrintArea" localSheetId="16" hidden="1">'SERVIÇOS PRELIMINARES'!$A$3:$W$30</definedName>
    <definedName name="Z_73017F64_A019_4C02_8222_4E2B62C2BDFC_.wvu.PrintTitles" localSheetId="10" hidden="1">'Custo Drenagem'!$21:$22</definedName>
    <definedName name="Z_73017F64_A019_4C02_8222_4E2B62C2BDFC_.wvu.PrintTitles" localSheetId="4" hidden="1">'Custo EBSs'!$21:$22</definedName>
    <definedName name="Z_73017F64_A019_4C02_8222_4E2B62C2BDFC_.wvu.PrintTitles" localSheetId="2" hidden="1">'Custos Canais'!$21:$22</definedName>
    <definedName name="Z_73017F64_A019_4C02_8222_4E2B62C2BDFC_.wvu.PrintTitles" localSheetId="8" hidden="1">'Custos On farm'!$21:$22</definedName>
    <definedName name="Z_73017F64_A019_4C02_8222_4E2B62C2BDFC_.wvu.PrintTitles" localSheetId="14" hidden="1">'Custos Rede Baixa Pressão'!#REF!</definedName>
    <definedName name="Z_73017F64_A019_4C02_8222_4E2B62C2BDFC_.wvu.PrintTitles" localSheetId="12" hidden="1">'Custos Sistema Viário'!$21:$22</definedName>
    <definedName name="Z_73017F64_A019_4C02_8222_4E2B62C2BDFC_.wvu.PrintTitles" localSheetId="17" hidden="1">DESMATAMENTO!$21:$22</definedName>
    <definedName name="Z_73017F64_A019_4C02_8222_4E2B62C2BDFC_.wvu.PrintTitles" localSheetId="6" hidden="1">'REDE PRESSURIZADA'!$21:$22</definedName>
    <definedName name="Z_73017F64_A019_4C02_8222_4E2B62C2BDFC_.wvu.PrintTitles" localSheetId="16" hidden="1">'SERVIÇOS PRELIMINARES'!$21:$22</definedName>
    <definedName name="Z_7330FB46_BEB1_4B4A_97CD_6B991053B3C0_.wvu.FilterData" localSheetId="10" hidden="1">'Custo Drenagem'!$B$22:$J$52</definedName>
    <definedName name="Z_7330FB46_BEB1_4B4A_97CD_6B991053B3C0_.wvu.FilterData" localSheetId="4" hidden="1">'Custo EBSs'!$B$22:$J$832</definedName>
    <definedName name="Z_7330FB46_BEB1_4B4A_97CD_6B991053B3C0_.wvu.FilterData" localSheetId="2" hidden="1">'Custos Canais'!$B$22:$J$294</definedName>
    <definedName name="Z_7330FB46_BEB1_4B4A_97CD_6B991053B3C0_.wvu.FilterData" localSheetId="8" hidden="1">'Custos On farm'!$B$22:$J$197</definedName>
    <definedName name="Z_7330FB46_BEB1_4B4A_97CD_6B991053B3C0_.wvu.FilterData" localSheetId="14" hidden="1">'Custos Rede Baixa Pressão'!$B$5:$J$37</definedName>
    <definedName name="Z_7330FB46_BEB1_4B4A_97CD_6B991053B3C0_.wvu.FilterData" localSheetId="12" hidden="1">'Custos Sistema Viário'!$B$22:$J$33</definedName>
    <definedName name="Z_7330FB46_BEB1_4B4A_97CD_6B991053B3C0_.wvu.FilterData" localSheetId="17" hidden="1">DESMATAMENTO!$A$22:$X$26</definedName>
    <definedName name="Z_7330FB46_BEB1_4B4A_97CD_6B991053B3C0_.wvu.FilterData" localSheetId="6" hidden="1">'REDE PRESSURIZADA'!$B$22:$J$312</definedName>
    <definedName name="Z_7330FB46_BEB1_4B4A_97CD_6B991053B3C0_.wvu.FilterData" localSheetId="16" hidden="1">'SERVIÇOS PRELIMINARES'!$A$22:$W$30</definedName>
    <definedName name="Z_75293F1A_D11E_4648_BDC6_110E009E20C8_.wvu.FilterData" localSheetId="10" hidden="1">'Custo Drenagem'!$B$22:$J$52</definedName>
    <definedName name="Z_75293F1A_D11E_4648_BDC6_110E009E20C8_.wvu.FilterData" localSheetId="4" hidden="1">'Custo EBSs'!$B$22:$J$832</definedName>
    <definedName name="Z_75293F1A_D11E_4648_BDC6_110E009E20C8_.wvu.FilterData" localSheetId="2" hidden="1">'Custos Canais'!$B$22:$J$296</definedName>
    <definedName name="Z_75293F1A_D11E_4648_BDC6_110E009E20C8_.wvu.FilterData" localSheetId="8" hidden="1">'Custos On farm'!$B$22:$J$197</definedName>
    <definedName name="Z_75293F1A_D11E_4648_BDC6_110E009E20C8_.wvu.FilterData" localSheetId="14" hidden="1">'Custos Rede Baixa Pressão'!$B$5:$J$37</definedName>
    <definedName name="Z_75293F1A_D11E_4648_BDC6_110E009E20C8_.wvu.FilterData" localSheetId="12" hidden="1">'Custos Sistema Viário'!$B$22:$J$33</definedName>
    <definedName name="Z_75293F1A_D11E_4648_BDC6_110E009E20C8_.wvu.FilterData" localSheetId="17" hidden="1">DESMATAMENTO!$A$22:$X$26</definedName>
    <definedName name="Z_75293F1A_D11E_4648_BDC6_110E009E20C8_.wvu.FilterData" localSheetId="6" hidden="1">'REDE PRESSURIZADA'!$B$22:$J$312</definedName>
    <definedName name="Z_75293F1A_D11E_4648_BDC6_110E009E20C8_.wvu.FilterData" localSheetId="16" hidden="1">'SERVIÇOS PRELIMINARES'!$A$22:$W$30</definedName>
    <definedName name="Z_753E99FE_15E1_415C_866E_6DF51E1A796B_.wvu.FilterData" localSheetId="10" hidden="1">'Custo Drenagem'!$B$22:$J$52</definedName>
    <definedName name="Z_753E99FE_15E1_415C_866E_6DF51E1A796B_.wvu.FilterData" localSheetId="4" hidden="1">'Custo EBSs'!$B$22:$J$832</definedName>
    <definedName name="Z_753E99FE_15E1_415C_866E_6DF51E1A796B_.wvu.FilterData" localSheetId="2" hidden="1">'Custos Canais'!$B$22:$J$294</definedName>
    <definedName name="Z_753E99FE_15E1_415C_866E_6DF51E1A796B_.wvu.FilterData" localSheetId="8" hidden="1">'Custos On farm'!$B$22:$J$197</definedName>
    <definedName name="Z_753E99FE_15E1_415C_866E_6DF51E1A796B_.wvu.FilterData" localSheetId="14" hidden="1">'Custos Rede Baixa Pressão'!$B$5:$J$37</definedName>
    <definedName name="Z_753E99FE_15E1_415C_866E_6DF51E1A796B_.wvu.FilterData" localSheetId="12" hidden="1">'Custos Sistema Viário'!$B$22:$J$33</definedName>
    <definedName name="Z_753E99FE_15E1_415C_866E_6DF51E1A796B_.wvu.FilterData" localSheetId="17" hidden="1">DESMATAMENTO!$A$22:$X$26</definedName>
    <definedName name="Z_753E99FE_15E1_415C_866E_6DF51E1A796B_.wvu.FilterData" localSheetId="6" hidden="1">'REDE PRESSURIZADA'!$B$22:$J$312</definedName>
    <definedName name="Z_753E99FE_15E1_415C_866E_6DF51E1A796B_.wvu.FilterData" localSheetId="16" hidden="1">'SERVIÇOS PRELIMINARES'!$A$22:$W$30</definedName>
    <definedName name="Z_75E472F0_E421_4D9D_A5E0_BB9FA5305DB6_.wvu.FilterData" localSheetId="10" hidden="1">'Custo Drenagem'!$B$22:$J$52</definedName>
    <definedName name="Z_75E472F0_E421_4D9D_A5E0_BB9FA5305DB6_.wvu.FilterData" localSheetId="4" hidden="1">'Custo EBSs'!$B$22:$J$832</definedName>
    <definedName name="Z_75E472F0_E421_4D9D_A5E0_BB9FA5305DB6_.wvu.FilterData" localSheetId="2" hidden="1">'Custos Canais'!$B$22:$J$296</definedName>
    <definedName name="Z_75E472F0_E421_4D9D_A5E0_BB9FA5305DB6_.wvu.FilterData" localSheetId="8" hidden="1">'Custos On farm'!$B$22:$J$197</definedName>
    <definedName name="Z_75E472F0_E421_4D9D_A5E0_BB9FA5305DB6_.wvu.FilterData" localSheetId="14" hidden="1">'Custos Rede Baixa Pressão'!$B$5:$J$37</definedName>
    <definedName name="Z_75E472F0_E421_4D9D_A5E0_BB9FA5305DB6_.wvu.FilterData" localSheetId="12" hidden="1">'Custos Sistema Viário'!$B$22:$J$33</definedName>
    <definedName name="Z_75E472F0_E421_4D9D_A5E0_BB9FA5305DB6_.wvu.FilterData" localSheetId="17" hidden="1">DESMATAMENTO!$A$22:$X$26</definedName>
    <definedName name="Z_75E472F0_E421_4D9D_A5E0_BB9FA5305DB6_.wvu.FilterData" localSheetId="6" hidden="1">'REDE PRESSURIZADA'!$B$22:$J$312</definedName>
    <definedName name="Z_75E472F0_E421_4D9D_A5E0_BB9FA5305DB6_.wvu.FilterData" localSheetId="16" hidden="1">'SERVIÇOS PRELIMINARES'!$A$22:$W$30</definedName>
    <definedName name="Z_7852383D_5EF2_4778_A10C_1048C857B611_.wvu.FilterData" localSheetId="10" hidden="1">'Custo Drenagem'!$B$22:$J$52</definedName>
    <definedName name="Z_7852383D_5EF2_4778_A10C_1048C857B611_.wvu.FilterData" localSheetId="4" hidden="1">'Custo EBSs'!$B$22:$J$832</definedName>
    <definedName name="Z_7852383D_5EF2_4778_A10C_1048C857B611_.wvu.FilterData" localSheetId="2" hidden="1">'Custos Canais'!$B$22:$J$296</definedName>
    <definedName name="Z_7852383D_5EF2_4778_A10C_1048C857B611_.wvu.FilterData" localSheetId="8" hidden="1">'Custos On farm'!$B$22:$J$197</definedName>
    <definedName name="Z_7852383D_5EF2_4778_A10C_1048C857B611_.wvu.FilterData" localSheetId="14" hidden="1">'Custos Rede Baixa Pressão'!$B$5:$J$37</definedName>
    <definedName name="Z_7852383D_5EF2_4778_A10C_1048C857B611_.wvu.FilterData" localSheetId="12" hidden="1">'Custos Sistema Viário'!$B$22:$J$33</definedName>
    <definedName name="Z_7852383D_5EF2_4778_A10C_1048C857B611_.wvu.FilterData" localSheetId="17" hidden="1">DESMATAMENTO!$A$22:$X$26</definedName>
    <definedName name="Z_7852383D_5EF2_4778_A10C_1048C857B611_.wvu.FilterData" localSheetId="6" hidden="1">'REDE PRESSURIZADA'!$B$22:$J$312</definedName>
    <definedName name="Z_7852383D_5EF2_4778_A10C_1048C857B611_.wvu.FilterData" localSheetId="16" hidden="1">'SERVIÇOS PRELIMINARES'!$A$22:$W$30</definedName>
    <definedName name="Z_790A0E88_4B64_4EB8_82B7_F8163B63A21D_.wvu.FilterData" localSheetId="10" hidden="1">'Custo Drenagem'!$B$22:$J$52</definedName>
    <definedName name="Z_790A0E88_4B64_4EB8_82B7_F8163B63A21D_.wvu.FilterData" localSheetId="4" hidden="1">'Custo EBSs'!$B$22:$J$832</definedName>
    <definedName name="Z_790A0E88_4B64_4EB8_82B7_F8163B63A21D_.wvu.FilterData" localSheetId="2" hidden="1">'Custos Canais'!$B$22:$J$296</definedName>
    <definedName name="Z_790A0E88_4B64_4EB8_82B7_F8163B63A21D_.wvu.FilterData" localSheetId="8" hidden="1">'Custos On farm'!$B$22:$J$197</definedName>
    <definedName name="Z_790A0E88_4B64_4EB8_82B7_F8163B63A21D_.wvu.FilterData" localSheetId="14" hidden="1">'Custos Rede Baixa Pressão'!$B$5:$J$37</definedName>
    <definedName name="Z_790A0E88_4B64_4EB8_82B7_F8163B63A21D_.wvu.FilterData" localSheetId="12" hidden="1">'Custos Sistema Viário'!$B$22:$J$33</definedName>
    <definedName name="Z_790A0E88_4B64_4EB8_82B7_F8163B63A21D_.wvu.FilterData" localSheetId="17" hidden="1">DESMATAMENTO!$A$22:$X$26</definedName>
    <definedName name="Z_790A0E88_4B64_4EB8_82B7_F8163B63A21D_.wvu.FilterData" localSheetId="6" hidden="1">'REDE PRESSURIZADA'!$B$22:$J$312</definedName>
    <definedName name="Z_790A0E88_4B64_4EB8_82B7_F8163B63A21D_.wvu.FilterData" localSheetId="16" hidden="1">'SERVIÇOS PRELIMINARES'!$A$22:$W$30</definedName>
    <definedName name="Z_7A2AD80E_47DD_4099_90D3_88F3B50F763E_.wvu.FilterData" localSheetId="10" hidden="1">'Custo Drenagem'!$B$22:$J$52</definedName>
    <definedName name="Z_7A2AD80E_47DD_4099_90D3_88F3B50F763E_.wvu.FilterData" localSheetId="4" hidden="1">'Custo EBSs'!$B$22:$J$832</definedName>
    <definedName name="Z_7A2AD80E_47DD_4099_90D3_88F3B50F763E_.wvu.FilterData" localSheetId="2" hidden="1">'Custos Canais'!$B$22:$J$296</definedName>
    <definedName name="Z_7A2AD80E_47DD_4099_90D3_88F3B50F763E_.wvu.FilterData" localSheetId="8" hidden="1">'Custos On farm'!$B$22:$J$197</definedName>
    <definedName name="Z_7A2AD80E_47DD_4099_90D3_88F3B50F763E_.wvu.FilterData" localSheetId="14" hidden="1">'Custos Rede Baixa Pressão'!$B$5:$J$37</definedName>
    <definedName name="Z_7A2AD80E_47DD_4099_90D3_88F3B50F763E_.wvu.FilterData" localSheetId="12" hidden="1">'Custos Sistema Viário'!$B$22:$J$33</definedName>
    <definedName name="Z_7A2AD80E_47DD_4099_90D3_88F3B50F763E_.wvu.FilterData" localSheetId="17" hidden="1">DESMATAMENTO!$A$22:$X$26</definedName>
    <definedName name="Z_7A2AD80E_47DD_4099_90D3_88F3B50F763E_.wvu.FilterData" localSheetId="6" hidden="1">'REDE PRESSURIZADA'!$B$22:$J$312</definedName>
    <definedName name="Z_7A2AD80E_47DD_4099_90D3_88F3B50F763E_.wvu.FilterData" localSheetId="16" hidden="1">'SERVIÇOS PRELIMINARES'!$A$22:$W$30</definedName>
    <definedName name="Z_7A677812_1278_40EB_8CCE_3387279A4FE5_.wvu.FilterData" localSheetId="10" hidden="1">'Custo Drenagem'!$B$22:$J$52</definedName>
    <definedName name="Z_7A677812_1278_40EB_8CCE_3387279A4FE5_.wvu.FilterData" localSheetId="4" hidden="1">'Custo EBSs'!$B$22:$J$832</definedName>
    <definedName name="Z_7A677812_1278_40EB_8CCE_3387279A4FE5_.wvu.FilterData" localSheetId="2" hidden="1">'Custos Canais'!$B$22:$J$296</definedName>
    <definedName name="Z_7A677812_1278_40EB_8CCE_3387279A4FE5_.wvu.FilterData" localSheetId="8" hidden="1">'Custos On farm'!$B$22:$J$197</definedName>
    <definedName name="Z_7A677812_1278_40EB_8CCE_3387279A4FE5_.wvu.FilterData" localSheetId="14" hidden="1">'Custos Rede Baixa Pressão'!$B$5:$J$37</definedName>
    <definedName name="Z_7A677812_1278_40EB_8CCE_3387279A4FE5_.wvu.FilterData" localSheetId="12" hidden="1">'Custos Sistema Viário'!$B$22:$J$33</definedName>
    <definedName name="Z_7A677812_1278_40EB_8CCE_3387279A4FE5_.wvu.FilterData" localSheetId="17" hidden="1">DESMATAMENTO!$A$22:$X$26</definedName>
    <definedName name="Z_7A677812_1278_40EB_8CCE_3387279A4FE5_.wvu.FilterData" localSheetId="6" hidden="1">'REDE PRESSURIZADA'!$B$22:$J$312</definedName>
    <definedName name="Z_7A677812_1278_40EB_8CCE_3387279A4FE5_.wvu.FilterData" localSheetId="16" hidden="1">'SERVIÇOS PRELIMINARES'!$A$22:$W$30</definedName>
    <definedName name="Z_7CB7A5F1_E8FB_4A5C_A779_27510AD166FF_.wvu.FilterData" localSheetId="10" hidden="1">'Custo Drenagem'!$B$22:$J$52</definedName>
    <definedName name="Z_7CB7A5F1_E8FB_4A5C_A779_27510AD166FF_.wvu.FilterData" localSheetId="4" hidden="1">'Custo EBSs'!$B$22:$J$832</definedName>
    <definedName name="Z_7CB7A5F1_E8FB_4A5C_A779_27510AD166FF_.wvu.FilterData" localSheetId="2" hidden="1">'Custos Canais'!$B$22:$J$296</definedName>
    <definedName name="Z_7CB7A5F1_E8FB_4A5C_A779_27510AD166FF_.wvu.FilterData" localSheetId="8" hidden="1">'Custos On farm'!$B$22:$J$197</definedName>
    <definedName name="Z_7CB7A5F1_E8FB_4A5C_A779_27510AD166FF_.wvu.FilterData" localSheetId="14" hidden="1">'Custos Rede Baixa Pressão'!$B$5:$J$37</definedName>
    <definedName name="Z_7CB7A5F1_E8FB_4A5C_A779_27510AD166FF_.wvu.FilterData" localSheetId="12" hidden="1">'Custos Sistema Viário'!$B$22:$J$33</definedName>
    <definedName name="Z_7CB7A5F1_E8FB_4A5C_A779_27510AD166FF_.wvu.FilterData" localSheetId="17" hidden="1">DESMATAMENTO!$A$22:$X$26</definedName>
    <definedName name="Z_7CB7A5F1_E8FB_4A5C_A779_27510AD166FF_.wvu.FilterData" localSheetId="6" hidden="1">'REDE PRESSURIZADA'!$B$22:$J$312</definedName>
    <definedName name="Z_7CB7A5F1_E8FB_4A5C_A779_27510AD166FF_.wvu.FilterData" localSheetId="16" hidden="1">'SERVIÇOS PRELIMINARES'!$A$22:$W$30</definedName>
    <definedName name="Z_7CF420B5_9184_48A8_B438_C89C50D9C0C2_.wvu.FilterData" localSheetId="10" hidden="1">'Custo Drenagem'!$B$22:$J$52</definedName>
    <definedName name="Z_7CF420B5_9184_48A8_B438_C89C50D9C0C2_.wvu.FilterData" localSheetId="4" hidden="1">'Custo EBSs'!$B$22:$J$832</definedName>
    <definedName name="Z_7CF420B5_9184_48A8_B438_C89C50D9C0C2_.wvu.FilterData" localSheetId="2" hidden="1">'Custos Canais'!$B$22:$J$296</definedName>
    <definedName name="Z_7CF420B5_9184_48A8_B438_C89C50D9C0C2_.wvu.FilterData" localSheetId="8" hidden="1">'Custos On farm'!$B$22:$J$197</definedName>
    <definedName name="Z_7CF420B5_9184_48A8_B438_C89C50D9C0C2_.wvu.FilterData" localSheetId="14" hidden="1">'Custos Rede Baixa Pressão'!$B$5:$J$37</definedName>
    <definedName name="Z_7CF420B5_9184_48A8_B438_C89C50D9C0C2_.wvu.FilterData" localSheetId="12" hidden="1">'Custos Sistema Viário'!$B$22:$J$33</definedName>
    <definedName name="Z_7CF420B5_9184_48A8_B438_C89C50D9C0C2_.wvu.FilterData" localSheetId="17" hidden="1">DESMATAMENTO!$A$22:$X$26</definedName>
    <definedName name="Z_7CF420B5_9184_48A8_B438_C89C50D9C0C2_.wvu.FilterData" localSheetId="6" hidden="1">'REDE PRESSURIZADA'!$B$22:$J$312</definedName>
    <definedName name="Z_7CF420B5_9184_48A8_B438_C89C50D9C0C2_.wvu.FilterData" localSheetId="16" hidden="1">'SERVIÇOS PRELIMINARES'!$A$22:$W$30</definedName>
    <definedName name="Z_7E3A3575_C3BA_4886_9C86_976432F7096B_.wvu.FilterData" localSheetId="10" hidden="1">'Custo Drenagem'!$B$22:$J$52</definedName>
    <definedName name="Z_7E3A3575_C3BA_4886_9C86_976432F7096B_.wvu.FilterData" localSheetId="4" hidden="1">'Custo EBSs'!$B$22:$J$832</definedName>
    <definedName name="Z_7E3A3575_C3BA_4886_9C86_976432F7096B_.wvu.FilterData" localSheetId="2" hidden="1">'Custos Canais'!$B$22:$J$294</definedName>
    <definedName name="Z_7E3A3575_C3BA_4886_9C86_976432F7096B_.wvu.FilterData" localSheetId="8" hidden="1">'Custos On farm'!$B$22:$J$197</definedName>
    <definedName name="Z_7E3A3575_C3BA_4886_9C86_976432F7096B_.wvu.FilterData" localSheetId="14" hidden="1">'Custos Rede Baixa Pressão'!$B$5:$J$37</definedName>
    <definedName name="Z_7E3A3575_C3BA_4886_9C86_976432F7096B_.wvu.FilterData" localSheetId="12" hidden="1">'Custos Sistema Viário'!$B$22:$J$33</definedName>
    <definedName name="Z_7E3A3575_C3BA_4886_9C86_976432F7096B_.wvu.FilterData" localSheetId="17" hidden="1">DESMATAMENTO!$A$22:$X$26</definedName>
    <definedName name="Z_7E3A3575_C3BA_4886_9C86_976432F7096B_.wvu.FilterData" localSheetId="6" hidden="1">'REDE PRESSURIZADA'!$B$22:$J$312</definedName>
    <definedName name="Z_7E3A3575_C3BA_4886_9C86_976432F7096B_.wvu.FilterData" localSheetId="16" hidden="1">'SERVIÇOS PRELIMINARES'!$A$22:$W$30</definedName>
    <definedName name="Z_7E3A3575_C3BA_4886_9C86_976432F7096B_.wvu.PrintArea" localSheetId="10" hidden="1">'Custo Drenagem'!$B$1:$L$54</definedName>
    <definedName name="Z_7E3A3575_C3BA_4886_9C86_976432F7096B_.wvu.PrintArea" localSheetId="4" hidden="1">'Custo EBSs'!$B$1:$K$832</definedName>
    <definedName name="Z_7E3A3575_C3BA_4886_9C86_976432F7096B_.wvu.PrintArea" localSheetId="2" hidden="1">'Custos Canais'!$B$1:$K$299</definedName>
    <definedName name="Z_7E3A3575_C3BA_4886_9C86_976432F7096B_.wvu.PrintArea" localSheetId="8" hidden="1">'Custos On farm'!$B$1:$K$197</definedName>
    <definedName name="Z_7E3A3575_C3BA_4886_9C86_976432F7096B_.wvu.PrintArea" localSheetId="14" hidden="1">'Custos Rede Baixa Pressão'!$B$1:$K$37</definedName>
    <definedName name="Z_7E3A3575_C3BA_4886_9C86_976432F7096B_.wvu.PrintArea" localSheetId="12" hidden="1">'Custos Sistema Viário'!$B$1:$K$33</definedName>
    <definedName name="Z_7E3A3575_C3BA_4886_9C86_976432F7096B_.wvu.PrintArea" localSheetId="17" hidden="1">DESMATAMENTO!$A$1:$AA$26</definedName>
    <definedName name="Z_7E3A3575_C3BA_4886_9C86_976432F7096B_.wvu.PrintArea" localSheetId="6" hidden="1">'REDE PRESSURIZADA'!$B$1:$L$312</definedName>
    <definedName name="Z_7E3A3575_C3BA_4886_9C86_976432F7096B_.wvu.PrintArea" localSheetId="16" hidden="1">'SERVIÇOS PRELIMINARES'!$A$1:$Z$30</definedName>
    <definedName name="Z_7EA5CCF1_C0F9_441B_BE91_4A3E7B7A7540_.wvu.FilterData" localSheetId="10" hidden="1">'Custo Drenagem'!$B$22:$J$52</definedName>
    <definedName name="Z_7EA5CCF1_C0F9_441B_BE91_4A3E7B7A7540_.wvu.FilterData" localSheetId="4" hidden="1">'Custo EBSs'!$B$22:$J$832</definedName>
    <definedName name="Z_7EA5CCF1_C0F9_441B_BE91_4A3E7B7A7540_.wvu.FilterData" localSheetId="2" hidden="1">'Custos Canais'!$B$22:$J$296</definedName>
    <definedName name="Z_7EA5CCF1_C0F9_441B_BE91_4A3E7B7A7540_.wvu.FilterData" localSheetId="8" hidden="1">'Custos On farm'!$B$22:$J$197</definedName>
    <definedName name="Z_7EA5CCF1_C0F9_441B_BE91_4A3E7B7A7540_.wvu.FilterData" localSheetId="14" hidden="1">'Custos Rede Baixa Pressão'!$B$5:$J$37</definedName>
    <definedName name="Z_7EA5CCF1_C0F9_441B_BE91_4A3E7B7A7540_.wvu.FilterData" localSheetId="12" hidden="1">'Custos Sistema Viário'!$B$22:$J$33</definedName>
    <definedName name="Z_7EA5CCF1_C0F9_441B_BE91_4A3E7B7A7540_.wvu.FilterData" localSheetId="17" hidden="1">DESMATAMENTO!$A$22:$X$26</definedName>
    <definedName name="Z_7EA5CCF1_C0F9_441B_BE91_4A3E7B7A7540_.wvu.FilterData" localSheetId="6" hidden="1">'REDE PRESSURIZADA'!$B$22:$J$312</definedName>
    <definedName name="Z_7EA5CCF1_C0F9_441B_BE91_4A3E7B7A7540_.wvu.FilterData" localSheetId="16" hidden="1">'SERVIÇOS PRELIMINARES'!$A$22:$W$30</definedName>
    <definedName name="Z_8289D808_0E59_4D88_89C4_266E9514D542_.wvu.FilterData" localSheetId="10" hidden="1">'Custo Drenagem'!$B$22:$J$52</definedName>
    <definedName name="Z_8289D808_0E59_4D88_89C4_266E9514D542_.wvu.FilterData" localSheetId="4" hidden="1">'Custo EBSs'!$B$22:$J$832</definedName>
    <definedName name="Z_8289D808_0E59_4D88_89C4_266E9514D542_.wvu.FilterData" localSheetId="2" hidden="1">'Custos Canais'!$B$22:$J$294</definedName>
    <definedName name="Z_8289D808_0E59_4D88_89C4_266E9514D542_.wvu.FilterData" localSheetId="8" hidden="1">'Custos On farm'!$B$22:$J$197</definedName>
    <definedName name="Z_8289D808_0E59_4D88_89C4_266E9514D542_.wvu.FilterData" localSheetId="14" hidden="1">'Custos Rede Baixa Pressão'!$B$5:$J$37</definedName>
    <definedName name="Z_8289D808_0E59_4D88_89C4_266E9514D542_.wvu.FilterData" localSheetId="12" hidden="1">'Custos Sistema Viário'!$B$22:$J$33</definedName>
    <definedName name="Z_8289D808_0E59_4D88_89C4_266E9514D542_.wvu.FilterData" localSheetId="17" hidden="1">DESMATAMENTO!$A$22:$X$26</definedName>
    <definedName name="Z_8289D808_0E59_4D88_89C4_266E9514D542_.wvu.FilterData" localSheetId="6" hidden="1">'REDE PRESSURIZADA'!$B$22:$J$312</definedName>
    <definedName name="Z_8289D808_0E59_4D88_89C4_266E9514D542_.wvu.FilterData" localSheetId="16" hidden="1">'SERVIÇOS PRELIMINARES'!$A$22:$W$30</definedName>
    <definedName name="Z_82BFB59F_CA3E_45C7_BB19_2713EB54D9C9_.wvu.FilterData" localSheetId="10" hidden="1">'Custo Drenagem'!$B$22:$J$52</definedName>
    <definedName name="Z_82BFB59F_CA3E_45C7_BB19_2713EB54D9C9_.wvu.FilterData" localSheetId="4" hidden="1">'Custo EBSs'!$B$22:$J$832</definedName>
    <definedName name="Z_82BFB59F_CA3E_45C7_BB19_2713EB54D9C9_.wvu.FilterData" localSheetId="2" hidden="1">'Custos Canais'!$B$22:$J$296</definedName>
    <definedName name="Z_82BFB59F_CA3E_45C7_BB19_2713EB54D9C9_.wvu.FilterData" localSheetId="8" hidden="1">'Custos On farm'!$B$22:$J$197</definedName>
    <definedName name="Z_82BFB59F_CA3E_45C7_BB19_2713EB54D9C9_.wvu.FilterData" localSheetId="14" hidden="1">'Custos Rede Baixa Pressão'!$B$5:$J$37</definedName>
    <definedName name="Z_82BFB59F_CA3E_45C7_BB19_2713EB54D9C9_.wvu.FilterData" localSheetId="12" hidden="1">'Custos Sistema Viário'!$B$22:$J$33</definedName>
    <definedName name="Z_82BFB59F_CA3E_45C7_BB19_2713EB54D9C9_.wvu.FilterData" localSheetId="17" hidden="1">DESMATAMENTO!$A$22:$X$26</definedName>
    <definedName name="Z_82BFB59F_CA3E_45C7_BB19_2713EB54D9C9_.wvu.FilterData" localSheetId="6" hidden="1">'REDE PRESSURIZADA'!$B$22:$J$312</definedName>
    <definedName name="Z_82BFB59F_CA3E_45C7_BB19_2713EB54D9C9_.wvu.FilterData" localSheetId="16" hidden="1">'SERVIÇOS PRELIMINARES'!$A$22:$W$30</definedName>
    <definedName name="Z_82D0BE15_8DF1_411D_9016_77C08AB8DFCD_.wvu.FilterData" localSheetId="10" hidden="1">'Custo Drenagem'!$B$22:$J$52</definedName>
    <definedName name="Z_82D0BE15_8DF1_411D_9016_77C08AB8DFCD_.wvu.FilterData" localSheetId="4" hidden="1">'Custo EBSs'!$B$22:$J$832</definedName>
    <definedName name="Z_82D0BE15_8DF1_411D_9016_77C08AB8DFCD_.wvu.FilterData" localSheetId="2" hidden="1">'Custos Canais'!$B$22:$J$296</definedName>
    <definedName name="Z_82D0BE15_8DF1_411D_9016_77C08AB8DFCD_.wvu.FilterData" localSheetId="8" hidden="1">'Custos On farm'!$B$22:$J$197</definedName>
    <definedName name="Z_82D0BE15_8DF1_411D_9016_77C08AB8DFCD_.wvu.FilterData" localSheetId="14" hidden="1">'Custos Rede Baixa Pressão'!$B$5:$J$37</definedName>
    <definedName name="Z_82D0BE15_8DF1_411D_9016_77C08AB8DFCD_.wvu.FilterData" localSheetId="12" hidden="1">'Custos Sistema Viário'!$B$22:$J$33</definedName>
    <definedName name="Z_82D0BE15_8DF1_411D_9016_77C08AB8DFCD_.wvu.FilterData" localSheetId="17" hidden="1">DESMATAMENTO!$A$22:$X$26</definedName>
    <definedName name="Z_82D0BE15_8DF1_411D_9016_77C08AB8DFCD_.wvu.FilterData" localSheetId="6" hidden="1">'REDE PRESSURIZADA'!$B$22:$J$312</definedName>
    <definedName name="Z_82D0BE15_8DF1_411D_9016_77C08AB8DFCD_.wvu.FilterData" localSheetId="16" hidden="1">'SERVIÇOS PRELIMINARES'!$A$22:$W$30</definedName>
    <definedName name="Z_86A6AC48_0583_4DAE_858C_5E94D9EA5B47_.wvu.FilterData" localSheetId="10" hidden="1">'Custo Drenagem'!$B$22:$J$52</definedName>
    <definedName name="Z_86A6AC48_0583_4DAE_858C_5E94D9EA5B47_.wvu.FilterData" localSheetId="4" hidden="1">'Custo EBSs'!$B$22:$J$832</definedName>
    <definedName name="Z_86A6AC48_0583_4DAE_858C_5E94D9EA5B47_.wvu.FilterData" localSheetId="2" hidden="1">'Custos Canais'!$B$22:$J$296</definedName>
    <definedName name="Z_86A6AC48_0583_4DAE_858C_5E94D9EA5B47_.wvu.FilterData" localSheetId="8" hidden="1">'Custos On farm'!$B$22:$J$197</definedName>
    <definedName name="Z_86A6AC48_0583_4DAE_858C_5E94D9EA5B47_.wvu.FilterData" localSheetId="14" hidden="1">'Custos Rede Baixa Pressão'!$B$5:$J$37</definedName>
    <definedName name="Z_86A6AC48_0583_4DAE_858C_5E94D9EA5B47_.wvu.FilterData" localSheetId="12" hidden="1">'Custos Sistema Viário'!$B$22:$J$33</definedName>
    <definedName name="Z_86A6AC48_0583_4DAE_858C_5E94D9EA5B47_.wvu.FilterData" localSheetId="17" hidden="1">DESMATAMENTO!$A$22:$X$26</definedName>
    <definedName name="Z_86A6AC48_0583_4DAE_858C_5E94D9EA5B47_.wvu.FilterData" localSheetId="6" hidden="1">'REDE PRESSURIZADA'!$B$22:$J$312</definedName>
    <definedName name="Z_86A6AC48_0583_4DAE_858C_5E94D9EA5B47_.wvu.FilterData" localSheetId="16" hidden="1">'SERVIÇOS PRELIMINARES'!$A$22:$W$30</definedName>
    <definedName name="Z_8AF6CD58_5EF7_4F9A_8F4C_0A6B89CCA7B3_.wvu.FilterData" localSheetId="10" hidden="1">'Custo Drenagem'!$B$22:$J$52</definedName>
    <definedName name="Z_8AF6CD58_5EF7_4F9A_8F4C_0A6B89CCA7B3_.wvu.FilterData" localSheetId="4" hidden="1">'Custo EBSs'!$B$22:$J$832</definedName>
    <definedName name="Z_8AF6CD58_5EF7_4F9A_8F4C_0A6B89CCA7B3_.wvu.FilterData" localSheetId="2" hidden="1">'Custos Canais'!$B$22:$J$296</definedName>
    <definedName name="Z_8AF6CD58_5EF7_4F9A_8F4C_0A6B89CCA7B3_.wvu.FilterData" localSheetId="8" hidden="1">'Custos On farm'!$B$22:$J$197</definedName>
    <definedName name="Z_8AF6CD58_5EF7_4F9A_8F4C_0A6B89CCA7B3_.wvu.FilterData" localSheetId="14" hidden="1">'Custos Rede Baixa Pressão'!$B$5:$J$37</definedName>
    <definedName name="Z_8AF6CD58_5EF7_4F9A_8F4C_0A6B89CCA7B3_.wvu.FilterData" localSheetId="12" hidden="1">'Custos Sistema Viário'!$B$22:$J$33</definedName>
    <definedName name="Z_8AF6CD58_5EF7_4F9A_8F4C_0A6B89CCA7B3_.wvu.FilterData" localSheetId="17" hidden="1">DESMATAMENTO!$A$22:$X$26</definedName>
    <definedName name="Z_8AF6CD58_5EF7_4F9A_8F4C_0A6B89CCA7B3_.wvu.FilterData" localSheetId="6" hidden="1">'REDE PRESSURIZADA'!$B$22:$J$312</definedName>
    <definedName name="Z_8AF6CD58_5EF7_4F9A_8F4C_0A6B89CCA7B3_.wvu.FilterData" localSheetId="16" hidden="1">'SERVIÇOS PRELIMINARES'!$A$22:$W$30</definedName>
    <definedName name="Z_8C02800A_5B9C_46E6_A670_6D01FB77358C_.wvu.FilterData" localSheetId="10" hidden="1">'Custo Drenagem'!$B$22:$J$52</definedName>
    <definedName name="Z_8C02800A_5B9C_46E6_A670_6D01FB77358C_.wvu.FilterData" localSheetId="4" hidden="1">'Custo EBSs'!$B$22:$J$832</definedName>
    <definedName name="Z_8C02800A_5B9C_46E6_A670_6D01FB77358C_.wvu.FilterData" localSheetId="2" hidden="1">'Custos Canais'!$B$22:$J$294</definedName>
    <definedName name="Z_8C02800A_5B9C_46E6_A670_6D01FB77358C_.wvu.FilterData" localSheetId="8" hidden="1">'Custos On farm'!$B$22:$J$197</definedName>
    <definedName name="Z_8C02800A_5B9C_46E6_A670_6D01FB77358C_.wvu.FilterData" localSheetId="14" hidden="1">'Custos Rede Baixa Pressão'!$B$5:$J$37</definedName>
    <definedName name="Z_8C02800A_5B9C_46E6_A670_6D01FB77358C_.wvu.FilterData" localSheetId="12" hidden="1">'Custos Sistema Viário'!$B$22:$J$33</definedName>
    <definedName name="Z_8C02800A_5B9C_46E6_A670_6D01FB77358C_.wvu.FilterData" localSheetId="17" hidden="1">DESMATAMENTO!$A$22:$X$26</definedName>
    <definedName name="Z_8C02800A_5B9C_46E6_A670_6D01FB77358C_.wvu.FilterData" localSheetId="6" hidden="1">'REDE PRESSURIZADA'!$B$22:$J$312</definedName>
    <definedName name="Z_8C02800A_5B9C_46E6_A670_6D01FB77358C_.wvu.FilterData" localSheetId="16" hidden="1">'SERVIÇOS PRELIMINARES'!$A$22:$W$30</definedName>
    <definedName name="Z_8C3EC7C8_67FE_456F_A5C6_E963414FC8C5_.wvu.FilterData" localSheetId="10" hidden="1">'Custo Drenagem'!$B$22:$J$52</definedName>
    <definedName name="Z_8C3EC7C8_67FE_456F_A5C6_E963414FC8C5_.wvu.FilterData" localSheetId="4" hidden="1">'Custo EBSs'!$B$22:$J$832</definedName>
    <definedName name="Z_8C3EC7C8_67FE_456F_A5C6_E963414FC8C5_.wvu.FilterData" localSheetId="2" hidden="1">'Custos Canais'!$B$22:$J$296</definedName>
    <definedName name="Z_8C3EC7C8_67FE_456F_A5C6_E963414FC8C5_.wvu.FilterData" localSheetId="8" hidden="1">'Custos On farm'!$B$22:$J$197</definedName>
    <definedName name="Z_8C3EC7C8_67FE_456F_A5C6_E963414FC8C5_.wvu.FilterData" localSheetId="14" hidden="1">'Custos Rede Baixa Pressão'!$B$5:$J$37</definedName>
    <definedName name="Z_8C3EC7C8_67FE_456F_A5C6_E963414FC8C5_.wvu.FilterData" localSheetId="12" hidden="1">'Custos Sistema Viário'!$B$22:$J$33</definedName>
    <definedName name="Z_8C3EC7C8_67FE_456F_A5C6_E963414FC8C5_.wvu.FilterData" localSheetId="17" hidden="1">DESMATAMENTO!$A$22:$X$26</definedName>
    <definedName name="Z_8C3EC7C8_67FE_456F_A5C6_E963414FC8C5_.wvu.FilterData" localSheetId="6" hidden="1">'REDE PRESSURIZADA'!$B$22:$J$312</definedName>
    <definedName name="Z_8C3EC7C8_67FE_456F_A5C6_E963414FC8C5_.wvu.FilterData" localSheetId="16" hidden="1">'SERVIÇOS PRELIMINARES'!$A$22:$W$30</definedName>
    <definedName name="Z_8D4A322C_45EC_4E25_8769_8D7CA3935AC3_.wvu.Cols" localSheetId="10" hidden="1">'Custo Drenagem'!#REF!</definedName>
    <definedName name="Z_8D4A322C_45EC_4E25_8769_8D7CA3935AC3_.wvu.Cols" localSheetId="4" hidden="1">'Custo EBSs'!#REF!</definedName>
    <definedName name="Z_8D4A322C_45EC_4E25_8769_8D7CA3935AC3_.wvu.Cols" localSheetId="2" hidden="1">'Custos Canais'!#REF!</definedName>
    <definedName name="Z_8D4A322C_45EC_4E25_8769_8D7CA3935AC3_.wvu.Cols" localSheetId="8" hidden="1">'Custos On farm'!#REF!</definedName>
    <definedName name="Z_8D4A322C_45EC_4E25_8769_8D7CA3935AC3_.wvu.Cols" localSheetId="14" hidden="1">'Custos Rede Baixa Pressão'!#REF!</definedName>
    <definedName name="Z_8D4A322C_45EC_4E25_8769_8D7CA3935AC3_.wvu.Cols" localSheetId="12" hidden="1">'Custos Sistema Viário'!#REF!</definedName>
    <definedName name="Z_8D4A322C_45EC_4E25_8769_8D7CA3935AC3_.wvu.Cols" localSheetId="17" hidden="1">DESMATAMENTO!#REF!</definedName>
    <definedName name="Z_8D4A322C_45EC_4E25_8769_8D7CA3935AC3_.wvu.Cols" localSheetId="6" hidden="1">'REDE PRESSURIZADA'!#REF!</definedName>
    <definedName name="Z_8D4A322C_45EC_4E25_8769_8D7CA3935AC3_.wvu.Cols" localSheetId="16" hidden="1">'SERVIÇOS PRELIMINARES'!#REF!</definedName>
    <definedName name="Z_8D4A322C_45EC_4E25_8769_8D7CA3935AC3_.wvu.FilterData" localSheetId="10" hidden="1">'Custo Drenagem'!$B$22:$J$52</definedName>
    <definedName name="Z_8D4A322C_45EC_4E25_8769_8D7CA3935AC3_.wvu.FilterData" localSheetId="4" hidden="1">'Custo EBSs'!$B$22:$J$832</definedName>
    <definedName name="Z_8D4A322C_45EC_4E25_8769_8D7CA3935AC3_.wvu.FilterData" localSheetId="2" hidden="1">'Custos Canais'!$B$22:$J$296</definedName>
    <definedName name="Z_8D4A322C_45EC_4E25_8769_8D7CA3935AC3_.wvu.FilterData" localSheetId="8" hidden="1">'Custos On farm'!$B$22:$J$197</definedName>
    <definedName name="Z_8D4A322C_45EC_4E25_8769_8D7CA3935AC3_.wvu.FilterData" localSheetId="14" hidden="1">'Custos Rede Baixa Pressão'!$B$5:$J$37</definedName>
    <definedName name="Z_8D4A322C_45EC_4E25_8769_8D7CA3935AC3_.wvu.FilterData" localSheetId="12" hidden="1">'Custos Sistema Viário'!$B$22:$J$33</definedName>
    <definedName name="Z_8D4A322C_45EC_4E25_8769_8D7CA3935AC3_.wvu.FilterData" localSheetId="17" hidden="1">DESMATAMENTO!$A$22:$X$26</definedName>
    <definedName name="Z_8D4A322C_45EC_4E25_8769_8D7CA3935AC3_.wvu.FilterData" localSheetId="6" hidden="1">'REDE PRESSURIZADA'!$B$22:$J$312</definedName>
    <definedName name="Z_8D4A322C_45EC_4E25_8769_8D7CA3935AC3_.wvu.FilterData" localSheetId="16" hidden="1">'SERVIÇOS PRELIMINARES'!$A$22:$W$30</definedName>
    <definedName name="Z_8D4A322C_45EC_4E25_8769_8D7CA3935AC3_.wvu.PrintArea" localSheetId="10" hidden="1">'Custo Drenagem'!$B$3:$J$53</definedName>
    <definedName name="Z_8D4A322C_45EC_4E25_8769_8D7CA3935AC3_.wvu.PrintArea" localSheetId="4" hidden="1">'Custo EBSs'!$B$3:$J$832</definedName>
    <definedName name="Z_8D4A322C_45EC_4E25_8769_8D7CA3935AC3_.wvu.PrintArea" localSheetId="2" hidden="1">'Custos Canais'!$B$3:$J$298</definedName>
    <definedName name="Z_8D4A322C_45EC_4E25_8769_8D7CA3935AC3_.wvu.PrintArea" localSheetId="8" hidden="1">'Custos On farm'!$B$3:$J$197</definedName>
    <definedName name="Z_8D4A322C_45EC_4E25_8769_8D7CA3935AC3_.wvu.PrintArea" localSheetId="14" hidden="1">'Custos Rede Baixa Pressão'!$B$2:$J$37</definedName>
    <definedName name="Z_8D4A322C_45EC_4E25_8769_8D7CA3935AC3_.wvu.PrintArea" localSheetId="12" hidden="1">'Custos Sistema Viário'!$B$3:$J$33</definedName>
    <definedName name="Z_8D4A322C_45EC_4E25_8769_8D7CA3935AC3_.wvu.PrintArea" localSheetId="17" hidden="1">DESMATAMENTO!$A$3:$X$26</definedName>
    <definedName name="Z_8D4A322C_45EC_4E25_8769_8D7CA3935AC3_.wvu.PrintArea" localSheetId="6" hidden="1">'REDE PRESSURIZADA'!$B$3:$J$312</definedName>
    <definedName name="Z_8D4A322C_45EC_4E25_8769_8D7CA3935AC3_.wvu.PrintArea" localSheetId="16" hidden="1">'SERVIÇOS PRELIMINARES'!$A$3:$W$30</definedName>
    <definedName name="Z_8D4A322C_45EC_4E25_8769_8D7CA3935AC3_.wvu.PrintTitles" localSheetId="10" hidden="1">'Custo Drenagem'!$21:$22</definedName>
    <definedName name="Z_8D4A322C_45EC_4E25_8769_8D7CA3935AC3_.wvu.PrintTitles" localSheetId="4" hidden="1">'Custo EBSs'!$21:$22</definedName>
    <definedName name="Z_8D4A322C_45EC_4E25_8769_8D7CA3935AC3_.wvu.PrintTitles" localSheetId="2" hidden="1">'Custos Canais'!$21:$22</definedName>
    <definedName name="Z_8D4A322C_45EC_4E25_8769_8D7CA3935AC3_.wvu.PrintTitles" localSheetId="8" hidden="1">'Custos On farm'!$21:$22</definedName>
    <definedName name="Z_8D4A322C_45EC_4E25_8769_8D7CA3935AC3_.wvu.PrintTitles" localSheetId="14" hidden="1">'Custos Rede Baixa Pressão'!#REF!</definedName>
    <definedName name="Z_8D4A322C_45EC_4E25_8769_8D7CA3935AC3_.wvu.PrintTitles" localSheetId="12" hidden="1">'Custos Sistema Viário'!$21:$22</definedName>
    <definedName name="Z_8D4A322C_45EC_4E25_8769_8D7CA3935AC3_.wvu.PrintTitles" localSheetId="17" hidden="1">DESMATAMENTO!$21:$22</definedName>
    <definedName name="Z_8D4A322C_45EC_4E25_8769_8D7CA3935AC3_.wvu.PrintTitles" localSheetId="6" hidden="1">'REDE PRESSURIZADA'!$21:$22</definedName>
    <definedName name="Z_8D4A322C_45EC_4E25_8769_8D7CA3935AC3_.wvu.PrintTitles" localSheetId="16" hidden="1">'SERVIÇOS PRELIMINARES'!$21:$22</definedName>
    <definedName name="Z_8DA692B1_A36F_4C82_B036_69859EE94D5D_.wvu.FilterData" localSheetId="10" hidden="1">'Custo Drenagem'!$B$22:$J$52</definedName>
    <definedName name="Z_8DA692B1_A36F_4C82_B036_69859EE94D5D_.wvu.FilterData" localSheetId="4" hidden="1">'Custo EBSs'!$B$22:$J$832</definedName>
    <definedName name="Z_8DA692B1_A36F_4C82_B036_69859EE94D5D_.wvu.FilterData" localSheetId="2" hidden="1">'Custos Canais'!$B$22:$J$296</definedName>
    <definedName name="Z_8DA692B1_A36F_4C82_B036_69859EE94D5D_.wvu.FilterData" localSheetId="8" hidden="1">'Custos On farm'!$B$22:$J$197</definedName>
    <definedName name="Z_8DA692B1_A36F_4C82_B036_69859EE94D5D_.wvu.FilterData" localSheetId="14" hidden="1">'Custos Rede Baixa Pressão'!$B$5:$J$37</definedName>
    <definedName name="Z_8DA692B1_A36F_4C82_B036_69859EE94D5D_.wvu.FilterData" localSheetId="12" hidden="1">'Custos Sistema Viário'!$B$22:$J$33</definedName>
    <definedName name="Z_8DA692B1_A36F_4C82_B036_69859EE94D5D_.wvu.FilterData" localSheetId="17" hidden="1">DESMATAMENTO!$A$22:$X$26</definedName>
    <definedName name="Z_8DA692B1_A36F_4C82_B036_69859EE94D5D_.wvu.FilterData" localSheetId="6" hidden="1">'REDE PRESSURIZADA'!$B$22:$J$312</definedName>
    <definedName name="Z_8DA692B1_A36F_4C82_B036_69859EE94D5D_.wvu.FilterData" localSheetId="16" hidden="1">'SERVIÇOS PRELIMINARES'!$A$22:$W$30</definedName>
    <definedName name="Z_9170EEC0_31FB_4123_BF98_7A5921225B77_.wvu.FilterData" localSheetId="10" hidden="1">'Custo Drenagem'!$B$22:$J$52</definedName>
    <definedName name="Z_9170EEC0_31FB_4123_BF98_7A5921225B77_.wvu.FilterData" localSheetId="4" hidden="1">'Custo EBSs'!$B$22:$J$832</definedName>
    <definedName name="Z_9170EEC0_31FB_4123_BF98_7A5921225B77_.wvu.FilterData" localSheetId="2" hidden="1">'Custos Canais'!$B$22:$J$296</definedName>
    <definedName name="Z_9170EEC0_31FB_4123_BF98_7A5921225B77_.wvu.FilterData" localSheetId="8" hidden="1">'Custos On farm'!$B$22:$J$197</definedName>
    <definedName name="Z_9170EEC0_31FB_4123_BF98_7A5921225B77_.wvu.FilterData" localSheetId="14" hidden="1">'Custos Rede Baixa Pressão'!$B$5:$J$37</definedName>
    <definedName name="Z_9170EEC0_31FB_4123_BF98_7A5921225B77_.wvu.FilterData" localSheetId="12" hidden="1">'Custos Sistema Viário'!$B$22:$J$33</definedName>
    <definedName name="Z_9170EEC0_31FB_4123_BF98_7A5921225B77_.wvu.FilterData" localSheetId="17" hidden="1">DESMATAMENTO!$A$22:$X$26</definedName>
    <definedName name="Z_9170EEC0_31FB_4123_BF98_7A5921225B77_.wvu.FilterData" localSheetId="6" hidden="1">'REDE PRESSURIZADA'!$B$22:$J$312</definedName>
    <definedName name="Z_9170EEC0_31FB_4123_BF98_7A5921225B77_.wvu.FilterData" localSheetId="16" hidden="1">'SERVIÇOS PRELIMINARES'!$A$22:$W$30</definedName>
    <definedName name="Z_935128AA_F004_4902_8D0F_9AC6E406FE9C_.wvu.FilterData" localSheetId="10" hidden="1">'Custo Drenagem'!$B$22:$J$52</definedName>
    <definedName name="Z_935128AA_F004_4902_8D0F_9AC6E406FE9C_.wvu.FilterData" localSheetId="4" hidden="1">'Custo EBSs'!$B$22:$J$832</definedName>
    <definedName name="Z_935128AA_F004_4902_8D0F_9AC6E406FE9C_.wvu.FilterData" localSheetId="2" hidden="1">'Custos Canais'!$B$22:$J$296</definedName>
    <definedName name="Z_935128AA_F004_4902_8D0F_9AC6E406FE9C_.wvu.FilterData" localSheetId="8" hidden="1">'Custos On farm'!$B$22:$J$197</definedName>
    <definedName name="Z_935128AA_F004_4902_8D0F_9AC6E406FE9C_.wvu.FilterData" localSheetId="14" hidden="1">'Custos Rede Baixa Pressão'!$B$5:$J$37</definedName>
    <definedName name="Z_935128AA_F004_4902_8D0F_9AC6E406FE9C_.wvu.FilterData" localSheetId="12" hidden="1">'Custos Sistema Viário'!$B$22:$J$33</definedName>
    <definedName name="Z_935128AA_F004_4902_8D0F_9AC6E406FE9C_.wvu.FilterData" localSheetId="17" hidden="1">DESMATAMENTO!$A$22:$X$26</definedName>
    <definedName name="Z_935128AA_F004_4902_8D0F_9AC6E406FE9C_.wvu.FilterData" localSheetId="6" hidden="1">'REDE PRESSURIZADA'!$B$22:$J$312</definedName>
    <definedName name="Z_935128AA_F004_4902_8D0F_9AC6E406FE9C_.wvu.FilterData" localSheetId="16" hidden="1">'SERVIÇOS PRELIMINARES'!$A$22:$W$30</definedName>
    <definedName name="Z_93F66467_0777_4AB8_913C_7EB5C2164CB0_.wvu.FilterData" localSheetId="10" hidden="1">'Custo Drenagem'!$B$22:$J$52</definedName>
    <definedName name="Z_93F66467_0777_4AB8_913C_7EB5C2164CB0_.wvu.FilterData" localSheetId="4" hidden="1">'Custo EBSs'!$B$22:$J$832</definedName>
    <definedName name="Z_93F66467_0777_4AB8_913C_7EB5C2164CB0_.wvu.FilterData" localSheetId="2" hidden="1">'Custos Canais'!$B$22:$J$296</definedName>
    <definedName name="Z_93F66467_0777_4AB8_913C_7EB5C2164CB0_.wvu.FilterData" localSheetId="8" hidden="1">'Custos On farm'!$B$22:$J$197</definedName>
    <definedName name="Z_93F66467_0777_4AB8_913C_7EB5C2164CB0_.wvu.FilterData" localSheetId="14" hidden="1">'Custos Rede Baixa Pressão'!$B$5:$J$37</definedName>
    <definedName name="Z_93F66467_0777_4AB8_913C_7EB5C2164CB0_.wvu.FilterData" localSheetId="12" hidden="1">'Custos Sistema Viário'!$B$22:$J$33</definedName>
    <definedName name="Z_93F66467_0777_4AB8_913C_7EB5C2164CB0_.wvu.FilterData" localSheetId="17" hidden="1">DESMATAMENTO!$A$22:$X$26</definedName>
    <definedName name="Z_93F66467_0777_4AB8_913C_7EB5C2164CB0_.wvu.FilterData" localSheetId="6" hidden="1">'REDE PRESSURIZADA'!$B$22:$J$312</definedName>
    <definedName name="Z_93F66467_0777_4AB8_913C_7EB5C2164CB0_.wvu.FilterData" localSheetId="16" hidden="1">'SERVIÇOS PRELIMINARES'!$A$22:$W$30</definedName>
    <definedName name="Z_93F7D24E_558D_43BF_8612_D79345A465D0_.wvu.FilterData" localSheetId="10" hidden="1">'Custo Drenagem'!$B$22:$J$52</definedName>
    <definedName name="Z_93F7D24E_558D_43BF_8612_D79345A465D0_.wvu.FilterData" localSheetId="4" hidden="1">'Custo EBSs'!$B$22:$J$832</definedName>
    <definedName name="Z_93F7D24E_558D_43BF_8612_D79345A465D0_.wvu.FilterData" localSheetId="2" hidden="1">'Custos Canais'!$B$22:$J$294</definedName>
    <definedName name="Z_93F7D24E_558D_43BF_8612_D79345A465D0_.wvu.FilterData" localSheetId="8" hidden="1">'Custos On farm'!$B$22:$J$197</definedName>
    <definedName name="Z_93F7D24E_558D_43BF_8612_D79345A465D0_.wvu.FilterData" localSheetId="14" hidden="1">'Custos Rede Baixa Pressão'!$B$5:$J$37</definedName>
    <definedName name="Z_93F7D24E_558D_43BF_8612_D79345A465D0_.wvu.FilterData" localSheetId="12" hidden="1">'Custos Sistema Viário'!$B$22:$J$33</definedName>
    <definedName name="Z_93F7D24E_558D_43BF_8612_D79345A465D0_.wvu.FilterData" localSheetId="17" hidden="1">DESMATAMENTO!$A$22:$X$26</definedName>
    <definedName name="Z_93F7D24E_558D_43BF_8612_D79345A465D0_.wvu.FilterData" localSheetId="6" hidden="1">'REDE PRESSURIZADA'!$B$22:$J$312</definedName>
    <definedName name="Z_93F7D24E_558D_43BF_8612_D79345A465D0_.wvu.FilterData" localSheetId="16" hidden="1">'SERVIÇOS PRELIMINARES'!$A$22:$W$30</definedName>
    <definedName name="Z_94C03C7E_1913_4071_AE8B_0B69CC4FCBBC_.wvu.FilterData" localSheetId="10" hidden="1">'Custo Drenagem'!$B$22:$J$52</definedName>
    <definedName name="Z_94C03C7E_1913_4071_AE8B_0B69CC4FCBBC_.wvu.FilterData" localSheetId="4" hidden="1">'Custo EBSs'!$B$22:$J$832</definedName>
    <definedName name="Z_94C03C7E_1913_4071_AE8B_0B69CC4FCBBC_.wvu.FilterData" localSheetId="2" hidden="1">'Custos Canais'!$B$22:$J$296</definedName>
    <definedName name="Z_94C03C7E_1913_4071_AE8B_0B69CC4FCBBC_.wvu.FilterData" localSheetId="8" hidden="1">'Custos On farm'!$B$22:$J$197</definedName>
    <definedName name="Z_94C03C7E_1913_4071_AE8B_0B69CC4FCBBC_.wvu.FilterData" localSheetId="14" hidden="1">'Custos Rede Baixa Pressão'!$B$5:$J$37</definedName>
    <definedName name="Z_94C03C7E_1913_4071_AE8B_0B69CC4FCBBC_.wvu.FilterData" localSheetId="12" hidden="1">'Custos Sistema Viário'!$B$22:$J$33</definedName>
    <definedName name="Z_94C03C7E_1913_4071_AE8B_0B69CC4FCBBC_.wvu.FilterData" localSheetId="17" hidden="1">DESMATAMENTO!$A$22:$X$26</definedName>
    <definedName name="Z_94C03C7E_1913_4071_AE8B_0B69CC4FCBBC_.wvu.FilterData" localSheetId="6" hidden="1">'REDE PRESSURIZADA'!$B$22:$J$312</definedName>
    <definedName name="Z_94C03C7E_1913_4071_AE8B_0B69CC4FCBBC_.wvu.FilterData" localSheetId="16" hidden="1">'SERVIÇOS PRELIMINARES'!$A$22:$W$30</definedName>
    <definedName name="Z_9588352A_C6C4_4E9D_BE94_91F8462659F3_.wvu.FilterData" localSheetId="10" hidden="1">'Custo Drenagem'!$B$22:$J$52</definedName>
    <definedName name="Z_9588352A_C6C4_4E9D_BE94_91F8462659F3_.wvu.FilterData" localSheetId="4" hidden="1">'Custo EBSs'!$B$22:$J$832</definedName>
    <definedName name="Z_9588352A_C6C4_4E9D_BE94_91F8462659F3_.wvu.FilterData" localSheetId="2" hidden="1">'Custos Canais'!$B$22:$J$296</definedName>
    <definedName name="Z_9588352A_C6C4_4E9D_BE94_91F8462659F3_.wvu.FilterData" localSheetId="8" hidden="1">'Custos On farm'!$B$22:$J$197</definedName>
    <definedName name="Z_9588352A_C6C4_4E9D_BE94_91F8462659F3_.wvu.FilterData" localSheetId="14" hidden="1">'Custos Rede Baixa Pressão'!$B$5:$J$37</definedName>
    <definedName name="Z_9588352A_C6C4_4E9D_BE94_91F8462659F3_.wvu.FilterData" localSheetId="12" hidden="1">'Custos Sistema Viário'!$B$22:$J$33</definedName>
    <definedName name="Z_9588352A_C6C4_4E9D_BE94_91F8462659F3_.wvu.FilterData" localSheetId="17" hidden="1">DESMATAMENTO!$A$22:$X$26</definedName>
    <definedName name="Z_9588352A_C6C4_4E9D_BE94_91F8462659F3_.wvu.FilterData" localSheetId="6" hidden="1">'REDE PRESSURIZADA'!$B$22:$J$312</definedName>
    <definedName name="Z_9588352A_C6C4_4E9D_BE94_91F8462659F3_.wvu.FilterData" localSheetId="16" hidden="1">'SERVIÇOS PRELIMINARES'!$A$22:$W$30</definedName>
    <definedName name="Z_95E25F54_7779_4081_BC9C_A3B4D03EAFD7_.wvu.FilterData" localSheetId="10" hidden="1">'Custo Drenagem'!$B$22:$J$52</definedName>
    <definedName name="Z_95E25F54_7779_4081_BC9C_A3B4D03EAFD7_.wvu.FilterData" localSheetId="4" hidden="1">'Custo EBSs'!$B$22:$J$832</definedName>
    <definedName name="Z_95E25F54_7779_4081_BC9C_A3B4D03EAFD7_.wvu.FilterData" localSheetId="2" hidden="1">'Custos Canais'!$B$22:$J$296</definedName>
    <definedName name="Z_95E25F54_7779_4081_BC9C_A3B4D03EAFD7_.wvu.FilterData" localSheetId="8" hidden="1">'Custos On farm'!$B$22:$J$197</definedName>
    <definedName name="Z_95E25F54_7779_4081_BC9C_A3B4D03EAFD7_.wvu.FilterData" localSheetId="14" hidden="1">'Custos Rede Baixa Pressão'!$B$5:$J$37</definedName>
    <definedName name="Z_95E25F54_7779_4081_BC9C_A3B4D03EAFD7_.wvu.FilterData" localSheetId="12" hidden="1">'Custos Sistema Viário'!$B$22:$J$33</definedName>
    <definedName name="Z_95E25F54_7779_4081_BC9C_A3B4D03EAFD7_.wvu.FilterData" localSheetId="17" hidden="1">DESMATAMENTO!$A$22:$X$26</definedName>
    <definedName name="Z_95E25F54_7779_4081_BC9C_A3B4D03EAFD7_.wvu.FilterData" localSheetId="6" hidden="1">'REDE PRESSURIZADA'!$B$22:$J$312</definedName>
    <definedName name="Z_95E25F54_7779_4081_BC9C_A3B4D03EAFD7_.wvu.FilterData" localSheetId="16" hidden="1">'SERVIÇOS PRELIMINARES'!$A$22:$W$30</definedName>
    <definedName name="Z_99F7DDFA_45A1_4551_8A84_E00A309BE45E_.wvu.FilterData" localSheetId="10" hidden="1">'Custo Drenagem'!$B$22:$J$52</definedName>
    <definedName name="Z_99F7DDFA_45A1_4551_8A84_E00A309BE45E_.wvu.FilterData" localSheetId="4" hidden="1">'Custo EBSs'!$B$22:$J$832</definedName>
    <definedName name="Z_99F7DDFA_45A1_4551_8A84_E00A309BE45E_.wvu.FilterData" localSheetId="2" hidden="1">'Custos Canais'!$B$22:$J$296</definedName>
    <definedName name="Z_99F7DDFA_45A1_4551_8A84_E00A309BE45E_.wvu.FilterData" localSheetId="8" hidden="1">'Custos On farm'!$B$22:$J$197</definedName>
    <definedName name="Z_99F7DDFA_45A1_4551_8A84_E00A309BE45E_.wvu.FilterData" localSheetId="14" hidden="1">'Custos Rede Baixa Pressão'!$B$5:$J$37</definedName>
    <definedName name="Z_99F7DDFA_45A1_4551_8A84_E00A309BE45E_.wvu.FilterData" localSheetId="12" hidden="1">'Custos Sistema Viário'!$B$22:$J$33</definedName>
    <definedName name="Z_99F7DDFA_45A1_4551_8A84_E00A309BE45E_.wvu.FilterData" localSheetId="17" hidden="1">DESMATAMENTO!$A$22:$X$26</definedName>
    <definedName name="Z_99F7DDFA_45A1_4551_8A84_E00A309BE45E_.wvu.FilterData" localSheetId="6" hidden="1">'REDE PRESSURIZADA'!$B$22:$J$312</definedName>
    <definedName name="Z_99F7DDFA_45A1_4551_8A84_E00A309BE45E_.wvu.FilterData" localSheetId="16" hidden="1">'SERVIÇOS PRELIMINARES'!$A$22:$W$30</definedName>
    <definedName name="Z_9B010AED_4669_411D_83D4_4128D0DBB01C_.wvu.FilterData" localSheetId="10" hidden="1">'Custo Drenagem'!$B$22:$J$52</definedName>
    <definedName name="Z_9B010AED_4669_411D_83D4_4128D0DBB01C_.wvu.FilterData" localSheetId="4" hidden="1">'Custo EBSs'!$B$22:$J$832</definedName>
    <definedName name="Z_9B010AED_4669_411D_83D4_4128D0DBB01C_.wvu.FilterData" localSheetId="2" hidden="1">'Custos Canais'!$B$22:$J$296</definedName>
    <definedName name="Z_9B010AED_4669_411D_83D4_4128D0DBB01C_.wvu.FilterData" localSheetId="8" hidden="1">'Custos On farm'!$B$22:$J$197</definedName>
    <definedName name="Z_9B010AED_4669_411D_83D4_4128D0DBB01C_.wvu.FilterData" localSheetId="14" hidden="1">'Custos Rede Baixa Pressão'!$B$5:$J$37</definedName>
    <definedName name="Z_9B010AED_4669_411D_83D4_4128D0DBB01C_.wvu.FilterData" localSheetId="12" hidden="1">'Custos Sistema Viário'!$B$22:$J$33</definedName>
    <definedName name="Z_9B010AED_4669_411D_83D4_4128D0DBB01C_.wvu.FilterData" localSheetId="17" hidden="1">DESMATAMENTO!$A$22:$X$26</definedName>
    <definedName name="Z_9B010AED_4669_411D_83D4_4128D0DBB01C_.wvu.FilterData" localSheetId="6" hidden="1">'REDE PRESSURIZADA'!$B$22:$J$312</definedName>
    <definedName name="Z_9B010AED_4669_411D_83D4_4128D0DBB01C_.wvu.FilterData" localSheetId="16" hidden="1">'SERVIÇOS PRELIMINARES'!$A$22:$W$30</definedName>
    <definedName name="Z_9C09C304_D963_4BC1_820B_55FCACE43A99_.wvu.FilterData" localSheetId="10" hidden="1">'Custo Drenagem'!$B$22:$J$52</definedName>
    <definedName name="Z_9C09C304_D963_4BC1_820B_55FCACE43A99_.wvu.FilterData" localSheetId="4" hidden="1">'Custo EBSs'!$B$22:$J$832</definedName>
    <definedName name="Z_9C09C304_D963_4BC1_820B_55FCACE43A99_.wvu.FilterData" localSheetId="2" hidden="1">'Custos Canais'!$B$22:$J$296</definedName>
    <definedName name="Z_9C09C304_D963_4BC1_820B_55FCACE43A99_.wvu.FilterData" localSheetId="8" hidden="1">'Custos On farm'!$B$22:$J$197</definedName>
    <definedName name="Z_9C09C304_D963_4BC1_820B_55FCACE43A99_.wvu.FilterData" localSheetId="14" hidden="1">'Custos Rede Baixa Pressão'!$B$5:$J$37</definedName>
    <definedName name="Z_9C09C304_D963_4BC1_820B_55FCACE43A99_.wvu.FilterData" localSheetId="12" hidden="1">'Custos Sistema Viário'!$B$22:$J$33</definedName>
    <definedName name="Z_9C09C304_D963_4BC1_820B_55FCACE43A99_.wvu.FilterData" localSheetId="17" hidden="1">DESMATAMENTO!$A$22:$X$26</definedName>
    <definedName name="Z_9C09C304_D963_4BC1_820B_55FCACE43A99_.wvu.FilterData" localSheetId="6" hidden="1">'REDE PRESSURIZADA'!$B$22:$J$312</definedName>
    <definedName name="Z_9C09C304_D963_4BC1_820B_55FCACE43A99_.wvu.FilterData" localSheetId="16" hidden="1">'SERVIÇOS PRELIMINARES'!$A$22:$W$30</definedName>
    <definedName name="Z_9F9E2880_6809_48A9_8265_05016A1DCC2F_.wvu.FilterData" localSheetId="10" hidden="1">'Custo Drenagem'!$B$22:$J$52</definedName>
    <definedName name="Z_9F9E2880_6809_48A9_8265_05016A1DCC2F_.wvu.FilterData" localSheetId="4" hidden="1">'Custo EBSs'!$B$22:$J$832</definedName>
    <definedName name="Z_9F9E2880_6809_48A9_8265_05016A1DCC2F_.wvu.FilterData" localSheetId="2" hidden="1">'Custos Canais'!$B$22:$J$296</definedName>
    <definedName name="Z_9F9E2880_6809_48A9_8265_05016A1DCC2F_.wvu.FilterData" localSheetId="8" hidden="1">'Custos On farm'!$B$22:$J$197</definedName>
    <definedName name="Z_9F9E2880_6809_48A9_8265_05016A1DCC2F_.wvu.FilterData" localSheetId="14" hidden="1">'Custos Rede Baixa Pressão'!$B$5:$J$37</definedName>
    <definedName name="Z_9F9E2880_6809_48A9_8265_05016A1DCC2F_.wvu.FilterData" localSheetId="12" hidden="1">'Custos Sistema Viário'!$B$22:$J$33</definedName>
    <definedName name="Z_9F9E2880_6809_48A9_8265_05016A1DCC2F_.wvu.FilterData" localSheetId="17" hidden="1">DESMATAMENTO!$A$22:$X$26</definedName>
    <definedName name="Z_9F9E2880_6809_48A9_8265_05016A1DCC2F_.wvu.FilterData" localSheetId="6" hidden="1">'REDE PRESSURIZADA'!$B$22:$J$312</definedName>
    <definedName name="Z_9F9E2880_6809_48A9_8265_05016A1DCC2F_.wvu.FilterData" localSheetId="16" hidden="1">'SERVIÇOS PRELIMINARES'!$A$22:$W$30</definedName>
    <definedName name="Z_A2DA9EF1_984A_4753_85FE_B39CC6BC2C1B_.wvu.FilterData" localSheetId="10" hidden="1">'Custo Drenagem'!$B$22:$J$52</definedName>
    <definedName name="Z_A2DA9EF1_984A_4753_85FE_B39CC6BC2C1B_.wvu.FilterData" localSheetId="4" hidden="1">'Custo EBSs'!$B$22:$J$832</definedName>
    <definedName name="Z_A2DA9EF1_984A_4753_85FE_B39CC6BC2C1B_.wvu.FilterData" localSheetId="2" hidden="1">'Custos Canais'!$B$22:$J$296</definedName>
    <definedName name="Z_A2DA9EF1_984A_4753_85FE_B39CC6BC2C1B_.wvu.FilterData" localSheetId="8" hidden="1">'Custos On farm'!$B$22:$J$197</definedName>
    <definedName name="Z_A2DA9EF1_984A_4753_85FE_B39CC6BC2C1B_.wvu.FilterData" localSheetId="14" hidden="1">'Custos Rede Baixa Pressão'!$B$5:$J$37</definedName>
    <definedName name="Z_A2DA9EF1_984A_4753_85FE_B39CC6BC2C1B_.wvu.FilterData" localSheetId="12" hidden="1">'Custos Sistema Viário'!$B$22:$J$33</definedName>
    <definedName name="Z_A2DA9EF1_984A_4753_85FE_B39CC6BC2C1B_.wvu.FilterData" localSheetId="17" hidden="1">DESMATAMENTO!$A$22:$X$26</definedName>
    <definedName name="Z_A2DA9EF1_984A_4753_85FE_B39CC6BC2C1B_.wvu.FilterData" localSheetId="6" hidden="1">'REDE PRESSURIZADA'!$B$22:$J$312</definedName>
    <definedName name="Z_A2DA9EF1_984A_4753_85FE_B39CC6BC2C1B_.wvu.FilterData" localSheetId="16" hidden="1">'SERVIÇOS PRELIMINARES'!$A$22:$W$30</definedName>
    <definedName name="Z_A49A2F3A_D08B_4A96_8E4B_6FB551C76C0C_.wvu.FilterData" localSheetId="10" hidden="1">'Custo Drenagem'!$B$22:$J$52</definedName>
    <definedName name="Z_A49A2F3A_D08B_4A96_8E4B_6FB551C76C0C_.wvu.FilterData" localSheetId="4" hidden="1">'Custo EBSs'!$B$22:$J$832</definedName>
    <definedName name="Z_A49A2F3A_D08B_4A96_8E4B_6FB551C76C0C_.wvu.FilterData" localSheetId="2" hidden="1">'Custos Canais'!$B$22:$J$296</definedName>
    <definedName name="Z_A49A2F3A_D08B_4A96_8E4B_6FB551C76C0C_.wvu.FilterData" localSheetId="8" hidden="1">'Custos On farm'!$B$22:$J$197</definedName>
    <definedName name="Z_A49A2F3A_D08B_4A96_8E4B_6FB551C76C0C_.wvu.FilterData" localSheetId="14" hidden="1">'Custos Rede Baixa Pressão'!$B$5:$J$37</definedName>
    <definedName name="Z_A49A2F3A_D08B_4A96_8E4B_6FB551C76C0C_.wvu.FilterData" localSheetId="12" hidden="1">'Custos Sistema Viário'!$B$22:$J$33</definedName>
    <definedName name="Z_A49A2F3A_D08B_4A96_8E4B_6FB551C76C0C_.wvu.FilterData" localSheetId="17" hidden="1">DESMATAMENTO!$A$22:$X$26</definedName>
    <definedName name="Z_A49A2F3A_D08B_4A96_8E4B_6FB551C76C0C_.wvu.FilterData" localSheetId="6" hidden="1">'REDE PRESSURIZADA'!$B$22:$J$312</definedName>
    <definedName name="Z_A49A2F3A_D08B_4A96_8E4B_6FB551C76C0C_.wvu.FilterData" localSheetId="16" hidden="1">'SERVIÇOS PRELIMINARES'!$A$22:$W$30</definedName>
    <definedName name="Z_A4E87C82_32DB_4097_A611_17C0A92D310F_.wvu.FilterData" localSheetId="10" hidden="1">'Custo Drenagem'!$B$22:$J$52</definedName>
    <definedName name="Z_A4E87C82_32DB_4097_A611_17C0A92D310F_.wvu.FilterData" localSheetId="4" hidden="1">'Custo EBSs'!$B$22:$J$832</definedName>
    <definedName name="Z_A4E87C82_32DB_4097_A611_17C0A92D310F_.wvu.FilterData" localSheetId="2" hidden="1">'Custos Canais'!$B$22:$J$294</definedName>
    <definedName name="Z_A4E87C82_32DB_4097_A611_17C0A92D310F_.wvu.FilterData" localSheetId="8" hidden="1">'Custos On farm'!$B$22:$J$197</definedName>
    <definedName name="Z_A4E87C82_32DB_4097_A611_17C0A92D310F_.wvu.FilterData" localSheetId="14" hidden="1">'Custos Rede Baixa Pressão'!$B$5:$J$37</definedName>
    <definedName name="Z_A4E87C82_32DB_4097_A611_17C0A92D310F_.wvu.FilterData" localSheetId="12" hidden="1">'Custos Sistema Viário'!$B$22:$J$33</definedName>
    <definedName name="Z_A4E87C82_32DB_4097_A611_17C0A92D310F_.wvu.FilterData" localSheetId="17" hidden="1">DESMATAMENTO!$A$22:$X$26</definedName>
    <definedName name="Z_A4E87C82_32DB_4097_A611_17C0A92D310F_.wvu.FilterData" localSheetId="6" hidden="1">'REDE PRESSURIZADA'!$B$22:$J$312</definedName>
    <definedName name="Z_A4E87C82_32DB_4097_A611_17C0A92D310F_.wvu.FilterData" localSheetId="16" hidden="1">'SERVIÇOS PRELIMINARES'!$A$22:$W$30</definedName>
    <definedName name="Z_A6B5E9FC_498C_46FF_8B5D_1FAAB6FD56C3_.wvu.FilterData" localSheetId="10" hidden="1">'Custo Drenagem'!$B$22:$J$52</definedName>
    <definedName name="Z_A6B5E9FC_498C_46FF_8B5D_1FAAB6FD56C3_.wvu.FilterData" localSheetId="4" hidden="1">'Custo EBSs'!$B$22:$J$832</definedName>
    <definedName name="Z_A6B5E9FC_498C_46FF_8B5D_1FAAB6FD56C3_.wvu.FilterData" localSheetId="2" hidden="1">'Custos Canais'!$B$22:$J$296</definedName>
    <definedName name="Z_A6B5E9FC_498C_46FF_8B5D_1FAAB6FD56C3_.wvu.FilterData" localSheetId="8" hidden="1">'Custos On farm'!$B$22:$J$197</definedName>
    <definedName name="Z_A6B5E9FC_498C_46FF_8B5D_1FAAB6FD56C3_.wvu.FilterData" localSheetId="14" hidden="1">'Custos Rede Baixa Pressão'!$B$5:$J$37</definedName>
    <definedName name="Z_A6B5E9FC_498C_46FF_8B5D_1FAAB6FD56C3_.wvu.FilterData" localSheetId="12" hidden="1">'Custos Sistema Viário'!$B$22:$J$33</definedName>
    <definedName name="Z_A6B5E9FC_498C_46FF_8B5D_1FAAB6FD56C3_.wvu.FilterData" localSheetId="17" hidden="1">DESMATAMENTO!$A$22:$X$26</definedName>
    <definedName name="Z_A6B5E9FC_498C_46FF_8B5D_1FAAB6FD56C3_.wvu.FilterData" localSheetId="6" hidden="1">'REDE PRESSURIZADA'!$B$22:$J$312</definedName>
    <definedName name="Z_A6B5E9FC_498C_46FF_8B5D_1FAAB6FD56C3_.wvu.FilterData" localSheetId="16" hidden="1">'SERVIÇOS PRELIMINARES'!$A$22:$W$30</definedName>
    <definedName name="Z_A9170C89_1DDB_49ED_957C_3E02A8542003_.wvu.FilterData" localSheetId="10" hidden="1">'Custo Drenagem'!$B$22:$J$52</definedName>
    <definedName name="Z_A9170C89_1DDB_49ED_957C_3E02A8542003_.wvu.FilterData" localSheetId="4" hidden="1">'Custo EBSs'!$B$22:$J$832</definedName>
    <definedName name="Z_A9170C89_1DDB_49ED_957C_3E02A8542003_.wvu.FilterData" localSheetId="2" hidden="1">'Custos Canais'!$B$22:$J$296</definedName>
    <definedName name="Z_A9170C89_1DDB_49ED_957C_3E02A8542003_.wvu.FilterData" localSheetId="8" hidden="1">'Custos On farm'!$B$22:$J$197</definedName>
    <definedName name="Z_A9170C89_1DDB_49ED_957C_3E02A8542003_.wvu.FilterData" localSheetId="14" hidden="1">'Custos Rede Baixa Pressão'!$B$5:$J$37</definedName>
    <definedName name="Z_A9170C89_1DDB_49ED_957C_3E02A8542003_.wvu.FilterData" localSheetId="12" hidden="1">'Custos Sistema Viário'!$B$22:$J$33</definedName>
    <definedName name="Z_A9170C89_1DDB_49ED_957C_3E02A8542003_.wvu.FilterData" localSheetId="17" hidden="1">DESMATAMENTO!$A$22:$X$26</definedName>
    <definedName name="Z_A9170C89_1DDB_49ED_957C_3E02A8542003_.wvu.FilterData" localSheetId="6" hidden="1">'REDE PRESSURIZADA'!$B$22:$J$312</definedName>
    <definedName name="Z_A9170C89_1DDB_49ED_957C_3E02A8542003_.wvu.FilterData" localSheetId="16" hidden="1">'SERVIÇOS PRELIMINARES'!$A$22:$W$30</definedName>
    <definedName name="Z_A9D24F17_08C8_4F6B_A1F7_A18E0AA2C806_.wvu.FilterData" localSheetId="10" hidden="1">'Custo Drenagem'!$B$22:$J$52</definedName>
    <definedName name="Z_A9D24F17_08C8_4F6B_A1F7_A18E0AA2C806_.wvu.FilterData" localSheetId="4" hidden="1">'Custo EBSs'!$B$22:$J$832</definedName>
    <definedName name="Z_A9D24F17_08C8_4F6B_A1F7_A18E0AA2C806_.wvu.FilterData" localSheetId="2" hidden="1">'Custos Canais'!$B$22:$J$296</definedName>
    <definedName name="Z_A9D24F17_08C8_4F6B_A1F7_A18E0AA2C806_.wvu.FilterData" localSheetId="8" hidden="1">'Custos On farm'!$B$22:$J$197</definedName>
    <definedName name="Z_A9D24F17_08C8_4F6B_A1F7_A18E0AA2C806_.wvu.FilterData" localSheetId="14" hidden="1">'Custos Rede Baixa Pressão'!$B$5:$J$37</definedName>
    <definedName name="Z_A9D24F17_08C8_4F6B_A1F7_A18E0AA2C806_.wvu.FilterData" localSheetId="12" hidden="1">'Custos Sistema Viário'!$B$22:$J$33</definedName>
    <definedName name="Z_A9D24F17_08C8_4F6B_A1F7_A18E0AA2C806_.wvu.FilterData" localSheetId="17" hidden="1">DESMATAMENTO!$A$22:$X$26</definedName>
    <definedName name="Z_A9D24F17_08C8_4F6B_A1F7_A18E0AA2C806_.wvu.FilterData" localSheetId="6" hidden="1">'REDE PRESSURIZADA'!$B$22:$J$312</definedName>
    <definedName name="Z_A9D24F17_08C8_4F6B_A1F7_A18E0AA2C806_.wvu.FilterData" localSheetId="16" hidden="1">'SERVIÇOS PRELIMINARES'!$A$22:$W$30</definedName>
    <definedName name="Z_AB1EAE42_97DA_4630_8492_D2856186B825_.wvu.FilterData" localSheetId="10" hidden="1">'Custo Drenagem'!$B$22:$J$52</definedName>
    <definedName name="Z_AB1EAE42_97DA_4630_8492_D2856186B825_.wvu.FilterData" localSheetId="4" hidden="1">'Custo EBSs'!$B$22:$J$832</definedName>
    <definedName name="Z_AB1EAE42_97DA_4630_8492_D2856186B825_.wvu.FilterData" localSheetId="2" hidden="1">'Custos Canais'!$B$22:$J$296</definedName>
    <definedName name="Z_AB1EAE42_97DA_4630_8492_D2856186B825_.wvu.FilterData" localSheetId="8" hidden="1">'Custos On farm'!$B$22:$J$197</definedName>
    <definedName name="Z_AB1EAE42_97DA_4630_8492_D2856186B825_.wvu.FilterData" localSheetId="14" hidden="1">'Custos Rede Baixa Pressão'!$B$5:$J$37</definedName>
    <definedName name="Z_AB1EAE42_97DA_4630_8492_D2856186B825_.wvu.FilterData" localSheetId="12" hidden="1">'Custos Sistema Viário'!$B$22:$J$33</definedName>
    <definedName name="Z_AB1EAE42_97DA_4630_8492_D2856186B825_.wvu.FilterData" localSheetId="17" hidden="1">DESMATAMENTO!$A$22:$X$26</definedName>
    <definedName name="Z_AB1EAE42_97DA_4630_8492_D2856186B825_.wvu.FilterData" localSheetId="6" hidden="1">'REDE PRESSURIZADA'!$B$22:$J$312</definedName>
    <definedName name="Z_AB1EAE42_97DA_4630_8492_D2856186B825_.wvu.FilterData" localSheetId="16" hidden="1">'SERVIÇOS PRELIMINARES'!$A$22:$W$30</definedName>
    <definedName name="Z_AC163642_9B11_4373_A606_6A41AF99A1A1_.wvu.FilterData" localSheetId="10" hidden="1">'Custo Drenagem'!$B$22:$J$52</definedName>
    <definedName name="Z_AC163642_9B11_4373_A606_6A41AF99A1A1_.wvu.FilterData" localSheetId="4" hidden="1">'Custo EBSs'!$B$22:$J$832</definedName>
    <definedName name="Z_AC163642_9B11_4373_A606_6A41AF99A1A1_.wvu.FilterData" localSheetId="2" hidden="1">'Custos Canais'!$B$22:$J$296</definedName>
    <definedName name="Z_AC163642_9B11_4373_A606_6A41AF99A1A1_.wvu.FilterData" localSheetId="8" hidden="1">'Custos On farm'!$B$22:$J$197</definedName>
    <definedName name="Z_AC163642_9B11_4373_A606_6A41AF99A1A1_.wvu.FilterData" localSheetId="14" hidden="1">'Custos Rede Baixa Pressão'!$B$5:$J$37</definedName>
    <definedName name="Z_AC163642_9B11_4373_A606_6A41AF99A1A1_.wvu.FilterData" localSheetId="12" hidden="1">'Custos Sistema Viário'!$B$22:$J$33</definedName>
    <definedName name="Z_AC163642_9B11_4373_A606_6A41AF99A1A1_.wvu.FilterData" localSheetId="17" hidden="1">DESMATAMENTO!$A$22:$X$26</definedName>
    <definedName name="Z_AC163642_9B11_4373_A606_6A41AF99A1A1_.wvu.FilterData" localSheetId="6" hidden="1">'REDE PRESSURIZADA'!$B$22:$J$312</definedName>
    <definedName name="Z_AC163642_9B11_4373_A606_6A41AF99A1A1_.wvu.FilterData" localSheetId="16" hidden="1">'SERVIÇOS PRELIMINARES'!$A$22:$W$30</definedName>
    <definedName name="Z_B28C4C78_D3E0_4946_B50D_EDD58E76E2D1_.wvu.FilterData" localSheetId="10" hidden="1">'Custo Drenagem'!$B$22:$J$52</definedName>
    <definedName name="Z_B28C4C78_D3E0_4946_B50D_EDD58E76E2D1_.wvu.FilterData" localSheetId="4" hidden="1">'Custo EBSs'!$B$22:$J$832</definedName>
    <definedName name="Z_B28C4C78_D3E0_4946_B50D_EDD58E76E2D1_.wvu.FilterData" localSheetId="2" hidden="1">'Custos Canais'!$B$22:$J$296</definedName>
    <definedName name="Z_B28C4C78_D3E0_4946_B50D_EDD58E76E2D1_.wvu.FilterData" localSheetId="8" hidden="1">'Custos On farm'!$B$22:$J$197</definedName>
    <definedName name="Z_B28C4C78_D3E0_4946_B50D_EDD58E76E2D1_.wvu.FilterData" localSheetId="14" hidden="1">'Custos Rede Baixa Pressão'!$B$5:$J$37</definedName>
    <definedName name="Z_B28C4C78_D3E0_4946_B50D_EDD58E76E2D1_.wvu.FilterData" localSheetId="12" hidden="1">'Custos Sistema Viário'!$B$22:$J$33</definedName>
    <definedName name="Z_B28C4C78_D3E0_4946_B50D_EDD58E76E2D1_.wvu.FilterData" localSheetId="17" hidden="1">DESMATAMENTO!$A$22:$X$26</definedName>
    <definedName name="Z_B28C4C78_D3E0_4946_B50D_EDD58E76E2D1_.wvu.FilterData" localSheetId="6" hidden="1">'REDE PRESSURIZADA'!$B$22:$J$312</definedName>
    <definedName name="Z_B28C4C78_D3E0_4946_B50D_EDD58E76E2D1_.wvu.FilterData" localSheetId="16" hidden="1">'SERVIÇOS PRELIMINARES'!$A$22:$W$30</definedName>
    <definedName name="Z_B4E92D24_D8EA_4086_8289_7E2FBEA79DC6_.wvu.FilterData" localSheetId="10" hidden="1">'Custo Drenagem'!$B$22:$J$52</definedName>
    <definedName name="Z_B4E92D24_D8EA_4086_8289_7E2FBEA79DC6_.wvu.FilterData" localSheetId="4" hidden="1">'Custo EBSs'!$B$22:$J$832</definedName>
    <definedName name="Z_B4E92D24_D8EA_4086_8289_7E2FBEA79DC6_.wvu.FilterData" localSheetId="2" hidden="1">'Custos Canais'!$B$22:$J$296</definedName>
    <definedName name="Z_B4E92D24_D8EA_4086_8289_7E2FBEA79DC6_.wvu.FilterData" localSheetId="8" hidden="1">'Custos On farm'!$B$22:$J$197</definedName>
    <definedName name="Z_B4E92D24_D8EA_4086_8289_7E2FBEA79DC6_.wvu.FilterData" localSheetId="14" hidden="1">'Custos Rede Baixa Pressão'!$B$5:$J$37</definedName>
    <definedName name="Z_B4E92D24_D8EA_4086_8289_7E2FBEA79DC6_.wvu.FilterData" localSheetId="12" hidden="1">'Custos Sistema Viário'!$B$22:$J$33</definedName>
    <definedName name="Z_B4E92D24_D8EA_4086_8289_7E2FBEA79DC6_.wvu.FilterData" localSheetId="17" hidden="1">DESMATAMENTO!$A$22:$X$26</definedName>
    <definedName name="Z_B4E92D24_D8EA_4086_8289_7E2FBEA79DC6_.wvu.FilterData" localSheetId="6" hidden="1">'REDE PRESSURIZADA'!$B$22:$J$312</definedName>
    <definedName name="Z_B4E92D24_D8EA_4086_8289_7E2FBEA79DC6_.wvu.FilterData" localSheetId="16" hidden="1">'SERVIÇOS PRELIMINARES'!$A$22:$W$30</definedName>
    <definedName name="Z_B6456782_2B26_4D30_B202_34C42E387274_.wvu.FilterData" localSheetId="10" hidden="1">'Custo Drenagem'!$B$22:$J$52</definedName>
    <definedName name="Z_B6456782_2B26_4D30_B202_34C42E387274_.wvu.FilterData" localSheetId="4" hidden="1">'Custo EBSs'!$B$22:$J$832</definedName>
    <definedName name="Z_B6456782_2B26_4D30_B202_34C42E387274_.wvu.FilterData" localSheetId="2" hidden="1">'Custos Canais'!$B$22:$J$296</definedName>
    <definedName name="Z_B6456782_2B26_4D30_B202_34C42E387274_.wvu.FilterData" localSheetId="8" hidden="1">'Custos On farm'!$B$22:$J$197</definedName>
    <definedName name="Z_B6456782_2B26_4D30_B202_34C42E387274_.wvu.FilterData" localSheetId="14" hidden="1">'Custos Rede Baixa Pressão'!$B$5:$J$37</definedName>
    <definedName name="Z_B6456782_2B26_4D30_B202_34C42E387274_.wvu.FilterData" localSheetId="12" hidden="1">'Custos Sistema Viário'!$B$22:$J$33</definedName>
    <definedName name="Z_B6456782_2B26_4D30_B202_34C42E387274_.wvu.FilterData" localSheetId="17" hidden="1">DESMATAMENTO!$A$22:$X$26</definedName>
    <definedName name="Z_B6456782_2B26_4D30_B202_34C42E387274_.wvu.FilterData" localSheetId="6" hidden="1">'REDE PRESSURIZADA'!$B$22:$J$312</definedName>
    <definedName name="Z_B6456782_2B26_4D30_B202_34C42E387274_.wvu.FilterData" localSheetId="16" hidden="1">'SERVIÇOS PRELIMINARES'!$A$22:$W$30</definedName>
    <definedName name="Z_B83A2A7F_6702_4601_BED7_D8B510EDA2E9_.wvu.FilterData" localSheetId="10" hidden="1">'Custo Drenagem'!$B$22:$J$52</definedName>
    <definedName name="Z_B83A2A7F_6702_4601_BED7_D8B510EDA2E9_.wvu.FilterData" localSheetId="4" hidden="1">'Custo EBSs'!$B$22:$J$832</definedName>
    <definedName name="Z_B83A2A7F_6702_4601_BED7_D8B510EDA2E9_.wvu.FilterData" localSheetId="2" hidden="1">'Custos Canais'!$B$22:$J$294</definedName>
    <definedName name="Z_B83A2A7F_6702_4601_BED7_D8B510EDA2E9_.wvu.FilterData" localSheetId="8" hidden="1">'Custos On farm'!$B$22:$J$197</definedName>
    <definedName name="Z_B83A2A7F_6702_4601_BED7_D8B510EDA2E9_.wvu.FilterData" localSheetId="14" hidden="1">'Custos Rede Baixa Pressão'!$B$5:$J$37</definedName>
    <definedName name="Z_B83A2A7F_6702_4601_BED7_D8B510EDA2E9_.wvu.FilterData" localSheetId="12" hidden="1">'Custos Sistema Viário'!$B$22:$J$33</definedName>
    <definedName name="Z_B83A2A7F_6702_4601_BED7_D8B510EDA2E9_.wvu.FilterData" localSheetId="17" hidden="1">DESMATAMENTO!$A$22:$X$26</definedName>
    <definedName name="Z_B83A2A7F_6702_4601_BED7_D8B510EDA2E9_.wvu.FilterData" localSheetId="6" hidden="1">'REDE PRESSURIZADA'!$B$22:$J$312</definedName>
    <definedName name="Z_B83A2A7F_6702_4601_BED7_D8B510EDA2E9_.wvu.FilterData" localSheetId="16" hidden="1">'SERVIÇOS PRELIMINARES'!$A$22:$W$30</definedName>
    <definedName name="Z_B87893DB_3CD4_4C7C_BBA5_8C2322BEE622_.wvu.FilterData" localSheetId="10" hidden="1">'Custo Drenagem'!$B$22:$J$52</definedName>
    <definedName name="Z_B87893DB_3CD4_4C7C_BBA5_8C2322BEE622_.wvu.FilterData" localSheetId="4" hidden="1">'Custo EBSs'!$B$22:$J$832</definedName>
    <definedName name="Z_B87893DB_3CD4_4C7C_BBA5_8C2322BEE622_.wvu.FilterData" localSheetId="2" hidden="1">'Custos Canais'!$B$22:$J$296</definedName>
    <definedName name="Z_B87893DB_3CD4_4C7C_BBA5_8C2322BEE622_.wvu.FilterData" localSheetId="8" hidden="1">'Custos On farm'!$B$22:$J$197</definedName>
    <definedName name="Z_B87893DB_3CD4_4C7C_BBA5_8C2322BEE622_.wvu.FilterData" localSheetId="14" hidden="1">'Custos Rede Baixa Pressão'!$B$5:$J$37</definedName>
    <definedName name="Z_B87893DB_3CD4_4C7C_BBA5_8C2322BEE622_.wvu.FilterData" localSheetId="12" hidden="1">'Custos Sistema Viário'!$B$22:$J$33</definedName>
    <definedName name="Z_B87893DB_3CD4_4C7C_BBA5_8C2322BEE622_.wvu.FilterData" localSheetId="17" hidden="1">DESMATAMENTO!$A$22:$X$26</definedName>
    <definedName name="Z_B87893DB_3CD4_4C7C_BBA5_8C2322BEE622_.wvu.FilterData" localSheetId="6" hidden="1">'REDE PRESSURIZADA'!$B$22:$J$312</definedName>
    <definedName name="Z_B87893DB_3CD4_4C7C_BBA5_8C2322BEE622_.wvu.FilterData" localSheetId="16" hidden="1">'SERVIÇOS PRELIMINARES'!$A$22:$W$30</definedName>
    <definedName name="Z_BB3D5C51_23CF_4A75_ABA5_54F6EEEA01DF_.wvu.FilterData" localSheetId="10" hidden="1">'Custo Drenagem'!$B$22:$J$52</definedName>
    <definedName name="Z_BB3D5C51_23CF_4A75_ABA5_54F6EEEA01DF_.wvu.FilterData" localSheetId="4" hidden="1">'Custo EBSs'!$B$22:$J$832</definedName>
    <definedName name="Z_BB3D5C51_23CF_4A75_ABA5_54F6EEEA01DF_.wvu.FilterData" localSheetId="2" hidden="1">'Custos Canais'!$B$22:$J$296</definedName>
    <definedName name="Z_BB3D5C51_23CF_4A75_ABA5_54F6EEEA01DF_.wvu.FilterData" localSheetId="8" hidden="1">'Custos On farm'!$B$22:$J$197</definedName>
    <definedName name="Z_BB3D5C51_23CF_4A75_ABA5_54F6EEEA01DF_.wvu.FilterData" localSheetId="14" hidden="1">'Custos Rede Baixa Pressão'!$B$5:$J$37</definedName>
    <definedName name="Z_BB3D5C51_23CF_4A75_ABA5_54F6EEEA01DF_.wvu.FilterData" localSheetId="12" hidden="1">'Custos Sistema Viário'!$B$22:$J$33</definedName>
    <definedName name="Z_BB3D5C51_23CF_4A75_ABA5_54F6EEEA01DF_.wvu.FilterData" localSheetId="17" hidden="1">DESMATAMENTO!$A$22:$X$26</definedName>
    <definedName name="Z_BB3D5C51_23CF_4A75_ABA5_54F6EEEA01DF_.wvu.FilterData" localSheetId="6" hidden="1">'REDE PRESSURIZADA'!$B$22:$J$312</definedName>
    <definedName name="Z_BB3D5C51_23CF_4A75_ABA5_54F6EEEA01DF_.wvu.FilterData" localSheetId="16" hidden="1">'SERVIÇOS PRELIMINARES'!$A$22:$W$30</definedName>
    <definedName name="Z_BCD42FB1_DE6E_43D7_837B_EB4C1F0D5167_.wvu.FilterData" localSheetId="10" hidden="1">'Custo Drenagem'!$B$22:$J$52</definedName>
    <definedName name="Z_BCD42FB1_DE6E_43D7_837B_EB4C1F0D5167_.wvu.FilterData" localSheetId="4" hidden="1">'Custo EBSs'!$B$22:$J$832</definedName>
    <definedName name="Z_BCD42FB1_DE6E_43D7_837B_EB4C1F0D5167_.wvu.FilterData" localSheetId="2" hidden="1">'Custos Canais'!$B$22:$J$294</definedName>
    <definedName name="Z_BCD42FB1_DE6E_43D7_837B_EB4C1F0D5167_.wvu.FilterData" localSheetId="8" hidden="1">'Custos On farm'!$B$22:$J$197</definedName>
    <definedName name="Z_BCD42FB1_DE6E_43D7_837B_EB4C1F0D5167_.wvu.FilterData" localSheetId="14" hidden="1">'Custos Rede Baixa Pressão'!$B$5:$J$37</definedName>
    <definedName name="Z_BCD42FB1_DE6E_43D7_837B_EB4C1F0D5167_.wvu.FilterData" localSheetId="12" hidden="1">'Custos Sistema Viário'!$B$22:$J$33</definedName>
    <definedName name="Z_BCD42FB1_DE6E_43D7_837B_EB4C1F0D5167_.wvu.FilterData" localSheetId="17" hidden="1">DESMATAMENTO!$A$22:$X$26</definedName>
    <definedName name="Z_BCD42FB1_DE6E_43D7_837B_EB4C1F0D5167_.wvu.FilterData" localSheetId="6" hidden="1">'REDE PRESSURIZADA'!$B$22:$J$312</definedName>
    <definedName name="Z_BCD42FB1_DE6E_43D7_837B_EB4C1F0D5167_.wvu.FilterData" localSheetId="16" hidden="1">'SERVIÇOS PRELIMINARES'!$A$22:$W$30</definedName>
    <definedName name="Z_C0F71267_071E_48A7_A1AF_78B76BA3C5D5_.wvu.FilterData" localSheetId="10" hidden="1">'Custo Drenagem'!$B$22:$J$52</definedName>
    <definedName name="Z_C0F71267_071E_48A7_A1AF_78B76BA3C5D5_.wvu.FilterData" localSheetId="4" hidden="1">'Custo EBSs'!$B$22:$J$832</definedName>
    <definedName name="Z_C0F71267_071E_48A7_A1AF_78B76BA3C5D5_.wvu.FilterData" localSheetId="2" hidden="1">'Custos Canais'!$B$22:$J$296</definedName>
    <definedName name="Z_C0F71267_071E_48A7_A1AF_78B76BA3C5D5_.wvu.FilterData" localSheetId="8" hidden="1">'Custos On farm'!$B$22:$J$197</definedName>
    <definedName name="Z_C0F71267_071E_48A7_A1AF_78B76BA3C5D5_.wvu.FilterData" localSheetId="14" hidden="1">'Custos Rede Baixa Pressão'!$B$5:$J$37</definedName>
    <definedName name="Z_C0F71267_071E_48A7_A1AF_78B76BA3C5D5_.wvu.FilterData" localSheetId="12" hidden="1">'Custos Sistema Viário'!$B$22:$J$33</definedName>
    <definedName name="Z_C0F71267_071E_48A7_A1AF_78B76BA3C5D5_.wvu.FilterData" localSheetId="17" hidden="1">DESMATAMENTO!$A$22:$X$26</definedName>
    <definedName name="Z_C0F71267_071E_48A7_A1AF_78B76BA3C5D5_.wvu.FilterData" localSheetId="6" hidden="1">'REDE PRESSURIZADA'!$B$22:$J$312</definedName>
    <definedName name="Z_C0F71267_071E_48A7_A1AF_78B76BA3C5D5_.wvu.FilterData" localSheetId="16" hidden="1">'SERVIÇOS PRELIMINARES'!$A$22:$W$30</definedName>
    <definedName name="Z_C2B5C521_DD71_4FD2_ABA7_673C3037436A_.wvu.FilterData" localSheetId="10" hidden="1">'Custo Drenagem'!$B$22:$J$52</definedName>
    <definedName name="Z_C2B5C521_DD71_4FD2_ABA7_673C3037436A_.wvu.FilterData" localSheetId="4" hidden="1">'Custo EBSs'!$B$22:$J$832</definedName>
    <definedName name="Z_C2B5C521_DD71_4FD2_ABA7_673C3037436A_.wvu.FilterData" localSheetId="2" hidden="1">'Custos Canais'!$B$22:$J$296</definedName>
    <definedName name="Z_C2B5C521_DD71_4FD2_ABA7_673C3037436A_.wvu.FilterData" localSheetId="8" hidden="1">'Custos On farm'!$B$22:$J$197</definedName>
    <definedName name="Z_C2B5C521_DD71_4FD2_ABA7_673C3037436A_.wvu.FilterData" localSheetId="14" hidden="1">'Custos Rede Baixa Pressão'!$B$5:$J$37</definedName>
    <definedName name="Z_C2B5C521_DD71_4FD2_ABA7_673C3037436A_.wvu.FilterData" localSheetId="12" hidden="1">'Custos Sistema Viário'!$B$22:$J$33</definedName>
    <definedName name="Z_C2B5C521_DD71_4FD2_ABA7_673C3037436A_.wvu.FilterData" localSheetId="17" hidden="1">DESMATAMENTO!$A$22:$X$26</definedName>
    <definedName name="Z_C2B5C521_DD71_4FD2_ABA7_673C3037436A_.wvu.FilterData" localSheetId="6" hidden="1">'REDE PRESSURIZADA'!$B$22:$J$312</definedName>
    <definedName name="Z_C2B5C521_DD71_4FD2_ABA7_673C3037436A_.wvu.FilterData" localSheetId="16" hidden="1">'SERVIÇOS PRELIMINARES'!$A$22:$W$30</definedName>
    <definedName name="Z_C522114E_672E_4E9F_B5CB_F079D93BFE53_.wvu.FilterData" localSheetId="10" hidden="1">'Custo Drenagem'!$B$22:$J$52</definedName>
    <definedName name="Z_C522114E_672E_4E9F_B5CB_F079D93BFE53_.wvu.FilterData" localSheetId="4" hidden="1">'Custo EBSs'!$B$22:$J$832</definedName>
    <definedName name="Z_C522114E_672E_4E9F_B5CB_F079D93BFE53_.wvu.FilterData" localSheetId="2" hidden="1">'Custos Canais'!$B$22:$J$296</definedName>
    <definedName name="Z_C522114E_672E_4E9F_B5CB_F079D93BFE53_.wvu.FilterData" localSheetId="8" hidden="1">'Custos On farm'!$B$22:$J$197</definedName>
    <definedName name="Z_C522114E_672E_4E9F_B5CB_F079D93BFE53_.wvu.FilterData" localSheetId="14" hidden="1">'Custos Rede Baixa Pressão'!$B$5:$J$37</definedName>
    <definedName name="Z_C522114E_672E_4E9F_B5CB_F079D93BFE53_.wvu.FilterData" localSheetId="12" hidden="1">'Custos Sistema Viário'!$B$22:$J$33</definedName>
    <definedName name="Z_C522114E_672E_4E9F_B5CB_F079D93BFE53_.wvu.FilterData" localSheetId="17" hidden="1">DESMATAMENTO!$A$22:$X$26</definedName>
    <definedName name="Z_C522114E_672E_4E9F_B5CB_F079D93BFE53_.wvu.FilterData" localSheetId="6" hidden="1">'REDE PRESSURIZADA'!$B$22:$J$312</definedName>
    <definedName name="Z_C522114E_672E_4E9F_B5CB_F079D93BFE53_.wvu.FilterData" localSheetId="16" hidden="1">'SERVIÇOS PRELIMINARES'!$A$22:$W$30</definedName>
    <definedName name="Z_C87C4738_8AF1_46B7_958A_B7CCFD0DA724_.wvu.FilterData" localSheetId="10" hidden="1">'Custo Drenagem'!$B$22:$J$52</definedName>
    <definedName name="Z_C87C4738_8AF1_46B7_958A_B7CCFD0DA724_.wvu.FilterData" localSheetId="4" hidden="1">'Custo EBSs'!$B$22:$J$832</definedName>
    <definedName name="Z_C87C4738_8AF1_46B7_958A_B7CCFD0DA724_.wvu.FilterData" localSheetId="2" hidden="1">'Custos Canais'!$B$22:$J$296</definedName>
    <definedName name="Z_C87C4738_8AF1_46B7_958A_B7CCFD0DA724_.wvu.FilterData" localSheetId="8" hidden="1">'Custos On farm'!$B$22:$J$197</definedName>
    <definedName name="Z_C87C4738_8AF1_46B7_958A_B7CCFD0DA724_.wvu.FilterData" localSheetId="14" hidden="1">'Custos Rede Baixa Pressão'!$B$5:$J$37</definedName>
    <definedName name="Z_C87C4738_8AF1_46B7_958A_B7CCFD0DA724_.wvu.FilterData" localSheetId="12" hidden="1">'Custos Sistema Viário'!$B$22:$J$33</definedName>
    <definedName name="Z_C87C4738_8AF1_46B7_958A_B7CCFD0DA724_.wvu.FilterData" localSheetId="17" hidden="1">DESMATAMENTO!$A$22:$X$26</definedName>
    <definedName name="Z_C87C4738_8AF1_46B7_958A_B7CCFD0DA724_.wvu.FilterData" localSheetId="6" hidden="1">'REDE PRESSURIZADA'!$B$22:$J$312</definedName>
    <definedName name="Z_C87C4738_8AF1_46B7_958A_B7CCFD0DA724_.wvu.FilterData" localSheetId="16" hidden="1">'SERVIÇOS PRELIMINARES'!$A$22:$W$30</definedName>
    <definedName name="Z_C9612031_58C5_45E0_AED4_22D0E4CA3702_.wvu.FilterData" localSheetId="10" hidden="1">'Custo Drenagem'!$B$22:$J$52</definedName>
    <definedName name="Z_C9612031_58C5_45E0_AED4_22D0E4CA3702_.wvu.FilterData" localSheetId="4" hidden="1">'Custo EBSs'!$B$22:$J$832</definedName>
    <definedName name="Z_C9612031_58C5_45E0_AED4_22D0E4CA3702_.wvu.FilterData" localSheetId="2" hidden="1">'Custos Canais'!$B$22:$J$296</definedName>
    <definedName name="Z_C9612031_58C5_45E0_AED4_22D0E4CA3702_.wvu.FilterData" localSheetId="8" hidden="1">'Custos On farm'!$B$22:$J$197</definedName>
    <definedName name="Z_C9612031_58C5_45E0_AED4_22D0E4CA3702_.wvu.FilterData" localSheetId="14" hidden="1">'Custos Rede Baixa Pressão'!$B$5:$J$37</definedName>
    <definedName name="Z_C9612031_58C5_45E0_AED4_22D0E4CA3702_.wvu.FilterData" localSheetId="12" hidden="1">'Custos Sistema Viário'!$B$22:$J$33</definedName>
    <definedName name="Z_C9612031_58C5_45E0_AED4_22D0E4CA3702_.wvu.FilterData" localSheetId="17" hidden="1">DESMATAMENTO!$A$22:$X$26</definedName>
    <definedName name="Z_C9612031_58C5_45E0_AED4_22D0E4CA3702_.wvu.FilterData" localSheetId="6" hidden="1">'REDE PRESSURIZADA'!$B$22:$J$312</definedName>
    <definedName name="Z_C9612031_58C5_45E0_AED4_22D0E4CA3702_.wvu.FilterData" localSheetId="16" hidden="1">'SERVIÇOS PRELIMINARES'!$A$22:$W$30</definedName>
    <definedName name="Z_C9949187_0F39_421D_A0AE_9042876104FC_.wvu.FilterData" localSheetId="10" hidden="1">'Custo Drenagem'!$B$22:$J$52</definedName>
    <definedName name="Z_C9949187_0F39_421D_A0AE_9042876104FC_.wvu.FilterData" localSheetId="4" hidden="1">'Custo EBSs'!$B$22:$J$832</definedName>
    <definedName name="Z_C9949187_0F39_421D_A0AE_9042876104FC_.wvu.FilterData" localSheetId="2" hidden="1">'Custos Canais'!$B$22:$J$296</definedName>
    <definedName name="Z_C9949187_0F39_421D_A0AE_9042876104FC_.wvu.FilterData" localSheetId="8" hidden="1">'Custos On farm'!$B$22:$J$197</definedName>
    <definedName name="Z_C9949187_0F39_421D_A0AE_9042876104FC_.wvu.FilterData" localSheetId="14" hidden="1">'Custos Rede Baixa Pressão'!$B$5:$J$37</definedName>
    <definedName name="Z_C9949187_0F39_421D_A0AE_9042876104FC_.wvu.FilterData" localSheetId="12" hidden="1">'Custos Sistema Viário'!$B$22:$J$33</definedName>
    <definedName name="Z_C9949187_0F39_421D_A0AE_9042876104FC_.wvu.FilterData" localSheetId="17" hidden="1">DESMATAMENTO!$A$22:$X$26</definedName>
    <definedName name="Z_C9949187_0F39_421D_A0AE_9042876104FC_.wvu.FilterData" localSheetId="6" hidden="1">'REDE PRESSURIZADA'!$B$22:$J$312</definedName>
    <definedName name="Z_C9949187_0F39_421D_A0AE_9042876104FC_.wvu.FilterData" localSheetId="16" hidden="1">'SERVIÇOS PRELIMINARES'!$A$22:$W$30</definedName>
    <definedName name="Z_CAEBC7E7_A7AF_413F_AF7C_E13C80A8420F_.wvu.FilterData" localSheetId="10" hidden="1">'Custo Drenagem'!$B$22:$J$52</definedName>
    <definedName name="Z_CAEBC7E7_A7AF_413F_AF7C_E13C80A8420F_.wvu.FilterData" localSheetId="4" hidden="1">'Custo EBSs'!$B$22:$J$832</definedName>
    <definedName name="Z_CAEBC7E7_A7AF_413F_AF7C_E13C80A8420F_.wvu.FilterData" localSheetId="2" hidden="1">'Custos Canais'!$B$22:$J$296</definedName>
    <definedName name="Z_CAEBC7E7_A7AF_413F_AF7C_E13C80A8420F_.wvu.FilterData" localSheetId="8" hidden="1">'Custos On farm'!$B$22:$J$197</definedName>
    <definedName name="Z_CAEBC7E7_A7AF_413F_AF7C_E13C80A8420F_.wvu.FilterData" localSheetId="14" hidden="1">'Custos Rede Baixa Pressão'!$B$5:$J$37</definedName>
    <definedName name="Z_CAEBC7E7_A7AF_413F_AF7C_E13C80A8420F_.wvu.FilterData" localSheetId="12" hidden="1">'Custos Sistema Viário'!$B$22:$J$33</definedName>
    <definedName name="Z_CAEBC7E7_A7AF_413F_AF7C_E13C80A8420F_.wvu.FilterData" localSheetId="17" hidden="1">DESMATAMENTO!$A$22:$X$26</definedName>
    <definedName name="Z_CAEBC7E7_A7AF_413F_AF7C_E13C80A8420F_.wvu.FilterData" localSheetId="6" hidden="1">'REDE PRESSURIZADA'!$B$22:$J$312</definedName>
    <definedName name="Z_CAEBC7E7_A7AF_413F_AF7C_E13C80A8420F_.wvu.FilterData" localSheetId="16" hidden="1">'SERVIÇOS PRELIMINARES'!$A$22:$W$30</definedName>
    <definedName name="Z_CBA5178F_E477_4750_ABBF_48E6415E75F8_.wvu.FilterData" localSheetId="10" hidden="1">'Custo Drenagem'!$B$22:$J$52</definedName>
    <definedName name="Z_CBA5178F_E477_4750_ABBF_48E6415E75F8_.wvu.FilterData" localSheetId="4" hidden="1">'Custo EBSs'!$B$22:$J$832</definedName>
    <definedName name="Z_CBA5178F_E477_4750_ABBF_48E6415E75F8_.wvu.FilterData" localSheetId="2" hidden="1">'Custos Canais'!$B$22:$J$296</definedName>
    <definedName name="Z_CBA5178F_E477_4750_ABBF_48E6415E75F8_.wvu.FilterData" localSheetId="8" hidden="1">'Custos On farm'!$B$22:$J$197</definedName>
    <definedName name="Z_CBA5178F_E477_4750_ABBF_48E6415E75F8_.wvu.FilterData" localSheetId="14" hidden="1">'Custos Rede Baixa Pressão'!$B$5:$J$37</definedName>
    <definedName name="Z_CBA5178F_E477_4750_ABBF_48E6415E75F8_.wvu.FilterData" localSheetId="12" hidden="1">'Custos Sistema Viário'!$B$22:$J$33</definedName>
    <definedName name="Z_CBA5178F_E477_4750_ABBF_48E6415E75F8_.wvu.FilterData" localSheetId="17" hidden="1">DESMATAMENTO!$A$22:$X$26</definedName>
    <definedName name="Z_CBA5178F_E477_4750_ABBF_48E6415E75F8_.wvu.FilterData" localSheetId="6" hidden="1">'REDE PRESSURIZADA'!$B$22:$J$312</definedName>
    <definedName name="Z_CBA5178F_E477_4750_ABBF_48E6415E75F8_.wvu.FilterData" localSheetId="16" hidden="1">'SERVIÇOS PRELIMINARES'!$A$22:$W$30</definedName>
    <definedName name="Z_CC7CA5BE_7001_4BB5_B373_69AE07BF8BA2_.wvu.FilterData" localSheetId="10" hidden="1">'Custo Drenagem'!$B$22:$J$52</definedName>
    <definedName name="Z_CC7CA5BE_7001_4BB5_B373_69AE07BF8BA2_.wvu.FilterData" localSheetId="4" hidden="1">'Custo EBSs'!$B$22:$J$832</definedName>
    <definedName name="Z_CC7CA5BE_7001_4BB5_B373_69AE07BF8BA2_.wvu.FilterData" localSheetId="2" hidden="1">'Custos Canais'!$B$22:$J$296</definedName>
    <definedName name="Z_CC7CA5BE_7001_4BB5_B373_69AE07BF8BA2_.wvu.FilterData" localSheetId="8" hidden="1">'Custos On farm'!$B$22:$J$197</definedName>
    <definedName name="Z_CC7CA5BE_7001_4BB5_B373_69AE07BF8BA2_.wvu.FilterData" localSheetId="14" hidden="1">'Custos Rede Baixa Pressão'!$B$5:$J$37</definedName>
    <definedName name="Z_CC7CA5BE_7001_4BB5_B373_69AE07BF8BA2_.wvu.FilterData" localSheetId="12" hidden="1">'Custos Sistema Viário'!$B$22:$J$33</definedName>
    <definedName name="Z_CC7CA5BE_7001_4BB5_B373_69AE07BF8BA2_.wvu.FilterData" localSheetId="17" hidden="1">DESMATAMENTO!$A$22:$X$26</definedName>
    <definedName name="Z_CC7CA5BE_7001_4BB5_B373_69AE07BF8BA2_.wvu.FilterData" localSheetId="6" hidden="1">'REDE PRESSURIZADA'!$B$22:$J$312</definedName>
    <definedName name="Z_CC7CA5BE_7001_4BB5_B373_69AE07BF8BA2_.wvu.FilterData" localSheetId="16" hidden="1">'SERVIÇOS PRELIMINARES'!$A$22:$W$30</definedName>
    <definedName name="Z_CD0854F1_9EFB_4815_A4CD_CC18B15FDCE0_.wvu.FilterData" localSheetId="10" hidden="1">'Custo Drenagem'!$B$22:$J$52</definedName>
    <definedName name="Z_CD0854F1_9EFB_4815_A4CD_CC18B15FDCE0_.wvu.FilterData" localSheetId="4" hidden="1">'Custo EBSs'!$B$22:$J$832</definedName>
    <definedName name="Z_CD0854F1_9EFB_4815_A4CD_CC18B15FDCE0_.wvu.FilterData" localSheetId="2" hidden="1">'Custos Canais'!$B$22:$J$296</definedName>
    <definedName name="Z_CD0854F1_9EFB_4815_A4CD_CC18B15FDCE0_.wvu.FilterData" localSheetId="8" hidden="1">'Custos On farm'!$B$22:$J$197</definedName>
    <definedName name="Z_CD0854F1_9EFB_4815_A4CD_CC18B15FDCE0_.wvu.FilterData" localSheetId="14" hidden="1">'Custos Rede Baixa Pressão'!$B$5:$J$37</definedName>
    <definedName name="Z_CD0854F1_9EFB_4815_A4CD_CC18B15FDCE0_.wvu.FilterData" localSheetId="12" hidden="1">'Custos Sistema Viário'!$B$22:$J$33</definedName>
    <definedName name="Z_CD0854F1_9EFB_4815_A4CD_CC18B15FDCE0_.wvu.FilterData" localSheetId="17" hidden="1">DESMATAMENTO!$A$22:$X$26</definedName>
    <definedName name="Z_CD0854F1_9EFB_4815_A4CD_CC18B15FDCE0_.wvu.FilterData" localSheetId="6" hidden="1">'REDE PRESSURIZADA'!$B$22:$J$312</definedName>
    <definedName name="Z_CD0854F1_9EFB_4815_A4CD_CC18B15FDCE0_.wvu.FilterData" localSheetId="16" hidden="1">'SERVIÇOS PRELIMINARES'!$A$22:$W$30</definedName>
    <definedName name="Z_D356DA2D_069A_4E07_8CD8_EDB8599F6020_.wvu.FilterData" localSheetId="10" hidden="1">'Custo Drenagem'!$B$22:$J$52</definedName>
    <definedName name="Z_D356DA2D_069A_4E07_8CD8_EDB8599F6020_.wvu.FilterData" localSheetId="4" hidden="1">'Custo EBSs'!$B$22:$J$832</definedName>
    <definedName name="Z_D356DA2D_069A_4E07_8CD8_EDB8599F6020_.wvu.FilterData" localSheetId="2" hidden="1">'Custos Canais'!$B$22:$J$294</definedName>
    <definedName name="Z_D356DA2D_069A_4E07_8CD8_EDB8599F6020_.wvu.FilterData" localSheetId="8" hidden="1">'Custos On farm'!$B$22:$J$197</definedName>
    <definedName name="Z_D356DA2D_069A_4E07_8CD8_EDB8599F6020_.wvu.FilterData" localSheetId="14" hidden="1">'Custos Rede Baixa Pressão'!$B$5:$J$37</definedName>
    <definedName name="Z_D356DA2D_069A_4E07_8CD8_EDB8599F6020_.wvu.FilterData" localSheetId="12" hidden="1">'Custos Sistema Viário'!$B$22:$J$33</definedName>
    <definedName name="Z_D356DA2D_069A_4E07_8CD8_EDB8599F6020_.wvu.FilterData" localSheetId="17" hidden="1">DESMATAMENTO!$A$22:$X$26</definedName>
    <definedName name="Z_D356DA2D_069A_4E07_8CD8_EDB8599F6020_.wvu.FilterData" localSheetId="6" hidden="1">'REDE PRESSURIZADA'!$B$22:$J$312</definedName>
    <definedName name="Z_D356DA2D_069A_4E07_8CD8_EDB8599F6020_.wvu.FilterData" localSheetId="16" hidden="1">'SERVIÇOS PRELIMINARES'!$A$22:$W$30</definedName>
    <definedName name="Z_D356DA2D_069A_4E07_8CD8_EDB8599F6020_.wvu.PrintArea" localSheetId="10" hidden="1">'Custo Drenagem'!$B$1:$L$54</definedName>
    <definedName name="Z_D356DA2D_069A_4E07_8CD8_EDB8599F6020_.wvu.PrintArea" localSheetId="4" hidden="1">'Custo EBSs'!$B$1:$K$832</definedName>
    <definedName name="Z_D356DA2D_069A_4E07_8CD8_EDB8599F6020_.wvu.PrintArea" localSheetId="2" hidden="1">'Custos Canais'!$B$1:$K$299</definedName>
    <definedName name="Z_D356DA2D_069A_4E07_8CD8_EDB8599F6020_.wvu.PrintArea" localSheetId="8" hidden="1">'Custos On farm'!$B$1:$K$197</definedName>
    <definedName name="Z_D356DA2D_069A_4E07_8CD8_EDB8599F6020_.wvu.PrintArea" localSheetId="14" hidden="1">'Custos Rede Baixa Pressão'!$B$1:$K$37</definedName>
    <definedName name="Z_D356DA2D_069A_4E07_8CD8_EDB8599F6020_.wvu.PrintArea" localSheetId="12" hidden="1">'Custos Sistema Viário'!$B$1:$K$33</definedName>
    <definedName name="Z_D356DA2D_069A_4E07_8CD8_EDB8599F6020_.wvu.PrintArea" localSheetId="17" hidden="1">DESMATAMENTO!$A$1:$AA$26</definedName>
    <definedName name="Z_D356DA2D_069A_4E07_8CD8_EDB8599F6020_.wvu.PrintArea" localSheetId="6" hidden="1">'REDE PRESSURIZADA'!$B$1:$L$312</definedName>
    <definedName name="Z_D356DA2D_069A_4E07_8CD8_EDB8599F6020_.wvu.PrintArea" localSheetId="16" hidden="1">'SERVIÇOS PRELIMINARES'!$A$1:$Z$30</definedName>
    <definedName name="Z_D580B0BC_E869_4531_9C95_7DF755CD5662_.wvu.FilterData" localSheetId="10" hidden="1">'Custo Drenagem'!$B$22:$J$52</definedName>
    <definedName name="Z_D580B0BC_E869_4531_9C95_7DF755CD5662_.wvu.FilterData" localSheetId="4" hidden="1">'Custo EBSs'!$B$22:$J$832</definedName>
    <definedName name="Z_D580B0BC_E869_4531_9C95_7DF755CD5662_.wvu.FilterData" localSheetId="2" hidden="1">'Custos Canais'!$B$22:$J$296</definedName>
    <definedName name="Z_D580B0BC_E869_4531_9C95_7DF755CD5662_.wvu.FilterData" localSheetId="8" hidden="1">'Custos On farm'!$B$22:$J$197</definedName>
    <definedName name="Z_D580B0BC_E869_4531_9C95_7DF755CD5662_.wvu.FilterData" localSheetId="14" hidden="1">'Custos Rede Baixa Pressão'!$B$5:$J$37</definedName>
    <definedName name="Z_D580B0BC_E869_4531_9C95_7DF755CD5662_.wvu.FilterData" localSheetId="12" hidden="1">'Custos Sistema Viário'!$B$22:$J$33</definedName>
    <definedName name="Z_D580B0BC_E869_4531_9C95_7DF755CD5662_.wvu.FilterData" localSheetId="17" hidden="1">DESMATAMENTO!$A$22:$X$26</definedName>
    <definedName name="Z_D580B0BC_E869_4531_9C95_7DF755CD5662_.wvu.FilterData" localSheetId="6" hidden="1">'REDE PRESSURIZADA'!$B$22:$J$312</definedName>
    <definedName name="Z_D580B0BC_E869_4531_9C95_7DF755CD5662_.wvu.FilterData" localSheetId="16" hidden="1">'SERVIÇOS PRELIMINARES'!$A$22:$W$30</definedName>
    <definedName name="Z_D6119D12_27CC_467C_8398_4AA24A5039E9_.wvu.FilterData" localSheetId="10" hidden="1">'Custo Drenagem'!$B$22:$J$52</definedName>
    <definedName name="Z_D6119D12_27CC_467C_8398_4AA24A5039E9_.wvu.FilterData" localSheetId="4" hidden="1">'Custo EBSs'!$B$22:$J$832</definedName>
    <definedName name="Z_D6119D12_27CC_467C_8398_4AA24A5039E9_.wvu.FilterData" localSheetId="2" hidden="1">'Custos Canais'!$B$22:$J$296</definedName>
    <definedName name="Z_D6119D12_27CC_467C_8398_4AA24A5039E9_.wvu.FilterData" localSheetId="8" hidden="1">'Custos On farm'!$B$22:$J$197</definedName>
    <definedName name="Z_D6119D12_27CC_467C_8398_4AA24A5039E9_.wvu.FilterData" localSheetId="14" hidden="1">'Custos Rede Baixa Pressão'!$B$5:$J$37</definedName>
    <definedName name="Z_D6119D12_27CC_467C_8398_4AA24A5039E9_.wvu.FilterData" localSheetId="12" hidden="1">'Custos Sistema Viário'!$B$22:$J$33</definedName>
    <definedName name="Z_D6119D12_27CC_467C_8398_4AA24A5039E9_.wvu.FilterData" localSheetId="17" hidden="1">DESMATAMENTO!$A$22:$X$26</definedName>
    <definedName name="Z_D6119D12_27CC_467C_8398_4AA24A5039E9_.wvu.FilterData" localSheetId="6" hidden="1">'REDE PRESSURIZADA'!$B$22:$J$312</definedName>
    <definedName name="Z_D6119D12_27CC_467C_8398_4AA24A5039E9_.wvu.FilterData" localSheetId="16" hidden="1">'SERVIÇOS PRELIMINARES'!$A$22:$W$30</definedName>
    <definedName name="Z_D64792DF_16CC_40BD_8AF7_1AF4E6E6ACD9_.wvu.FilterData" localSheetId="10" hidden="1">'Custo Drenagem'!$B$22:$J$52</definedName>
    <definedName name="Z_D64792DF_16CC_40BD_8AF7_1AF4E6E6ACD9_.wvu.FilterData" localSheetId="4" hidden="1">'Custo EBSs'!$B$22:$J$832</definedName>
    <definedName name="Z_D64792DF_16CC_40BD_8AF7_1AF4E6E6ACD9_.wvu.FilterData" localSheetId="2" hidden="1">'Custos Canais'!$B$22:$J$296</definedName>
    <definedName name="Z_D64792DF_16CC_40BD_8AF7_1AF4E6E6ACD9_.wvu.FilterData" localSheetId="8" hidden="1">'Custos On farm'!$B$22:$J$197</definedName>
    <definedName name="Z_D64792DF_16CC_40BD_8AF7_1AF4E6E6ACD9_.wvu.FilterData" localSheetId="14" hidden="1">'Custos Rede Baixa Pressão'!$B$5:$J$37</definedName>
    <definedName name="Z_D64792DF_16CC_40BD_8AF7_1AF4E6E6ACD9_.wvu.FilterData" localSheetId="12" hidden="1">'Custos Sistema Viário'!$B$22:$J$33</definedName>
    <definedName name="Z_D64792DF_16CC_40BD_8AF7_1AF4E6E6ACD9_.wvu.FilterData" localSheetId="17" hidden="1">DESMATAMENTO!$A$22:$X$26</definedName>
    <definedName name="Z_D64792DF_16CC_40BD_8AF7_1AF4E6E6ACD9_.wvu.FilterData" localSheetId="6" hidden="1">'REDE PRESSURIZADA'!$B$22:$J$312</definedName>
    <definedName name="Z_D64792DF_16CC_40BD_8AF7_1AF4E6E6ACD9_.wvu.FilterData" localSheetId="16" hidden="1">'SERVIÇOS PRELIMINARES'!$A$22:$W$30</definedName>
    <definedName name="Z_D86EDFD1_74C0_4DC9_8725_C7C138A8C4FA_.wvu.FilterData" localSheetId="10" hidden="1">'Custo Drenagem'!$B$22:$J$52</definedName>
    <definedName name="Z_D86EDFD1_74C0_4DC9_8725_C7C138A8C4FA_.wvu.FilterData" localSheetId="4" hidden="1">'Custo EBSs'!$B$22:$J$832</definedName>
    <definedName name="Z_D86EDFD1_74C0_4DC9_8725_C7C138A8C4FA_.wvu.FilterData" localSheetId="2" hidden="1">'Custos Canais'!$B$22:$J$296</definedName>
    <definedName name="Z_D86EDFD1_74C0_4DC9_8725_C7C138A8C4FA_.wvu.FilterData" localSheetId="8" hidden="1">'Custos On farm'!$B$22:$J$197</definedName>
    <definedName name="Z_D86EDFD1_74C0_4DC9_8725_C7C138A8C4FA_.wvu.FilterData" localSheetId="14" hidden="1">'Custos Rede Baixa Pressão'!$B$5:$J$37</definedName>
    <definedName name="Z_D86EDFD1_74C0_4DC9_8725_C7C138A8C4FA_.wvu.FilterData" localSheetId="12" hidden="1">'Custos Sistema Viário'!$B$22:$J$33</definedName>
    <definedName name="Z_D86EDFD1_74C0_4DC9_8725_C7C138A8C4FA_.wvu.FilterData" localSheetId="17" hidden="1">DESMATAMENTO!$A$22:$X$26</definedName>
    <definedName name="Z_D86EDFD1_74C0_4DC9_8725_C7C138A8C4FA_.wvu.FilterData" localSheetId="6" hidden="1">'REDE PRESSURIZADA'!$B$22:$J$312</definedName>
    <definedName name="Z_D86EDFD1_74C0_4DC9_8725_C7C138A8C4FA_.wvu.FilterData" localSheetId="16" hidden="1">'SERVIÇOS PRELIMINARES'!$A$22:$W$30</definedName>
    <definedName name="Z_DB8367EC_481A_4BD3_B04E_FDE29704275B_.wvu.FilterData" localSheetId="10" hidden="1">'Custo Drenagem'!$B$22:$J$52</definedName>
    <definedName name="Z_DB8367EC_481A_4BD3_B04E_FDE29704275B_.wvu.FilterData" localSheetId="4" hidden="1">'Custo EBSs'!$B$22:$J$832</definedName>
    <definedName name="Z_DB8367EC_481A_4BD3_B04E_FDE29704275B_.wvu.FilterData" localSheetId="2" hidden="1">'Custos Canais'!$B$22:$J$296</definedName>
    <definedName name="Z_DB8367EC_481A_4BD3_B04E_FDE29704275B_.wvu.FilterData" localSheetId="8" hidden="1">'Custos On farm'!$B$22:$J$197</definedName>
    <definedName name="Z_DB8367EC_481A_4BD3_B04E_FDE29704275B_.wvu.FilterData" localSheetId="14" hidden="1">'Custos Rede Baixa Pressão'!$B$5:$J$37</definedName>
    <definedName name="Z_DB8367EC_481A_4BD3_B04E_FDE29704275B_.wvu.FilterData" localSheetId="12" hidden="1">'Custos Sistema Viário'!$B$22:$J$33</definedName>
    <definedName name="Z_DB8367EC_481A_4BD3_B04E_FDE29704275B_.wvu.FilterData" localSheetId="17" hidden="1">DESMATAMENTO!$A$22:$X$26</definedName>
    <definedName name="Z_DB8367EC_481A_4BD3_B04E_FDE29704275B_.wvu.FilterData" localSheetId="6" hidden="1">'REDE PRESSURIZADA'!$B$22:$J$312</definedName>
    <definedName name="Z_DB8367EC_481A_4BD3_B04E_FDE29704275B_.wvu.FilterData" localSheetId="16" hidden="1">'SERVIÇOS PRELIMINARES'!$A$22:$W$30</definedName>
    <definedName name="Z_DCD49CC9_9D51_4EAF_9EB9_C833F2435136_.wvu.FilterData" localSheetId="10" hidden="1">'Custo Drenagem'!$B$22:$J$52</definedName>
    <definedName name="Z_DCD49CC9_9D51_4EAF_9EB9_C833F2435136_.wvu.FilterData" localSheetId="4" hidden="1">'Custo EBSs'!$B$22:$J$832</definedName>
    <definedName name="Z_DCD49CC9_9D51_4EAF_9EB9_C833F2435136_.wvu.FilterData" localSheetId="2" hidden="1">'Custos Canais'!$B$22:$J$296</definedName>
    <definedName name="Z_DCD49CC9_9D51_4EAF_9EB9_C833F2435136_.wvu.FilterData" localSheetId="8" hidden="1">'Custos On farm'!$B$22:$J$197</definedName>
    <definedName name="Z_DCD49CC9_9D51_4EAF_9EB9_C833F2435136_.wvu.FilterData" localSheetId="14" hidden="1">'Custos Rede Baixa Pressão'!$B$5:$J$37</definedName>
    <definedName name="Z_DCD49CC9_9D51_4EAF_9EB9_C833F2435136_.wvu.FilterData" localSheetId="12" hidden="1">'Custos Sistema Viário'!$B$22:$J$33</definedName>
    <definedName name="Z_DCD49CC9_9D51_4EAF_9EB9_C833F2435136_.wvu.FilterData" localSheetId="17" hidden="1">DESMATAMENTO!$A$22:$X$26</definedName>
    <definedName name="Z_DCD49CC9_9D51_4EAF_9EB9_C833F2435136_.wvu.FilterData" localSheetId="6" hidden="1">'REDE PRESSURIZADA'!$B$22:$J$312</definedName>
    <definedName name="Z_DCD49CC9_9D51_4EAF_9EB9_C833F2435136_.wvu.FilterData" localSheetId="16" hidden="1">'SERVIÇOS PRELIMINARES'!$A$22:$W$30</definedName>
    <definedName name="Z_DE21D1AF_5FDC_4D4C_9B66_48AC82E05DF4_.wvu.FilterData" localSheetId="10" hidden="1">'Custo Drenagem'!$B$22:$J$52</definedName>
    <definedName name="Z_DE21D1AF_5FDC_4D4C_9B66_48AC82E05DF4_.wvu.FilterData" localSheetId="4" hidden="1">'Custo EBSs'!$B$22:$J$832</definedName>
    <definedName name="Z_DE21D1AF_5FDC_4D4C_9B66_48AC82E05DF4_.wvu.FilterData" localSheetId="2" hidden="1">'Custos Canais'!$B$22:$J$294</definedName>
    <definedName name="Z_DE21D1AF_5FDC_4D4C_9B66_48AC82E05DF4_.wvu.FilterData" localSheetId="8" hidden="1">'Custos On farm'!$B$22:$J$197</definedName>
    <definedName name="Z_DE21D1AF_5FDC_4D4C_9B66_48AC82E05DF4_.wvu.FilterData" localSheetId="14" hidden="1">'Custos Rede Baixa Pressão'!$B$5:$J$37</definedName>
    <definedName name="Z_DE21D1AF_5FDC_4D4C_9B66_48AC82E05DF4_.wvu.FilterData" localSheetId="12" hidden="1">'Custos Sistema Viário'!$B$22:$J$33</definedName>
    <definedName name="Z_DE21D1AF_5FDC_4D4C_9B66_48AC82E05DF4_.wvu.FilterData" localSheetId="17" hidden="1">DESMATAMENTO!$A$22:$X$26</definedName>
    <definedName name="Z_DE21D1AF_5FDC_4D4C_9B66_48AC82E05DF4_.wvu.FilterData" localSheetId="6" hidden="1">'REDE PRESSURIZADA'!$B$22:$J$312</definedName>
    <definedName name="Z_DE21D1AF_5FDC_4D4C_9B66_48AC82E05DF4_.wvu.FilterData" localSheetId="16" hidden="1">'SERVIÇOS PRELIMINARES'!$A$22:$W$30</definedName>
    <definedName name="Z_DE8067B0_3172_49CF_9D01_885DE38F90E5_.wvu.FilterData" localSheetId="10" hidden="1">'Custo Drenagem'!$B$22:$J$52</definedName>
    <definedName name="Z_DE8067B0_3172_49CF_9D01_885DE38F90E5_.wvu.FilterData" localSheetId="4" hidden="1">'Custo EBSs'!$B$22:$J$832</definedName>
    <definedName name="Z_DE8067B0_3172_49CF_9D01_885DE38F90E5_.wvu.FilterData" localSheetId="2" hidden="1">'Custos Canais'!$B$22:$J$294</definedName>
    <definedName name="Z_DE8067B0_3172_49CF_9D01_885DE38F90E5_.wvu.FilterData" localSheetId="8" hidden="1">'Custos On farm'!$B$22:$J$197</definedName>
    <definedName name="Z_DE8067B0_3172_49CF_9D01_885DE38F90E5_.wvu.FilterData" localSheetId="14" hidden="1">'Custos Rede Baixa Pressão'!$B$5:$J$37</definedName>
    <definedName name="Z_DE8067B0_3172_49CF_9D01_885DE38F90E5_.wvu.FilterData" localSheetId="12" hidden="1">'Custos Sistema Viário'!$B$22:$J$33</definedName>
    <definedName name="Z_DE8067B0_3172_49CF_9D01_885DE38F90E5_.wvu.FilterData" localSheetId="17" hidden="1">DESMATAMENTO!$A$22:$X$26</definedName>
    <definedName name="Z_DE8067B0_3172_49CF_9D01_885DE38F90E5_.wvu.FilterData" localSheetId="6" hidden="1">'REDE PRESSURIZADA'!$B$22:$J$312</definedName>
    <definedName name="Z_DE8067B0_3172_49CF_9D01_885DE38F90E5_.wvu.FilterData" localSheetId="16" hidden="1">'SERVIÇOS PRELIMINARES'!$A$22:$W$30</definedName>
    <definedName name="Z_E381B876_2007_4E6A_BBB3_4520420DFB5C_.wvu.FilterData" localSheetId="10" hidden="1">'Custo Drenagem'!$B$22:$J$52</definedName>
    <definedName name="Z_E381B876_2007_4E6A_BBB3_4520420DFB5C_.wvu.FilterData" localSheetId="4" hidden="1">'Custo EBSs'!$B$22:$J$832</definedName>
    <definedName name="Z_E381B876_2007_4E6A_BBB3_4520420DFB5C_.wvu.FilterData" localSheetId="2" hidden="1">'Custos Canais'!$B$22:$J$296</definedName>
    <definedName name="Z_E381B876_2007_4E6A_BBB3_4520420DFB5C_.wvu.FilterData" localSheetId="8" hidden="1">'Custos On farm'!$B$22:$J$197</definedName>
    <definedName name="Z_E381B876_2007_4E6A_BBB3_4520420DFB5C_.wvu.FilterData" localSheetId="14" hidden="1">'Custos Rede Baixa Pressão'!$B$5:$J$37</definedName>
    <definedName name="Z_E381B876_2007_4E6A_BBB3_4520420DFB5C_.wvu.FilterData" localSheetId="12" hidden="1">'Custos Sistema Viário'!$B$22:$J$33</definedName>
    <definedName name="Z_E381B876_2007_4E6A_BBB3_4520420DFB5C_.wvu.FilterData" localSheetId="17" hidden="1">DESMATAMENTO!$A$22:$X$26</definedName>
    <definedName name="Z_E381B876_2007_4E6A_BBB3_4520420DFB5C_.wvu.FilterData" localSheetId="6" hidden="1">'REDE PRESSURIZADA'!$B$22:$J$312</definedName>
    <definedName name="Z_E381B876_2007_4E6A_BBB3_4520420DFB5C_.wvu.FilterData" localSheetId="16" hidden="1">'SERVIÇOS PRELIMINARES'!$A$22:$W$30</definedName>
    <definedName name="Z_E706B422_FD55_4E47_8451_BF5AB7441B81_.wvu.FilterData" localSheetId="10" hidden="1">'Custo Drenagem'!$B$22:$J$52</definedName>
    <definedName name="Z_E706B422_FD55_4E47_8451_BF5AB7441B81_.wvu.FilterData" localSheetId="4" hidden="1">'Custo EBSs'!$B$22:$J$832</definedName>
    <definedName name="Z_E706B422_FD55_4E47_8451_BF5AB7441B81_.wvu.FilterData" localSheetId="2" hidden="1">'Custos Canais'!$B$22:$J$296</definedName>
    <definedName name="Z_E706B422_FD55_4E47_8451_BF5AB7441B81_.wvu.FilterData" localSheetId="8" hidden="1">'Custos On farm'!$B$22:$J$197</definedName>
    <definedName name="Z_E706B422_FD55_4E47_8451_BF5AB7441B81_.wvu.FilterData" localSheetId="14" hidden="1">'Custos Rede Baixa Pressão'!$B$5:$J$37</definedName>
    <definedName name="Z_E706B422_FD55_4E47_8451_BF5AB7441B81_.wvu.FilterData" localSheetId="12" hidden="1">'Custos Sistema Viário'!$B$22:$J$33</definedName>
    <definedName name="Z_E706B422_FD55_4E47_8451_BF5AB7441B81_.wvu.FilterData" localSheetId="17" hidden="1">DESMATAMENTO!$A$22:$X$26</definedName>
    <definedName name="Z_E706B422_FD55_4E47_8451_BF5AB7441B81_.wvu.FilterData" localSheetId="6" hidden="1">'REDE PRESSURIZADA'!$B$22:$J$312</definedName>
    <definedName name="Z_E706B422_FD55_4E47_8451_BF5AB7441B81_.wvu.FilterData" localSheetId="16" hidden="1">'SERVIÇOS PRELIMINARES'!$A$22:$W$30</definedName>
    <definedName name="Z_E7896DC9_41E3_46D5_A9C6_A0BD4277EA06_.wvu.FilterData" localSheetId="10" hidden="1">'Custo Drenagem'!$B$22:$J$52</definedName>
    <definedName name="Z_E7896DC9_41E3_46D5_A9C6_A0BD4277EA06_.wvu.FilterData" localSheetId="4" hidden="1">'Custo EBSs'!$B$22:$J$832</definedName>
    <definedName name="Z_E7896DC9_41E3_46D5_A9C6_A0BD4277EA06_.wvu.FilterData" localSheetId="2" hidden="1">'Custos Canais'!$B$22:$J$296</definedName>
    <definedName name="Z_E7896DC9_41E3_46D5_A9C6_A0BD4277EA06_.wvu.FilterData" localSheetId="8" hidden="1">'Custos On farm'!$B$22:$J$197</definedName>
    <definedName name="Z_E7896DC9_41E3_46D5_A9C6_A0BD4277EA06_.wvu.FilterData" localSheetId="14" hidden="1">'Custos Rede Baixa Pressão'!$B$5:$J$37</definedName>
    <definedName name="Z_E7896DC9_41E3_46D5_A9C6_A0BD4277EA06_.wvu.FilterData" localSheetId="12" hidden="1">'Custos Sistema Viário'!$B$22:$J$33</definedName>
    <definedName name="Z_E7896DC9_41E3_46D5_A9C6_A0BD4277EA06_.wvu.FilterData" localSheetId="17" hidden="1">DESMATAMENTO!$A$22:$X$26</definedName>
    <definedName name="Z_E7896DC9_41E3_46D5_A9C6_A0BD4277EA06_.wvu.FilterData" localSheetId="6" hidden="1">'REDE PRESSURIZADA'!$B$22:$J$312</definedName>
    <definedName name="Z_E7896DC9_41E3_46D5_A9C6_A0BD4277EA06_.wvu.FilterData" localSheetId="16" hidden="1">'SERVIÇOS PRELIMINARES'!$A$22:$W$30</definedName>
    <definedName name="Z_E93418B8_172B_4306_B333_FD427E091131_.wvu.FilterData" localSheetId="10" hidden="1">'Custo Drenagem'!$B$22:$J$52</definedName>
    <definedName name="Z_E93418B8_172B_4306_B333_FD427E091131_.wvu.FilterData" localSheetId="4" hidden="1">'Custo EBSs'!$B$22:$J$832</definedName>
    <definedName name="Z_E93418B8_172B_4306_B333_FD427E091131_.wvu.FilterData" localSheetId="2" hidden="1">'Custos Canais'!$B$22:$J$296</definedName>
    <definedName name="Z_E93418B8_172B_4306_B333_FD427E091131_.wvu.FilterData" localSheetId="8" hidden="1">'Custos On farm'!$B$22:$J$197</definedName>
    <definedName name="Z_E93418B8_172B_4306_B333_FD427E091131_.wvu.FilterData" localSheetId="14" hidden="1">'Custos Rede Baixa Pressão'!$B$5:$J$37</definedName>
    <definedName name="Z_E93418B8_172B_4306_B333_FD427E091131_.wvu.FilterData" localSheetId="12" hidden="1">'Custos Sistema Viário'!$B$22:$J$33</definedName>
    <definedName name="Z_E93418B8_172B_4306_B333_FD427E091131_.wvu.FilterData" localSheetId="17" hidden="1">DESMATAMENTO!$A$22:$X$26</definedName>
    <definedName name="Z_E93418B8_172B_4306_B333_FD427E091131_.wvu.FilterData" localSheetId="6" hidden="1">'REDE PRESSURIZADA'!$B$22:$J$312</definedName>
    <definedName name="Z_E93418B8_172B_4306_B333_FD427E091131_.wvu.FilterData" localSheetId="16" hidden="1">'SERVIÇOS PRELIMINARES'!$A$22:$W$30</definedName>
    <definedName name="Z_E9F155C5_DC35_40F6_B991_DAA17852658A_.wvu.FilterData" localSheetId="10" hidden="1">'Custo Drenagem'!$B$22:$J$52</definedName>
    <definedName name="Z_E9F155C5_DC35_40F6_B991_DAA17852658A_.wvu.FilterData" localSheetId="4" hidden="1">'Custo EBSs'!$B$22:$J$832</definedName>
    <definedName name="Z_E9F155C5_DC35_40F6_B991_DAA17852658A_.wvu.FilterData" localSheetId="2" hidden="1">'Custos Canais'!$B$22:$J$296</definedName>
    <definedName name="Z_E9F155C5_DC35_40F6_B991_DAA17852658A_.wvu.FilterData" localSheetId="8" hidden="1">'Custos On farm'!$B$22:$J$197</definedName>
    <definedName name="Z_E9F155C5_DC35_40F6_B991_DAA17852658A_.wvu.FilterData" localSheetId="14" hidden="1">'Custos Rede Baixa Pressão'!$B$5:$J$37</definedName>
    <definedName name="Z_E9F155C5_DC35_40F6_B991_DAA17852658A_.wvu.FilterData" localSheetId="12" hidden="1">'Custos Sistema Viário'!$B$22:$J$33</definedName>
    <definedName name="Z_E9F155C5_DC35_40F6_B991_DAA17852658A_.wvu.FilterData" localSheetId="17" hidden="1">DESMATAMENTO!$A$22:$X$26</definedName>
    <definedName name="Z_E9F155C5_DC35_40F6_B991_DAA17852658A_.wvu.FilterData" localSheetId="6" hidden="1">'REDE PRESSURIZADA'!$B$22:$J$312</definedName>
    <definedName name="Z_E9F155C5_DC35_40F6_B991_DAA17852658A_.wvu.FilterData" localSheetId="16" hidden="1">'SERVIÇOS PRELIMINARES'!$A$22:$W$30</definedName>
    <definedName name="Z_EB3CCC9A_CA8E_4103_9CFD_37A09DE921E6_.wvu.FilterData" localSheetId="10" hidden="1">'Custo Drenagem'!$B$22:$J$52</definedName>
    <definedName name="Z_EB3CCC9A_CA8E_4103_9CFD_37A09DE921E6_.wvu.FilterData" localSheetId="4" hidden="1">'Custo EBSs'!$B$22:$J$832</definedName>
    <definedName name="Z_EB3CCC9A_CA8E_4103_9CFD_37A09DE921E6_.wvu.FilterData" localSheetId="2" hidden="1">'Custos Canais'!$B$22:$J$296</definedName>
    <definedName name="Z_EB3CCC9A_CA8E_4103_9CFD_37A09DE921E6_.wvu.FilterData" localSheetId="8" hidden="1">'Custos On farm'!$B$22:$J$197</definedName>
    <definedName name="Z_EB3CCC9A_CA8E_4103_9CFD_37A09DE921E6_.wvu.FilterData" localSheetId="14" hidden="1">'Custos Rede Baixa Pressão'!$B$5:$J$37</definedName>
    <definedName name="Z_EB3CCC9A_CA8E_4103_9CFD_37A09DE921E6_.wvu.FilterData" localSheetId="12" hidden="1">'Custos Sistema Viário'!$B$22:$J$33</definedName>
    <definedName name="Z_EB3CCC9A_CA8E_4103_9CFD_37A09DE921E6_.wvu.FilterData" localSheetId="17" hidden="1">DESMATAMENTO!$A$22:$X$26</definedName>
    <definedName name="Z_EB3CCC9A_CA8E_4103_9CFD_37A09DE921E6_.wvu.FilterData" localSheetId="6" hidden="1">'REDE PRESSURIZADA'!$B$22:$J$312</definedName>
    <definedName name="Z_EB3CCC9A_CA8E_4103_9CFD_37A09DE921E6_.wvu.FilterData" localSheetId="16" hidden="1">'SERVIÇOS PRELIMINARES'!$A$22:$W$30</definedName>
    <definedName name="Z_ED97B7E2_E992_4EFF_B2E4_77FAFC1DF6E5_.wvu.FilterData" localSheetId="10" hidden="1">'Custo Drenagem'!$B$22:$J$52</definedName>
    <definedName name="Z_ED97B7E2_E992_4EFF_B2E4_77FAFC1DF6E5_.wvu.FilterData" localSheetId="4" hidden="1">'Custo EBSs'!$B$22:$J$832</definedName>
    <definedName name="Z_ED97B7E2_E992_4EFF_B2E4_77FAFC1DF6E5_.wvu.FilterData" localSheetId="2" hidden="1">'Custos Canais'!$B$22:$J$294</definedName>
    <definedName name="Z_ED97B7E2_E992_4EFF_B2E4_77FAFC1DF6E5_.wvu.FilterData" localSheetId="8" hidden="1">'Custos On farm'!$B$22:$J$197</definedName>
    <definedName name="Z_ED97B7E2_E992_4EFF_B2E4_77FAFC1DF6E5_.wvu.FilterData" localSheetId="14" hidden="1">'Custos Rede Baixa Pressão'!$B$5:$J$37</definedName>
    <definedName name="Z_ED97B7E2_E992_4EFF_B2E4_77FAFC1DF6E5_.wvu.FilterData" localSheetId="12" hidden="1">'Custos Sistema Viário'!$B$22:$J$33</definedName>
    <definedName name="Z_ED97B7E2_E992_4EFF_B2E4_77FAFC1DF6E5_.wvu.FilterData" localSheetId="17" hidden="1">DESMATAMENTO!$A$22:$X$26</definedName>
    <definedName name="Z_ED97B7E2_E992_4EFF_B2E4_77FAFC1DF6E5_.wvu.FilterData" localSheetId="6" hidden="1">'REDE PRESSURIZADA'!$B$22:$J$312</definedName>
    <definedName name="Z_ED97B7E2_E992_4EFF_B2E4_77FAFC1DF6E5_.wvu.FilterData" localSheetId="16" hidden="1">'SERVIÇOS PRELIMINARES'!$A$22:$W$30</definedName>
    <definedName name="Z_EF5EBD2A_D2AF_4A51_88C3_1393FF8D63C0_.wvu.FilterData" localSheetId="10" hidden="1">'Custo Drenagem'!$B$22:$J$52</definedName>
    <definedName name="Z_EF5EBD2A_D2AF_4A51_88C3_1393FF8D63C0_.wvu.FilterData" localSheetId="4" hidden="1">'Custo EBSs'!$B$22:$J$832</definedName>
    <definedName name="Z_EF5EBD2A_D2AF_4A51_88C3_1393FF8D63C0_.wvu.FilterData" localSheetId="2" hidden="1">'Custos Canais'!$B$22:$J$296</definedName>
    <definedName name="Z_EF5EBD2A_D2AF_4A51_88C3_1393FF8D63C0_.wvu.FilterData" localSheetId="8" hidden="1">'Custos On farm'!$B$22:$J$197</definedName>
    <definedName name="Z_EF5EBD2A_D2AF_4A51_88C3_1393FF8D63C0_.wvu.FilterData" localSheetId="14" hidden="1">'Custos Rede Baixa Pressão'!$B$5:$J$37</definedName>
    <definedName name="Z_EF5EBD2A_D2AF_4A51_88C3_1393FF8D63C0_.wvu.FilterData" localSheetId="12" hidden="1">'Custos Sistema Viário'!$B$22:$J$33</definedName>
    <definedName name="Z_EF5EBD2A_D2AF_4A51_88C3_1393FF8D63C0_.wvu.FilterData" localSheetId="17" hidden="1">DESMATAMENTO!$A$22:$X$26</definedName>
    <definedName name="Z_EF5EBD2A_D2AF_4A51_88C3_1393FF8D63C0_.wvu.FilterData" localSheetId="6" hidden="1">'REDE PRESSURIZADA'!$B$22:$J$312</definedName>
    <definedName name="Z_EF5EBD2A_D2AF_4A51_88C3_1393FF8D63C0_.wvu.FilterData" localSheetId="16" hidden="1">'SERVIÇOS PRELIMINARES'!$A$22:$W$30</definedName>
    <definedName name="Z_F5D40F70_9901_471E_9EA1_426153924713_.wvu.FilterData" localSheetId="10" hidden="1">'Custo Drenagem'!$B$22:$J$52</definedName>
    <definedName name="Z_F5D40F70_9901_471E_9EA1_426153924713_.wvu.FilterData" localSheetId="4" hidden="1">'Custo EBSs'!$B$22:$J$832</definedName>
    <definedName name="Z_F5D40F70_9901_471E_9EA1_426153924713_.wvu.FilterData" localSheetId="2" hidden="1">'Custos Canais'!$B$22:$J$296</definedName>
    <definedName name="Z_F5D40F70_9901_471E_9EA1_426153924713_.wvu.FilterData" localSheetId="8" hidden="1">'Custos On farm'!$B$22:$J$197</definedName>
    <definedName name="Z_F5D40F70_9901_471E_9EA1_426153924713_.wvu.FilterData" localSheetId="14" hidden="1">'Custos Rede Baixa Pressão'!$B$5:$J$37</definedName>
    <definedName name="Z_F5D40F70_9901_471E_9EA1_426153924713_.wvu.FilterData" localSheetId="12" hidden="1">'Custos Sistema Viário'!$B$22:$J$33</definedName>
    <definedName name="Z_F5D40F70_9901_471E_9EA1_426153924713_.wvu.FilterData" localSheetId="17" hidden="1">DESMATAMENTO!$A$22:$X$26</definedName>
    <definedName name="Z_F5D40F70_9901_471E_9EA1_426153924713_.wvu.FilterData" localSheetId="6" hidden="1">'REDE PRESSURIZADA'!$B$22:$J$312</definedName>
    <definedName name="Z_F5D40F70_9901_471E_9EA1_426153924713_.wvu.FilterData" localSheetId="16" hidden="1">'SERVIÇOS PRELIMINARES'!$A$22:$W$30</definedName>
    <definedName name="Z_F83C378A_5AC9_4F71_8628_C408904E3CE2_.wvu.FilterData" localSheetId="10" hidden="1">'Custo Drenagem'!$B$22:$J$52</definedName>
    <definedName name="Z_F83C378A_5AC9_4F71_8628_C408904E3CE2_.wvu.FilterData" localSheetId="4" hidden="1">'Custo EBSs'!$B$22:$J$832</definedName>
    <definedName name="Z_F83C378A_5AC9_4F71_8628_C408904E3CE2_.wvu.FilterData" localSheetId="2" hidden="1">'Custos Canais'!$B$22:$J$296</definedName>
    <definedName name="Z_F83C378A_5AC9_4F71_8628_C408904E3CE2_.wvu.FilterData" localSheetId="8" hidden="1">'Custos On farm'!$B$22:$J$197</definedName>
    <definedName name="Z_F83C378A_5AC9_4F71_8628_C408904E3CE2_.wvu.FilterData" localSheetId="14" hidden="1">'Custos Rede Baixa Pressão'!$B$5:$J$37</definedName>
    <definedName name="Z_F83C378A_5AC9_4F71_8628_C408904E3CE2_.wvu.FilterData" localSheetId="12" hidden="1">'Custos Sistema Viário'!$B$22:$J$33</definedName>
    <definedName name="Z_F83C378A_5AC9_4F71_8628_C408904E3CE2_.wvu.FilterData" localSheetId="17" hidden="1">DESMATAMENTO!$A$22:$X$26</definedName>
    <definedName name="Z_F83C378A_5AC9_4F71_8628_C408904E3CE2_.wvu.FilterData" localSheetId="6" hidden="1">'REDE PRESSURIZADA'!$B$22:$J$312</definedName>
    <definedName name="Z_F83C378A_5AC9_4F71_8628_C408904E3CE2_.wvu.FilterData" localSheetId="16" hidden="1">'SERVIÇOS PRELIMINARES'!$A$22:$W$30</definedName>
    <definedName name="Z_F85DE978_067A_44F1_9444_74C9E8776C3E_.wvu.FilterData" localSheetId="10" hidden="1">'Custo Drenagem'!$B$22:$J$52</definedName>
    <definedName name="Z_F85DE978_067A_44F1_9444_74C9E8776C3E_.wvu.FilterData" localSheetId="4" hidden="1">'Custo EBSs'!$B$22:$J$832</definedName>
    <definedName name="Z_F85DE978_067A_44F1_9444_74C9E8776C3E_.wvu.FilterData" localSheetId="2" hidden="1">'Custos Canais'!$B$22:$J$296</definedName>
    <definedName name="Z_F85DE978_067A_44F1_9444_74C9E8776C3E_.wvu.FilterData" localSheetId="8" hidden="1">'Custos On farm'!$B$22:$J$197</definedName>
    <definedName name="Z_F85DE978_067A_44F1_9444_74C9E8776C3E_.wvu.FilterData" localSheetId="14" hidden="1">'Custos Rede Baixa Pressão'!$B$5:$J$37</definedName>
    <definedName name="Z_F85DE978_067A_44F1_9444_74C9E8776C3E_.wvu.FilterData" localSheetId="12" hidden="1">'Custos Sistema Viário'!$B$22:$J$33</definedName>
    <definedName name="Z_F85DE978_067A_44F1_9444_74C9E8776C3E_.wvu.FilterData" localSheetId="17" hidden="1">DESMATAMENTO!$A$22:$X$26</definedName>
    <definedName name="Z_F85DE978_067A_44F1_9444_74C9E8776C3E_.wvu.FilterData" localSheetId="6" hidden="1">'REDE PRESSURIZADA'!$B$22:$J$312</definedName>
    <definedName name="Z_F85DE978_067A_44F1_9444_74C9E8776C3E_.wvu.FilterData" localSheetId="16" hidden="1">'SERVIÇOS PRELIMINARES'!$A$22:$W$30</definedName>
    <definedName name="Z_FF62FCEF_CD25_461E_846A_B4D44BA613EC_.wvu.FilterData" localSheetId="10" hidden="1">'Custo Drenagem'!$B$22:$J$52</definedName>
    <definedName name="Z_FF62FCEF_CD25_461E_846A_B4D44BA613EC_.wvu.FilterData" localSheetId="4" hidden="1">'Custo EBSs'!$B$22:$J$832</definedName>
    <definedName name="Z_FF62FCEF_CD25_461E_846A_B4D44BA613EC_.wvu.FilterData" localSheetId="2" hidden="1">'Custos Canais'!$B$22:$J$296</definedName>
    <definedName name="Z_FF62FCEF_CD25_461E_846A_B4D44BA613EC_.wvu.FilterData" localSheetId="8" hidden="1">'Custos On farm'!$B$22:$J$197</definedName>
    <definedName name="Z_FF62FCEF_CD25_461E_846A_B4D44BA613EC_.wvu.FilterData" localSheetId="14" hidden="1">'Custos Rede Baixa Pressão'!$B$5:$J$37</definedName>
    <definedName name="Z_FF62FCEF_CD25_461E_846A_B4D44BA613EC_.wvu.FilterData" localSheetId="12" hidden="1">'Custos Sistema Viário'!$B$22:$J$33</definedName>
    <definedName name="Z_FF62FCEF_CD25_461E_846A_B4D44BA613EC_.wvu.FilterData" localSheetId="17" hidden="1">DESMATAMENTO!$A$22:$X$26</definedName>
    <definedName name="Z_FF62FCEF_CD25_461E_846A_B4D44BA613EC_.wvu.FilterData" localSheetId="6" hidden="1">'REDE PRESSURIZADA'!$B$22:$J$312</definedName>
    <definedName name="Z_FF62FCEF_CD25_461E_846A_B4D44BA613EC_.wvu.FilterData" localSheetId="16" hidden="1">'SERVIÇOS PRELIMINARES'!$A$22:$W$30</definedName>
  </definedNames>
  <calcPr calcId="144525"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92" l="1"/>
  <c r="K108" i="213"/>
  <c r="K104" i="213"/>
  <c r="K103" i="213"/>
  <c r="K102" i="213" s="1"/>
  <c r="K99" i="213"/>
  <c r="K98" i="213"/>
  <c r="K97" i="213"/>
  <c r="K96" i="213"/>
  <c r="K95" i="213"/>
  <c r="K93" i="213"/>
  <c r="K91" i="213" s="1"/>
  <c r="K92" i="213"/>
  <c r="K88" i="213"/>
  <c r="K87" i="213"/>
  <c r="K86" i="213"/>
  <c r="K83" i="213"/>
  <c r="K82" i="213"/>
  <c r="K81" i="213" s="1"/>
  <c r="K79" i="213"/>
  <c r="K78" i="213"/>
  <c r="K77" i="213" s="1"/>
  <c r="K74" i="213"/>
  <c r="K73" i="213"/>
  <c r="K72" i="213"/>
  <c r="K71" i="213"/>
  <c r="K70" i="213" s="1"/>
  <c r="K68" i="213"/>
  <c r="K67" i="213"/>
  <c r="K66" i="213"/>
  <c r="K63" i="213"/>
  <c r="K62" i="213"/>
  <c r="K61" i="213"/>
  <c r="K57" i="213"/>
  <c r="M55" i="213" s="1"/>
  <c r="G57" i="213"/>
  <c r="K56" i="213"/>
  <c r="K55" i="213"/>
  <c r="K54" i="213"/>
  <c r="M54" i="213" s="1"/>
  <c r="K53" i="213"/>
  <c r="K51" i="213"/>
  <c r="K48" i="213" s="1"/>
  <c r="D51" i="213"/>
  <c r="K50" i="213"/>
  <c r="K44" i="213"/>
  <c r="K45" i="213" s="1"/>
  <c r="K43" i="213"/>
  <c r="K42" i="213"/>
  <c r="K36" i="213"/>
  <c r="K39" i="213" s="1"/>
  <c r="K32" i="213"/>
  <c r="E32" i="213"/>
  <c r="M31" i="213"/>
  <c r="K31" i="213"/>
  <c r="E31" i="213"/>
  <c r="M30" i="213"/>
  <c r="E30" i="213"/>
  <c r="K30" i="213" s="1"/>
  <c r="K25" i="213"/>
  <c r="K24" i="213"/>
  <c r="K19" i="213"/>
  <c r="K18" i="213"/>
  <c r="K17" i="213"/>
  <c r="E17" i="213"/>
  <c r="E18" i="213" s="1"/>
  <c r="E19" i="213" s="1"/>
  <c r="K16" i="213"/>
  <c r="K15" i="213"/>
  <c r="J11" i="213"/>
  <c r="K11" i="213" s="1"/>
  <c r="J10" i="213"/>
  <c r="K10" i="213" s="1"/>
  <c r="J9" i="213"/>
  <c r="K9" i="213" s="1"/>
  <c r="J8" i="213"/>
  <c r="K8" i="213" s="1"/>
  <c r="K7" i="213"/>
  <c r="F7" i="213"/>
  <c r="K26" i="213" l="1"/>
  <c r="K23" i="213" s="1"/>
  <c r="K41" i="213"/>
  <c r="K33" i="213"/>
  <c r="K29" i="213" s="1"/>
  <c r="K6" i="213"/>
  <c r="K37" i="213"/>
  <c r="K46" i="213"/>
  <c r="K20" i="213"/>
  <c r="K14" i="213" s="1"/>
  <c r="K22" i="213" l="1"/>
  <c r="K27" i="213"/>
  <c r="K38" i="213"/>
  <c r="K35" i="213" s="1"/>
  <c r="K58" i="213" s="1"/>
  <c r="F95" i="184" l="1"/>
  <c r="F96" i="184"/>
  <c r="F97" i="184"/>
  <c r="F98" i="184"/>
  <c r="F99" i="184"/>
  <c r="F100" i="184"/>
  <c r="F101" i="184"/>
  <c r="F102" i="184"/>
  <c r="F103" i="184"/>
  <c r="F104" i="184"/>
  <c r="F105" i="184"/>
  <c r="F106" i="184"/>
  <c r="F107" i="184"/>
  <c r="F108" i="184"/>
  <c r="H150" i="184"/>
  <c r="C251" i="184" l="1"/>
  <c r="G251" i="184" s="1"/>
  <c r="C221" i="191"/>
  <c r="G221" i="191" s="1"/>
  <c r="J95" i="191" l="1"/>
  <c r="J96" i="191"/>
  <c r="J97" i="191"/>
  <c r="J98" i="191"/>
  <c r="J99" i="191"/>
  <c r="J101" i="191"/>
  <c r="J102" i="191"/>
  <c r="J103" i="191"/>
  <c r="J104" i="191"/>
  <c r="J105" i="191"/>
  <c r="G161" i="191" l="1"/>
  <c r="G160" i="191" s="1"/>
  <c r="G158" i="191"/>
  <c r="I27" i="190" l="1"/>
  <c r="F47" i="190" l="1"/>
  <c r="F46" i="190"/>
  <c r="F16" i="212"/>
  <c r="F15" i="212"/>
  <c r="F14" i="212"/>
  <c r="L7" i="211" l="1"/>
  <c r="D7" i="211"/>
  <c r="D8" i="211" s="1"/>
  <c r="J8" i="211" s="1"/>
  <c r="E16" i="212" s="1"/>
  <c r="G16" i="212" s="1"/>
  <c r="G220" i="184" s="1"/>
  <c r="G191" i="191" s="1"/>
  <c r="D6" i="211"/>
  <c r="J6" i="211" s="1"/>
  <c r="J7" i="211" l="1"/>
  <c r="E15" i="212" s="1"/>
  <c r="E14" i="212"/>
  <c r="F17" i="210"/>
  <c r="F15" i="210"/>
  <c r="N37" i="209"/>
  <c r="O37" i="209" s="1"/>
  <c r="F37" i="209" s="1"/>
  <c r="G37" i="209" s="1"/>
  <c r="H37" i="209" s="1"/>
  <c r="M37" i="209"/>
  <c r="N36" i="209"/>
  <c r="O36" i="209" s="1"/>
  <c r="F36" i="209" s="1"/>
  <c r="G36" i="209" s="1"/>
  <c r="H36" i="209" s="1"/>
  <c r="M36" i="209"/>
  <c r="N35" i="209"/>
  <c r="O35" i="209" s="1"/>
  <c r="F35" i="209" s="1"/>
  <c r="G35" i="209" s="1"/>
  <c r="H35" i="209" s="1"/>
  <c r="M35" i="209"/>
  <c r="N34" i="209"/>
  <c r="O34" i="209" s="1"/>
  <c r="F34" i="209" s="1"/>
  <c r="G34" i="209" s="1"/>
  <c r="H34" i="209" s="1"/>
  <c r="M34" i="209"/>
  <c r="N33" i="209"/>
  <c r="O33" i="209" s="1"/>
  <c r="F33" i="209" s="1"/>
  <c r="G33" i="209" s="1"/>
  <c r="H33" i="209" s="1"/>
  <c r="M33" i="209"/>
  <c r="N32" i="209"/>
  <c r="O32" i="209" s="1"/>
  <c r="F32" i="209" s="1"/>
  <c r="G32" i="209" s="1"/>
  <c r="H32" i="209" s="1"/>
  <c r="M32" i="209"/>
  <c r="N31" i="209"/>
  <c r="O31" i="209" s="1"/>
  <c r="F31" i="209" s="1"/>
  <c r="G31" i="209" s="1"/>
  <c r="H31" i="209" s="1"/>
  <c r="M31" i="209"/>
  <c r="N30" i="209"/>
  <c r="O30" i="209" s="1"/>
  <c r="F30" i="209" s="1"/>
  <c r="G30" i="209" s="1"/>
  <c r="H30" i="209" s="1"/>
  <c r="M30" i="209"/>
  <c r="N29" i="209"/>
  <c r="O29" i="209" s="1"/>
  <c r="F29" i="209" s="1"/>
  <c r="G29" i="209" s="1"/>
  <c r="M29" i="209"/>
  <c r="N28" i="209"/>
  <c r="O28" i="209" s="1"/>
  <c r="M28" i="209"/>
  <c r="N27" i="209"/>
  <c r="M27" i="209"/>
  <c r="O27" i="209" s="1"/>
  <c r="F27" i="209" s="1"/>
  <c r="G27" i="209" s="1"/>
  <c r="H27" i="209" s="1"/>
  <c r="N26" i="209"/>
  <c r="M26" i="209"/>
  <c r="O26" i="209" s="1"/>
  <c r="F26" i="209" s="1"/>
  <c r="G26" i="209" s="1"/>
  <c r="H26" i="209" s="1"/>
  <c r="N25" i="209"/>
  <c r="M25" i="209"/>
  <c r="O25" i="209" s="1"/>
  <c r="F25" i="209" s="1"/>
  <c r="G25" i="209" s="1"/>
  <c r="H25" i="209" s="1"/>
  <c r="N24" i="209"/>
  <c r="M24" i="209"/>
  <c r="O24" i="209" s="1"/>
  <c r="F24" i="209" s="1"/>
  <c r="G24" i="209" s="1"/>
  <c r="H24" i="209" s="1"/>
  <c r="N23" i="209"/>
  <c r="M23" i="209"/>
  <c r="O23" i="209" s="1"/>
  <c r="F23" i="209" s="1"/>
  <c r="G23" i="209" s="1"/>
  <c r="H23" i="209" s="1"/>
  <c r="N22" i="209"/>
  <c r="M22" i="209"/>
  <c r="O22" i="209" s="1"/>
  <c r="F22" i="209" s="1"/>
  <c r="G22" i="209" s="1"/>
  <c r="H22" i="209" s="1"/>
  <c r="N21" i="209"/>
  <c r="M21" i="209"/>
  <c r="O21" i="209" s="1"/>
  <c r="F21" i="209" s="1"/>
  <c r="G21" i="209" s="1"/>
  <c r="H21" i="209" s="1"/>
  <c r="N20" i="209"/>
  <c r="M20" i="209"/>
  <c r="O20" i="209" s="1"/>
  <c r="F20" i="209" s="1"/>
  <c r="G20" i="209" s="1"/>
  <c r="H20" i="209" s="1"/>
  <c r="N19" i="209"/>
  <c r="M19" i="209"/>
  <c r="O19" i="209" s="1"/>
  <c r="F19" i="209" s="1"/>
  <c r="G19" i="209" s="1"/>
  <c r="N18" i="209"/>
  <c r="O18" i="209" s="1"/>
  <c r="M18" i="209"/>
  <c r="N17" i="209"/>
  <c r="O17" i="209" s="1"/>
  <c r="M17" i="209"/>
  <c r="N16" i="209"/>
  <c r="M16" i="209"/>
  <c r="O16" i="209" s="1"/>
  <c r="F16" i="209" s="1"/>
  <c r="G16" i="209" s="1"/>
  <c r="H16" i="209" s="1"/>
  <c r="N15" i="209"/>
  <c r="M15" i="209"/>
  <c r="O15" i="209" s="1"/>
  <c r="F15" i="209" s="1"/>
  <c r="G15" i="209" s="1"/>
  <c r="H15" i="209" s="1"/>
  <c r="N14" i="209"/>
  <c r="M14" i="209"/>
  <c r="O14" i="209" s="1"/>
  <c r="F14" i="209" s="1"/>
  <c r="G14" i="209" s="1"/>
  <c r="H14" i="209" s="1"/>
  <c r="N13" i="209"/>
  <c r="M13" i="209"/>
  <c r="O13" i="209" s="1"/>
  <c r="F13" i="209" s="1"/>
  <c r="G13" i="209" s="1"/>
  <c r="H13" i="209" s="1"/>
  <c r="N12" i="209"/>
  <c r="M12" i="209"/>
  <c r="O12" i="209" s="1"/>
  <c r="F12" i="209" s="1"/>
  <c r="G12" i="209" s="1"/>
  <c r="H12" i="209" s="1"/>
  <c r="N11" i="209"/>
  <c r="M11" i="209"/>
  <c r="O11" i="209" s="1"/>
  <c r="F11" i="209" s="1"/>
  <c r="G11" i="209" s="1"/>
  <c r="H11" i="209" s="1"/>
  <c r="N10" i="209"/>
  <c r="M10" i="209"/>
  <c r="O10" i="209" s="1"/>
  <c r="F10" i="209" s="1"/>
  <c r="G10" i="209" s="1"/>
  <c r="H10" i="209" s="1"/>
  <c r="N9" i="209"/>
  <c r="M9" i="209"/>
  <c r="O9" i="209" s="1"/>
  <c r="F9" i="209" s="1"/>
  <c r="G9" i="209" s="1"/>
  <c r="H9" i="209" s="1"/>
  <c r="N8" i="209"/>
  <c r="M8" i="209"/>
  <c r="O8" i="209" s="1"/>
  <c r="F8" i="209" s="1"/>
  <c r="G8" i="209" s="1"/>
  <c r="H8" i="209" s="1"/>
  <c r="N7" i="209"/>
  <c r="M7" i="209"/>
  <c r="O7" i="209" s="1"/>
  <c r="F7" i="209" s="1"/>
  <c r="G7" i="209" s="1"/>
  <c r="F14" i="208"/>
  <c r="N33" i="207"/>
  <c r="M33" i="207"/>
  <c r="O33" i="207" s="1"/>
  <c r="F33" i="207" s="1"/>
  <c r="G33" i="207" s="1"/>
  <c r="H33" i="207" s="1"/>
  <c r="N32" i="207"/>
  <c r="M32" i="207"/>
  <c r="O32" i="207" s="1"/>
  <c r="F32" i="207" s="1"/>
  <c r="G32" i="207" s="1"/>
  <c r="H32" i="207" s="1"/>
  <c r="N31" i="207"/>
  <c r="M31" i="207"/>
  <c r="O31" i="207" s="1"/>
  <c r="F31" i="207" s="1"/>
  <c r="G31" i="207" s="1"/>
  <c r="H31" i="207" s="1"/>
  <c r="N30" i="207"/>
  <c r="M30" i="207"/>
  <c r="O30" i="207" s="1"/>
  <c r="F30" i="207" s="1"/>
  <c r="G30" i="207" s="1"/>
  <c r="H30" i="207" s="1"/>
  <c r="N29" i="207"/>
  <c r="M29" i="207"/>
  <c r="O29" i="207" s="1"/>
  <c r="F29" i="207" s="1"/>
  <c r="G29" i="207" s="1"/>
  <c r="H29" i="207" s="1"/>
  <c r="N28" i="207"/>
  <c r="M28" i="207"/>
  <c r="O28" i="207" s="1"/>
  <c r="F28" i="207" s="1"/>
  <c r="G28" i="207" s="1"/>
  <c r="H28" i="207" s="1"/>
  <c r="N27" i="207"/>
  <c r="M27" i="207"/>
  <c r="O27" i="207" s="1"/>
  <c r="F27" i="207" s="1"/>
  <c r="G27" i="207" s="1"/>
  <c r="H27" i="207" s="1"/>
  <c r="N26" i="207"/>
  <c r="M26" i="207"/>
  <c r="O26" i="207" s="1"/>
  <c r="F26" i="207" s="1"/>
  <c r="G26" i="207" s="1"/>
  <c r="H26" i="207" s="1"/>
  <c r="N25" i="207"/>
  <c r="M25" i="207"/>
  <c r="O25" i="207" s="1"/>
  <c r="F25" i="207" s="1"/>
  <c r="E25" i="207"/>
  <c r="G25" i="207" l="1"/>
  <c r="G14" i="212"/>
  <c r="E13" i="212"/>
  <c r="J5" i="211"/>
  <c r="E18" i="212"/>
  <c r="G15" i="212"/>
  <c r="H7" i="209"/>
  <c r="H6" i="209" s="1"/>
  <c r="G6" i="209"/>
  <c r="H19" i="209"/>
  <c r="H18" i="209" s="1"/>
  <c r="G18" i="209"/>
  <c r="G28" i="209"/>
  <c r="H29" i="209"/>
  <c r="H28" i="209" s="1"/>
  <c r="E18" i="210" s="1"/>
  <c r="G24" i="207"/>
  <c r="G23" i="207" s="1"/>
  <c r="H25" i="207"/>
  <c r="H24" i="207" s="1"/>
  <c r="H23" i="207" s="1"/>
  <c r="E14" i="208" s="1"/>
  <c r="G18" i="212" l="1"/>
  <c r="G219" i="184"/>
  <c r="G190" i="191" s="1"/>
  <c r="G218" i="184"/>
  <c r="G13" i="212"/>
  <c r="E17" i="210"/>
  <c r="H17" i="209"/>
  <c r="H5" i="209" s="1"/>
  <c r="G18" i="210"/>
  <c r="G146" i="184" s="1"/>
  <c r="G17" i="209"/>
  <c r="G5" i="209" s="1"/>
  <c r="E15" i="210"/>
  <c r="E13" i="208"/>
  <c r="E17" i="208"/>
  <c r="G14" i="208"/>
  <c r="G189" i="191" l="1"/>
  <c r="G217" i="184"/>
  <c r="G126" i="191"/>
  <c r="G15" i="210"/>
  <c r="E14" i="210"/>
  <c r="E16" i="210"/>
  <c r="G17" i="210"/>
  <c r="G16" i="210" s="1"/>
  <c r="G17" i="208"/>
  <c r="G13" i="208"/>
  <c r="G174" i="184" s="1"/>
  <c r="AG26" i="206"/>
  <c r="Q26" i="206"/>
  <c r="Q25" i="206" s="1"/>
  <c r="Q24" i="206" s="1"/>
  <c r="Q23" i="206" s="1"/>
  <c r="O26" i="206"/>
  <c r="M26" i="206"/>
  <c r="X15" i="206"/>
  <c r="D15" i="206"/>
  <c r="D14" i="206"/>
  <c r="D13" i="206"/>
  <c r="X12" i="206"/>
  <c r="X9" i="206"/>
  <c r="AB8" i="206"/>
  <c r="AB7" i="206"/>
  <c r="AB6" i="206"/>
  <c r="AB5" i="206"/>
  <c r="AB4" i="206"/>
  <c r="AB3" i="206"/>
  <c r="G179" i="184"/>
  <c r="AE29" i="205"/>
  <c r="AF29" i="205" s="1"/>
  <c r="AE28" i="205"/>
  <c r="AF28" i="205" s="1"/>
  <c r="P27" i="205"/>
  <c r="N27" i="205"/>
  <c r="R27" i="205" s="1"/>
  <c r="L27" i="205"/>
  <c r="F27" i="205"/>
  <c r="P26" i="205"/>
  <c r="N26" i="205"/>
  <c r="R26" i="205" s="1"/>
  <c r="L26" i="205"/>
  <c r="F26" i="205"/>
  <c r="P25" i="205"/>
  <c r="N25" i="205"/>
  <c r="R25" i="205" s="1"/>
  <c r="L25" i="205"/>
  <c r="F25" i="205"/>
  <c r="P24" i="205"/>
  <c r="N24" i="205"/>
  <c r="R24" i="205" s="1"/>
  <c r="L24" i="205"/>
  <c r="F24" i="205"/>
  <c r="W15" i="205"/>
  <c r="D15" i="205"/>
  <c r="D14" i="205"/>
  <c r="D13" i="205"/>
  <c r="W12" i="205"/>
  <c r="W9" i="205"/>
  <c r="AA8" i="205"/>
  <c r="AA7" i="205"/>
  <c r="AA6" i="205"/>
  <c r="AA5" i="205"/>
  <c r="AA4" i="205"/>
  <c r="AA3" i="205"/>
  <c r="E20" i="210" l="1"/>
  <c r="F23" i="205"/>
  <c r="F70" i="190"/>
  <c r="G155" i="191"/>
  <c r="G145" i="184"/>
  <c r="G14" i="210"/>
  <c r="G20" i="210" s="1"/>
  <c r="G142" i="184"/>
  <c r="G122" i="191" s="1"/>
  <c r="G121" i="191" s="1"/>
  <c r="E13" i="210"/>
  <c r="P26" i="206"/>
  <c r="U26" i="206" s="1"/>
  <c r="S25" i="205"/>
  <c r="U25" i="205" s="1"/>
  <c r="AB25" i="205" s="1"/>
  <c r="O25" i="205"/>
  <c r="T25" i="205" s="1"/>
  <c r="P23" i="205"/>
  <c r="O26" i="205"/>
  <c r="T26" i="205" s="1"/>
  <c r="O24" i="205"/>
  <c r="T24" i="205" s="1"/>
  <c r="O27" i="205"/>
  <c r="T27" i="205" s="1"/>
  <c r="AA27" i="205"/>
  <c r="R23" i="205"/>
  <c r="S24" i="205"/>
  <c r="AA24" i="205"/>
  <c r="AA26" i="205"/>
  <c r="S26" i="205"/>
  <c r="U26" i="205" s="1"/>
  <c r="AB26" i="205" s="1"/>
  <c r="S27" i="205"/>
  <c r="U27" i="205" s="1"/>
  <c r="AB27" i="205" s="1"/>
  <c r="AA25" i="205"/>
  <c r="G144" i="184" l="1"/>
  <c r="G125" i="191"/>
  <c r="G13" i="210"/>
  <c r="S23" i="205"/>
  <c r="U24" i="205"/>
  <c r="G124" i="191" l="1"/>
  <c r="G120" i="191" s="1"/>
  <c r="AB24" i="205"/>
  <c r="U23" i="205"/>
  <c r="F15" i="204" l="1"/>
  <c r="F14" i="204"/>
  <c r="O52" i="203"/>
  <c r="P52" i="203" s="1"/>
  <c r="F52" i="203" s="1"/>
  <c r="G52" i="203" s="1"/>
  <c r="N52" i="203"/>
  <c r="O51" i="203"/>
  <c r="P51" i="203" s="1"/>
  <c r="F51" i="203" s="1"/>
  <c r="G51" i="203" s="1"/>
  <c r="N51" i="203"/>
  <c r="O50" i="203"/>
  <c r="P50" i="203" s="1"/>
  <c r="F50" i="203" s="1"/>
  <c r="G50" i="203" s="1"/>
  <c r="N50" i="203"/>
  <c r="P49" i="203"/>
  <c r="F49" i="203" s="1"/>
  <c r="G49" i="203" s="1"/>
  <c r="O49" i="203"/>
  <c r="N49" i="203"/>
  <c r="O48" i="203"/>
  <c r="P48" i="203" s="1"/>
  <c r="F48" i="203" s="1"/>
  <c r="G48" i="203" s="1"/>
  <c r="N48" i="203"/>
  <c r="O47" i="203"/>
  <c r="P47" i="203" s="1"/>
  <c r="F47" i="203" s="1"/>
  <c r="G47" i="203" s="1"/>
  <c r="N47" i="203"/>
  <c r="O46" i="203"/>
  <c r="P46" i="203" s="1"/>
  <c r="F46" i="203" s="1"/>
  <c r="G46" i="203" s="1"/>
  <c r="N46" i="203"/>
  <c r="O45" i="203"/>
  <c r="P45" i="203" s="1"/>
  <c r="F45" i="203" s="1"/>
  <c r="G45" i="203" s="1"/>
  <c r="N45" i="203"/>
  <c r="O44" i="203"/>
  <c r="P44" i="203" s="1"/>
  <c r="F44" i="203" s="1"/>
  <c r="G44" i="203" s="1"/>
  <c r="N44" i="203"/>
  <c r="O43" i="203"/>
  <c r="P43" i="203" s="1"/>
  <c r="F43" i="203" s="1"/>
  <c r="G43" i="203" s="1"/>
  <c r="N43" i="203"/>
  <c r="P42" i="203"/>
  <c r="F42" i="203" s="1"/>
  <c r="G42" i="203" s="1"/>
  <c r="O42" i="203"/>
  <c r="N42" i="203"/>
  <c r="O41" i="203"/>
  <c r="P41" i="203" s="1"/>
  <c r="F41" i="203" s="1"/>
  <c r="G41" i="203" s="1"/>
  <c r="N41" i="203"/>
  <c r="O40" i="203"/>
  <c r="P40" i="203" s="1"/>
  <c r="F40" i="203" s="1"/>
  <c r="G40" i="203" s="1"/>
  <c r="N40" i="203"/>
  <c r="O39" i="203"/>
  <c r="P39" i="203" s="1"/>
  <c r="F39" i="203" s="1"/>
  <c r="G39" i="203" s="1"/>
  <c r="N39" i="203"/>
  <c r="O38" i="203"/>
  <c r="P38" i="203" s="1"/>
  <c r="F38" i="203" s="1"/>
  <c r="G38" i="203" s="1"/>
  <c r="N38" i="203"/>
  <c r="O37" i="203"/>
  <c r="P37" i="203" s="1"/>
  <c r="F37" i="203" s="1"/>
  <c r="G37" i="203" s="1"/>
  <c r="N37" i="203"/>
  <c r="O36" i="203"/>
  <c r="P36" i="203" s="1"/>
  <c r="N36" i="203"/>
  <c r="O35" i="203"/>
  <c r="P35" i="203" s="1"/>
  <c r="F35" i="203" s="1"/>
  <c r="G35" i="203" s="1"/>
  <c r="N35" i="203"/>
  <c r="O34" i="203"/>
  <c r="P34" i="203" s="1"/>
  <c r="F34" i="203" s="1"/>
  <c r="G34" i="203" s="1"/>
  <c r="N34" i="203"/>
  <c r="O33" i="203"/>
  <c r="P33" i="203" s="1"/>
  <c r="F33" i="203" s="1"/>
  <c r="G33" i="203" s="1"/>
  <c r="N33" i="203"/>
  <c r="O32" i="203"/>
  <c r="P32" i="203" s="1"/>
  <c r="F32" i="203" s="1"/>
  <c r="G32" i="203" s="1"/>
  <c r="N32" i="203"/>
  <c r="O31" i="203"/>
  <c r="P31" i="203" s="1"/>
  <c r="F31" i="203" s="1"/>
  <c r="G31" i="203" s="1"/>
  <c r="N31" i="203"/>
  <c r="O30" i="203"/>
  <c r="P30" i="203" s="1"/>
  <c r="F30" i="203" s="1"/>
  <c r="G30" i="203" s="1"/>
  <c r="N30" i="203"/>
  <c r="O29" i="203"/>
  <c r="P29" i="203" s="1"/>
  <c r="F29" i="203" s="1"/>
  <c r="G29" i="203" s="1"/>
  <c r="N29" i="203"/>
  <c r="O28" i="203"/>
  <c r="P28" i="203" s="1"/>
  <c r="F28" i="203" s="1"/>
  <c r="G28" i="203" s="1"/>
  <c r="N28" i="203"/>
  <c r="O27" i="203"/>
  <c r="P27" i="203" s="1"/>
  <c r="F27" i="203" s="1"/>
  <c r="G27" i="203" s="1"/>
  <c r="N27" i="203"/>
  <c r="O26" i="203"/>
  <c r="P26" i="203" s="1"/>
  <c r="F26" i="203" s="1"/>
  <c r="G26" i="203" s="1"/>
  <c r="N26" i="203"/>
  <c r="O25" i="203"/>
  <c r="P25" i="203" s="1"/>
  <c r="F25" i="203" s="1"/>
  <c r="G25" i="203" s="1"/>
  <c r="N25" i="203"/>
  <c r="J15" i="203"/>
  <c r="E15" i="203"/>
  <c r="E14" i="203"/>
  <c r="E13" i="203"/>
  <c r="J12" i="203"/>
  <c r="J9" i="203"/>
  <c r="M8" i="203"/>
  <c r="N8" i="203" s="1"/>
  <c r="M7" i="203"/>
  <c r="N7" i="203" s="1"/>
  <c r="M6" i="203"/>
  <c r="N6" i="203" s="1"/>
  <c r="M5" i="203"/>
  <c r="N5" i="203" s="1"/>
  <c r="M4" i="203"/>
  <c r="N4" i="203" s="1"/>
  <c r="M3" i="203"/>
  <c r="N3" i="203" s="1"/>
  <c r="N9" i="203" s="1"/>
  <c r="F27" i="202"/>
  <c r="F26" i="202"/>
  <c r="F25" i="202"/>
  <c r="F24" i="202"/>
  <c r="F23" i="202"/>
  <c r="F22" i="202"/>
  <c r="F21" i="202"/>
  <c r="F20" i="202"/>
  <c r="F19" i="202"/>
  <c r="F18" i="202"/>
  <c r="F17" i="202"/>
  <c r="F16" i="202"/>
  <c r="F14" i="202"/>
  <c r="N197" i="201"/>
  <c r="O197" i="201" s="1"/>
  <c r="F197" i="201" s="1"/>
  <c r="G197" i="201" s="1"/>
  <c r="M197" i="201"/>
  <c r="N196" i="201"/>
  <c r="O196" i="201" s="1"/>
  <c r="M196" i="201"/>
  <c r="N195" i="201"/>
  <c r="O195" i="201" s="1"/>
  <c r="F195" i="201" s="1"/>
  <c r="G195" i="201" s="1"/>
  <c r="M195" i="201"/>
  <c r="N194" i="201"/>
  <c r="O194" i="201" s="1"/>
  <c r="F194" i="201" s="1"/>
  <c r="G194" i="201" s="1"/>
  <c r="M194" i="201"/>
  <c r="N193" i="201"/>
  <c r="O193" i="201" s="1"/>
  <c r="F193" i="201" s="1"/>
  <c r="G193" i="201" s="1"/>
  <c r="M193" i="201"/>
  <c r="N192" i="201"/>
  <c r="O192" i="201" s="1"/>
  <c r="F192" i="201" s="1"/>
  <c r="G192" i="201" s="1"/>
  <c r="M192" i="201"/>
  <c r="N191" i="201"/>
  <c r="O191" i="201" s="1"/>
  <c r="F191" i="201" s="1"/>
  <c r="G191" i="201" s="1"/>
  <c r="M191" i="201"/>
  <c r="N190" i="201"/>
  <c r="O190" i="201" s="1"/>
  <c r="M190" i="201"/>
  <c r="N189" i="201"/>
  <c r="O189" i="201" s="1"/>
  <c r="F189" i="201" s="1"/>
  <c r="G189" i="201" s="1"/>
  <c r="M189" i="201"/>
  <c r="N188" i="201"/>
  <c r="O188" i="201" s="1"/>
  <c r="F188" i="201" s="1"/>
  <c r="G188" i="201" s="1"/>
  <c r="M188" i="201"/>
  <c r="N187" i="201"/>
  <c r="O187" i="201" s="1"/>
  <c r="F187" i="201" s="1"/>
  <c r="G187" i="201" s="1"/>
  <c r="M187" i="201"/>
  <c r="N186" i="201"/>
  <c r="O186" i="201" s="1"/>
  <c r="F186" i="201" s="1"/>
  <c r="G186" i="201" s="1"/>
  <c r="M186" i="201"/>
  <c r="N185" i="201"/>
  <c r="O185" i="201" s="1"/>
  <c r="F185" i="201" s="1"/>
  <c r="G185" i="201" s="1"/>
  <c r="M185" i="201"/>
  <c r="N184" i="201"/>
  <c r="O184" i="201" s="1"/>
  <c r="F184" i="201" s="1"/>
  <c r="G184" i="201" s="1"/>
  <c r="M184" i="201"/>
  <c r="N183" i="201"/>
  <c r="O183" i="201" s="1"/>
  <c r="F183" i="201" s="1"/>
  <c r="G183" i="201" s="1"/>
  <c r="M183" i="201"/>
  <c r="N182" i="201"/>
  <c r="O182" i="201" s="1"/>
  <c r="F182" i="201" s="1"/>
  <c r="G182" i="201" s="1"/>
  <c r="M182" i="201"/>
  <c r="N181" i="201"/>
  <c r="O181" i="201" s="1"/>
  <c r="F181" i="201" s="1"/>
  <c r="G181" i="201" s="1"/>
  <c r="M181" i="201"/>
  <c r="N180" i="201"/>
  <c r="O180" i="201" s="1"/>
  <c r="M180" i="201"/>
  <c r="O179" i="201"/>
  <c r="F179" i="201" s="1"/>
  <c r="G179" i="201" s="1"/>
  <c r="N179" i="201"/>
  <c r="M179" i="201"/>
  <c r="N178" i="201"/>
  <c r="O178" i="201" s="1"/>
  <c r="F178" i="201" s="1"/>
  <c r="G178" i="201" s="1"/>
  <c r="M178" i="201"/>
  <c r="N177" i="201"/>
  <c r="O177" i="201" s="1"/>
  <c r="F177" i="201" s="1"/>
  <c r="G177" i="201" s="1"/>
  <c r="M177" i="201"/>
  <c r="N176" i="201"/>
  <c r="O176" i="201" s="1"/>
  <c r="F176" i="201" s="1"/>
  <c r="G176" i="201" s="1"/>
  <c r="M176" i="201"/>
  <c r="N175" i="201"/>
  <c r="O175" i="201" s="1"/>
  <c r="M175" i="201"/>
  <c r="F175" i="201"/>
  <c r="G175" i="201" s="1"/>
  <c r="N174" i="201"/>
  <c r="O174" i="201" s="1"/>
  <c r="F174" i="201" s="1"/>
  <c r="G174" i="201" s="1"/>
  <c r="M174" i="201"/>
  <c r="N173" i="201"/>
  <c r="O173" i="201" s="1"/>
  <c r="F173" i="201" s="1"/>
  <c r="G173" i="201" s="1"/>
  <c r="M173" i="201"/>
  <c r="N172" i="201"/>
  <c r="O172" i="201" s="1"/>
  <c r="F172" i="201" s="1"/>
  <c r="G172" i="201" s="1"/>
  <c r="M172" i="201"/>
  <c r="N171" i="201"/>
  <c r="O171" i="201" s="1"/>
  <c r="M171" i="201"/>
  <c r="N170" i="201"/>
  <c r="O170" i="201" s="1"/>
  <c r="F170" i="201" s="1"/>
  <c r="G170" i="201" s="1"/>
  <c r="M170" i="201"/>
  <c r="N169" i="201"/>
  <c r="O169" i="201" s="1"/>
  <c r="F169" i="201" s="1"/>
  <c r="G169" i="201" s="1"/>
  <c r="M169" i="201"/>
  <c r="O168" i="201"/>
  <c r="F168" i="201" s="1"/>
  <c r="G168" i="201" s="1"/>
  <c r="N168" i="201"/>
  <c r="M168" i="201"/>
  <c r="N167" i="201"/>
  <c r="O167" i="201" s="1"/>
  <c r="F167" i="201" s="1"/>
  <c r="G167" i="201" s="1"/>
  <c r="M167" i="201"/>
  <c r="N166" i="201"/>
  <c r="O166" i="201" s="1"/>
  <c r="F166" i="201" s="1"/>
  <c r="G166" i="201" s="1"/>
  <c r="M166" i="201"/>
  <c r="N165" i="201"/>
  <c r="O165" i="201" s="1"/>
  <c r="F165" i="201" s="1"/>
  <c r="G165" i="201" s="1"/>
  <c r="M165" i="201"/>
  <c r="N164" i="201"/>
  <c r="O164" i="201" s="1"/>
  <c r="F164" i="201" s="1"/>
  <c r="G164" i="201" s="1"/>
  <c r="M164" i="201"/>
  <c r="N163" i="201"/>
  <c r="O163" i="201" s="1"/>
  <c r="F163" i="201" s="1"/>
  <c r="G163" i="201" s="1"/>
  <c r="M163" i="201"/>
  <c r="N162" i="201"/>
  <c r="O162" i="201" s="1"/>
  <c r="F162" i="201" s="1"/>
  <c r="G162" i="201" s="1"/>
  <c r="M162" i="201"/>
  <c r="N161" i="201"/>
  <c r="O161" i="201" s="1"/>
  <c r="F161" i="201" s="1"/>
  <c r="G161" i="201" s="1"/>
  <c r="M161" i="201"/>
  <c r="N160" i="201"/>
  <c r="O160" i="201" s="1"/>
  <c r="F160" i="201" s="1"/>
  <c r="G160" i="201" s="1"/>
  <c r="M160" i="201"/>
  <c r="N159" i="201"/>
  <c r="O159" i="201" s="1"/>
  <c r="F159" i="201" s="1"/>
  <c r="G159" i="201" s="1"/>
  <c r="M159" i="201"/>
  <c r="N158" i="201"/>
  <c r="O158" i="201" s="1"/>
  <c r="F158" i="201" s="1"/>
  <c r="G158" i="201" s="1"/>
  <c r="M158" i="201"/>
  <c r="N157" i="201"/>
  <c r="O157" i="201" s="1"/>
  <c r="F157" i="201" s="1"/>
  <c r="G157" i="201" s="1"/>
  <c r="M157" i="201"/>
  <c r="N156" i="201"/>
  <c r="O156" i="201" s="1"/>
  <c r="F156" i="201" s="1"/>
  <c r="G156" i="201" s="1"/>
  <c r="M156" i="201"/>
  <c r="N155" i="201"/>
  <c r="O155" i="201" s="1"/>
  <c r="F155" i="201" s="1"/>
  <c r="G155" i="201" s="1"/>
  <c r="M155" i="201"/>
  <c r="N154" i="201"/>
  <c r="O154" i="201" s="1"/>
  <c r="F154" i="201" s="1"/>
  <c r="G154" i="201" s="1"/>
  <c r="M154" i="201"/>
  <c r="N153" i="201"/>
  <c r="O153" i="201" s="1"/>
  <c r="F153" i="201" s="1"/>
  <c r="G153" i="201" s="1"/>
  <c r="M153" i="201"/>
  <c r="N152" i="201"/>
  <c r="O152" i="201" s="1"/>
  <c r="M152" i="201"/>
  <c r="N151" i="201"/>
  <c r="O151" i="201" s="1"/>
  <c r="F151" i="201" s="1"/>
  <c r="G151" i="201" s="1"/>
  <c r="M151" i="201"/>
  <c r="N150" i="201"/>
  <c r="O150" i="201" s="1"/>
  <c r="F150" i="201" s="1"/>
  <c r="G150" i="201" s="1"/>
  <c r="M150" i="201"/>
  <c r="N149" i="201"/>
  <c r="O149" i="201" s="1"/>
  <c r="F149" i="201" s="1"/>
  <c r="G149" i="201" s="1"/>
  <c r="M149" i="201"/>
  <c r="N148" i="201"/>
  <c r="O148" i="201" s="1"/>
  <c r="F148" i="201" s="1"/>
  <c r="G148" i="201" s="1"/>
  <c r="M148" i="201"/>
  <c r="N147" i="201"/>
  <c r="O147" i="201" s="1"/>
  <c r="F147" i="201" s="1"/>
  <c r="G147" i="201" s="1"/>
  <c r="M147" i="201"/>
  <c r="N146" i="201"/>
  <c r="O146" i="201" s="1"/>
  <c r="F146" i="201" s="1"/>
  <c r="G146" i="201" s="1"/>
  <c r="M146" i="201"/>
  <c r="N145" i="201"/>
  <c r="O145" i="201" s="1"/>
  <c r="F145" i="201" s="1"/>
  <c r="G145" i="201" s="1"/>
  <c r="M145" i="201"/>
  <c r="N144" i="201"/>
  <c r="O144" i="201" s="1"/>
  <c r="F144" i="201" s="1"/>
  <c r="G144" i="201" s="1"/>
  <c r="M144" i="201"/>
  <c r="N143" i="201"/>
  <c r="O143" i="201" s="1"/>
  <c r="F143" i="201" s="1"/>
  <c r="G143" i="201" s="1"/>
  <c r="M143" i="201"/>
  <c r="N142" i="201"/>
  <c r="O142" i="201" s="1"/>
  <c r="F142" i="201" s="1"/>
  <c r="G142" i="201" s="1"/>
  <c r="M142" i="201"/>
  <c r="N141" i="201"/>
  <c r="O141" i="201" s="1"/>
  <c r="F141" i="201" s="1"/>
  <c r="G141" i="201" s="1"/>
  <c r="M141" i="201"/>
  <c r="N140" i="201"/>
  <c r="O140" i="201" s="1"/>
  <c r="F140" i="201" s="1"/>
  <c r="G140" i="201" s="1"/>
  <c r="M140" i="201"/>
  <c r="N139" i="201"/>
  <c r="O139" i="201" s="1"/>
  <c r="M139" i="201"/>
  <c r="N138" i="201"/>
  <c r="O138" i="201" s="1"/>
  <c r="F138" i="201" s="1"/>
  <c r="G138" i="201" s="1"/>
  <c r="M138" i="201"/>
  <c r="N137" i="201"/>
  <c r="O137" i="201" s="1"/>
  <c r="F137" i="201" s="1"/>
  <c r="G137" i="201" s="1"/>
  <c r="M137" i="201"/>
  <c r="N136" i="201"/>
  <c r="O136" i="201" s="1"/>
  <c r="F136" i="201" s="1"/>
  <c r="G136" i="201" s="1"/>
  <c r="M136" i="201"/>
  <c r="N135" i="201"/>
  <c r="O135" i="201" s="1"/>
  <c r="F135" i="201" s="1"/>
  <c r="G135" i="201" s="1"/>
  <c r="M135" i="201"/>
  <c r="N134" i="201"/>
  <c r="O134" i="201" s="1"/>
  <c r="F134" i="201" s="1"/>
  <c r="G134" i="201" s="1"/>
  <c r="M134" i="201"/>
  <c r="N133" i="201"/>
  <c r="O133" i="201" s="1"/>
  <c r="F133" i="201" s="1"/>
  <c r="G133" i="201" s="1"/>
  <c r="M133" i="201"/>
  <c r="N132" i="201"/>
  <c r="O132" i="201" s="1"/>
  <c r="F132" i="201" s="1"/>
  <c r="G132" i="201" s="1"/>
  <c r="M132" i="201"/>
  <c r="N131" i="201"/>
  <c r="O131" i="201" s="1"/>
  <c r="F131" i="201" s="1"/>
  <c r="G131" i="201" s="1"/>
  <c r="M131" i="201"/>
  <c r="N130" i="201"/>
  <c r="O130" i="201" s="1"/>
  <c r="F130" i="201" s="1"/>
  <c r="G130" i="201" s="1"/>
  <c r="M130" i="201"/>
  <c r="N129" i="201"/>
  <c r="O129" i="201" s="1"/>
  <c r="F129" i="201" s="1"/>
  <c r="G129" i="201" s="1"/>
  <c r="M129" i="201"/>
  <c r="N128" i="201"/>
  <c r="O128" i="201" s="1"/>
  <c r="F128" i="201" s="1"/>
  <c r="G128" i="201" s="1"/>
  <c r="M128" i="201"/>
  <c r="N127" i="201"/>
  <c r="O127" i="201" s="1"/>
  <c r="F127" i="201" s="1"/>
  <c r="G127" i="201" s="1"/>
  <c r="M127" i="201"/>
  <c r="N126" i="201"/>
  <c r="O126" i="201" s="1"/>
  <c r="F126" i="201" s="1"/>
  <c r="G126" i="201" s="1"/>
  <c r="M126" i="201"/>
  <c r="O125" i="201"/>
  <c r="F125" i="201" s="1"/>
  <c r="G125" i="201" s="1"/>
  <c r="N125" i="201"/>
  <c r="M125" i="201"/>
  <c r="N124" i="201"/>
  <c r="O124" i="201" s="1"/>
  <c r="M124" i="201"/>
  <c r="N123" i="201"/>
  <c r="O123" i="201" s="1"/>
  <c r="F123" i="201" s="1"/>
  <c r="G123" i="201" s="1"/>
  <c r="M123" i="201"/>
  <c r="N122" i="201"/>
  <c r="O122" i="201" s="1"/>
  <c r="F122" i="201" s="1"/>
  <c r="G122" i="201" s="1"/>
  <c r="M122" i="201"/>
  <c r="N121" i="201"/>
  <c r="O121" i="201" s="1"/>
  <c r="M121" i="201"/>
  <c r="N120" i="201"/>
  <c r="O120" i="201" s="1"/>
  <c r="F120" i="201" s="1"/>
  <c r="G120" i="201" s="1"/>
  <c r="M120" i="201"/>
  <c r="N119" i="201"/>
  <c r="O119" i="201" s="1"/>
  <c r="F119" i="201" s="1"/>
  <c r="G119" i="201" s="1"/>
  <c r="M119" i="201"/>
  <c r="N118" i="201"/>
  <c r="O118" i="201" s="1"/>
  <c r="F118" i="201" s="1"/>
  <c r="G118" i="201" s="1"/>
  <c r="M118" i="201"/>
  <c r="N117" i="201"/>
  <c r="O117" i="201" s="1"/>
  <c r="F117" i="201" s="1"/>
  <c r="G117" i="201" s="1"/>
  <c r="M117" i="201"/>
  <c r="N116" i="201"/>
  <c r="O116" i="201" s="1"/>
  <c r="M116" i="201"/>
  <c r="N115" i="201"/>
  <c r="O115" i="201" s="1"/>
  <c r="F115" i="201" s="1"/>
  <c r="G115" i="201" s="1"/>
  <c r="M115" i="201"/>
  <c r="N114" i="201"/>
  <c r="O114" i="201" s="1"/>
  <c r="F114" i="201" s="1"/>
  <c r="G114" i="201" s="1"/>
  <c r="M114" i="201"/>
  <c r="N113" i="201"/>
  <c r="O113" i="201" s="1"/>
  <c r="F113" i="201" s="1"/>
  <c r="G113" i="201" s="1"/>
  <c r="M113" i="201"/>
  <c r="N112" i="201"/>
  <c r="O112" i="201" s="1"/>
  <c r="F112" i="201" s="1"/>
  <c r="G112" i="201" s="1"/>
  <c r="M112" i="201"/>
  <c r="N111" i="201"/>
  <c r="O111" i="201" s="1"/>
  <c r="F111" i="201" s="1"/>
  <c r="G111" i="201" s="1"/>
  <c r="M111" i="201"/>
  <c r="N110" i="201"/>
  <c r="O110" i="201" s="1"/>
  <c r="F110" i="201" s="1"/>
  <c r="G110" i="201" s="1"/>
  <c r="M110" i="201"/>
  <c r="N109" i="201"/>
  <c r="O109" i="201" s="1"/>
  <c r="F109" i="201" s="1"/>
  <c r="G109" i="201" s="1"/>
  <c r="M109" i="201"/>
  <c r="N108" i="201"/>
  <c r="O108" i="201" s="1"/>
  <c r="F108" i="201" s="1"/>
  <c r="G108" i="201" s="1"/>
  <c r="M108" i="201"/>
  <c r="N107" i="201"/>
  <c r="O107" i="201" s="1"/>
  <c r="F107" i="201" s="1"/>
  <c r="G107" i="201" s="1"/>
  <c r="M107" i="201"/>
  <c r="N106" i="201"/>
  <c r="O106" i="201" s="1"/>
  <c r="F106" i="201" s="1"/>
  <c r="G106" i="201" s="1"/>
  <c r="M106" i="201"/>
  <c r="N105" i="201"/>
  <c r="O105" i="201" s="1"/>
  <c r="F105" i="201" s="1"/>
  <c r="G105" i="201" s="1"/>
  <c r="M105" i="201"/>
  <c r="N104" i="201"/>
  <c r="O104" i="201" s="1"/>
  <c r="F104" i="201" s="1"/>
  <c r="G104" i="201" s="1"/>
  <c r="M104" i="201"/>
  <c r="N103" i="201"/>
  <c r="O103" i="201" s="1"/>
  <c r="M103" i="201"/>
  <c r="N102" i="201"/>
  <c r="O102" i="201" s="1"/>
  <c r="F102" i="201" s="1"/>
  <c r="G102" i="201" s="1"/>
  <c r="M102" i="201"/>
  <c r="N101" i="201"/>
  <c r="O101" i="201" s="1"/>
  <c r="F101" i="201" s="1"/>
  <c r="G101" i="201" s="1"/>
  <c r="M101" i="201"/>
  <c r="N100" i="201"/>
  <c r="O100" i="201" s="1"/>
  <c r="F100" i="201" s="1"/>
  <c r="G100" i="201" s="1"/>
  <c r="M100" i="201"/>
  <c r="N99" i="201"/>
  <c r="O99" i="201" s="1"/>
  <c r="F99" i="201" s="1"/>
  <c r="G99" i="201" s="1"/>
  <c r="M99" i="201"/>
  <c r="N98" i="201"/>
  <c r="O98" i="201" s="1"/>
  <c r="F98" i="201" s="1"/>
  <c r="G98" i="201" s="1"/>
  <c r="M98" i="201"/>
  <c r="N97" i="201"/>
  <c r="O97" i="201" s="1"/>
  <c r="F97" i="201" s="1"/>
  <c r="G97" i="201" s="1"/>
  <c r="M97" i="201"/>
  <c r="N96" i="201"/>
  <c r="O96" i="201" s="1"/>
  <c r="F96" i="201" s="1"/>
  <c r="G96" i="201" s="1"/>
  <c r="M96" i="201"/>
  <c r="N95" i="201"/>
  <c r="O95" i="201" s="1"/>
  <c r="F95" i="201" s="1"/>
  <c r="G95" i="201" s="1"/>
  <c r="M95" i="201"/>
  <c r="N94" i="201"/>
  <c r="O94" i="201" s="1"/>
  <c r="F94" i="201" s="1"/>
  <c r="G94" i="201" s="1"/>
  <c r="M94" i="201"/>
  <c r="N93" i="201"/>
  <c r="O93" i="201" s="1"/>
  <c r="F93" i="201" s="1"/>
  <c r="G93" i="201" s="1"/>
  <c r="M93" i="201"/>
  <c r="N92" i="201"/>
  <c r="O92" i="201" s="1"/>
  <c r="F92" i="201" s="1"/>
  <c r="G92" i="201" s="1"/>
  <c r="M92" i="201"/>
  <c r="N91" i="201"/>
  <c r="O91" i="201" s="1"/>
  <c r="F91" i="201" s="1"/>
  <c r="G91" i="201" s="1"/>
  <c r="M91" i="201"/>
  <c r="N90" i="201"/>
  <c r="O90" i="201" s="1"/>
  <c r="F90" i="201" s="1"/>
  <c r="G90" i="201" s="1"/>
  <c r="M90" i="201"/>
  <c r="N89" i="201"/>
  <c r="O89" i="201" s="1"/>
  <c r="F89" i="201" s="1"/>
  <c r="G89" i="201" s="1"/>
  <c r="M89" i="201"/>
  <c r="N88" i="201"/>
  <c r="O88" i="201" s="1"/>
  <c r="F88" i="201" s="1"/>
  <c r="G88" i="201" s="1"/>
  <c r="M88" i="201"/>
  <c r="N87" i="201"/>
  <c r="O87" i="201" s="1"/>
  <c r="F87" i="201" s="1"/>
  <c r="G87" i="201" s="1"/>
  <c r="M87" i="201"/>
  <c r="N86" i="201"/>
  <c r="O86" i="201" s="1"/>
  <c r="F86" i="201" s="1"/>
  <c r="G86" i="201" s="1"/>
  <c r="M86" i="201"/>
  <c r="N85" i="201"/>
  <c r="O85" i="201" s="1"/>
  <c r="F85" i="201" s="1"/>
  <c r="G85" i="201" s="1"/>
  <c r="M85" i="201"/>
  <c r="N84" i="201"/>
  <c r="O84" i="201" s="1"/>
  <c r="F84" i="201" s="1"/>
  <c r="G84" i="201" s="1"/>
  <c r="M84" i="201"/>
  <c r="N83" i="201"/>
  <c r="O83" i="201" s="1"/>
  <c r="F83" i="201" s="1"/>
  <c r="G83" i="201" s="1"/>
  <c r="M83" i="201"/>
  <c r="N82" i="201"/>
  <c r="O82" i="201" s="1"/>
  <c r="F82" i="201" s="1"/>
  <c r="G82" i="201" s="1"/>
  <c r="M82" i="201"/>
  <c r="N81" i="201"/>
  <c r="O81" i="201" s="1"/>
  <c r="M81" i="201"/>
  <c r="N80" i="201"/>
  <c r="O80" i="201" s="1"/>
  <c r="M80" i="201"/>
  <c r="H80" i="201"/>
  <c r="N79" i="201"/>
  <c r="O79" i="201" s="1"/>
  <c r="F79" i="201" s="1"/>
  <c r="G79" i="201" s="1"/>
  <c r="M79" i="201"/>
  <c r="N78" i="201"/>
  <c r="O78" i="201" s="1"/>
  <c r="F78" i="201" s="1"/>
  <c r="G78" i="201" s="1"/>
  <c r="M78" i="201"/>
  <c r="N77" i="201"/>
  <c r="O77" i="201" s="1"/>
  <c r="F77" i="201" s="1"/>
  <c r="G77" i="201" s="1"/>
  <c r="M77" i="201"/>
  <c r="N76" i="201"/>
  <c r="O76" i="201" s="1"/>
  <c r="F76" i="201" s="1"/>
  <c r="G76" i="201" s="1"/>
  <c r="M76" i="201"/>
  <c r="N75" i="201"/>
  <c r="O75" i="201" s="1"/>
  <c r="F75" i="201" s="1"/>
  <c r="G75" i="201" s="1"/>
  <c r="M75" i="201"/>
  <c r="N74" i="201"/>
  <c r="O74" i="201" s="1"/>
  <c r="F74" i="201" s="1"/>
  <c r="G74" i="201" s="1"/>
  <c r="M74" i="201"/>
  <c r="N73" i="201"/>
  <c r="O73" i="201" s="1"/>
  <c r="F73" i="201" s="1"/>
  <c r="G73" i="201" s="1"/>
  <c r="M73" i="201"/>
  <c r="N72" i="201"/>
  <c r="O72" i="201" s="1"/>
  <c r="F72" i="201" s="1"/>
  <c r="G72" i="201" s="1"/>
  <c r="M72" i="201"/>
  <c r="N71" i="201"/>
  <c r="O71" i="201" s="1"/>
  <c r="F71" i="201" s="1"/>
  <c r="G71" i="201" s="1"/>
  <c r="M71" i="201"/>
  <c r="N70" i="201"/>
  <c r="O70" i="201" s="1"/>
  <c r="F70" i="201" s="1"/>
  <c r="G70" i="201" s="1"/>
  <c r="M70" i="201"/>
  <c r="N69" i="201"/>
  <c r="O69" i="201" s="1"/>
  <c r="F69" i="201" s="1"/>
  <c r="G69" i="201" s="1"/>
  <c r="M69" i="201"/>
  <c r="N68" i="201"/>
  <c r="O68" i="201" s="1"/>
  <c r="F68" i="201" s="1"/>
  <c r="G68" i="201" s="1"/>
  <c r="M68" i="201"/>
  <c r="N67" i="201"/>
  <c r="O67" i="201" s="1"/>
  <c r="F67" i="201" s="1"/>
  <c r="G67" i="201" s="1"/>
  <c r="M67" i="201"/>
  <c r="N66" i="201"/>
  <c r="O66" i="201" s="1"/>
  <c r="F66" i="201" s="1"/>
  <c r="G66" i="201" s="1"/>
  <c r="M66" i="201"/>
  <c r="N65" i="201"/>
  <c r="O65" i="201" s="1"/>
  <c r="F65" i="201" s="1"/>
  <c r="G65" i="201" s="1"/>
  <c r="M65" i="201"/>
  <c r="N64" i="201"/>
  <c r="O64" i="201" s="1"/>
  <c r="F64" i="201" s="1"/>
  <c r="G64" i="201" s="1"/>
  <c r="M64" i="201"/>
  <c r="N63" i="201"/>
  <c r="O63" i="201" s="1"/>
  <c r="F63" i="201" s="1"/>
  <c r="G63" i="201" s="1"/>
  <c r="M63" i="201"/>
  <c r="N62" i="201"/>
  <c r="O62" i="201" s="1"/>
  <c r="F62" i="201" s="1"/>
  <c r="G62" i="201" s="1"/>
  <c r="M62" i="201"/>
  <c r="N61" i="201"/>
  <c r="O61" i="201" s="1"/>
  <c r="F61" i="201" s="1"/>
  <c r="G61" i="201" s="1"/>
  <c r="M61" i="201"/>
  <c r="N60" i="201"/>
  <c r="O60" i="201" s="1"/>
  <c r="F60" i="201" s="1"/>
  <c r="G60" i="201" s="1"/>
  <c r="M60" i="201"/>
  <c r="N59" i="201"/>
  <c r="O59" i="201" s="1"/>
  <c r="F59" i="201" s="1"/>
  <c r="G59" i="201" s="1"/>
  <c r="M59" i="201"/>
  <c r="N58" i="201"/>
  <c r="O58" i="201" s="1"/>
  <c r="F58" i="201" s="1"/>
  <c r="G58" i="201" s="1"/>
  <c r="M58" i="201"/>
  <c r="N57" i="201"/>
  <c r="O57" i="201" s="1"/>
  <c r="F57" i="201" s="1"/>
  <c r="G57" i="201" s="1"/>
  <c r="M57" i="201"/>
  <c r="N56" i="201"/>
  <c r="O56" i="201" s="1"/>
  <c r="F56" i="201" s="1"/>
  <c r="G56" i="201" s="1"/>
  <c r="M56" i="201"/>
  <c r="N55" i="201"/>
  <c r="O55" i="201" s="1"/>
  <c r="F55" i="201" s="1"/>
  <c r="G55" i="201" s="1"/>
  <c r="M55" i="201"/>
  <c r="N54" i="201"/>
  <c r="O54" i="201" s="1"/>
  <c r="F54" i="201" s="1"/>
  <c r="G54" i="201" s="1"/>
  <c r="M54" i="201"/>
  <c r="N53" i="201"/>
  <c r="O53" i="201" s="1"/>
  <c r="F53" i="201" s="1"/>
  <c r="G53" i="201" s="1"/>
  <c r="M53" i="201"/>
  <c r="N52" i="201"/>
  <c r="O52" i="201" s="1"/>
  <c r="F52" i="201" s="1"/>
  <c r="G52" i="201" s="1"/>
  <c r="M52" i="201"/>
  <c r="N51" i="201"/>
  <c r="O51" i="201" s="1"/>
  <c r="F51" i="201" s="1"/>
  <c r="G51" i="201" s="1"/>
  <c r="M51" i="201"/>
  <c r="N50" i="201"/>
  <c r="O50" i="201" s="1"/>
  <c r="F50" i="201" s="1"/>
  <c r="G50" i="201" s="1"/>
  <c r="M50" i="201"/>
  <c r="N49" i="201"/>
  <c r="O49" i="201" s="1"/>
  <c r="F49" i="201" s="1"/>
  <c r="G49" i="201" s="1"/>
  <c r="M49" i="201"/>
  <c r="N48" i="201"/>
  <c r="O48" i="201" s="1"/>
  <c r="F48" i="201" s="1"/>
  <c r="G48" i="201" s="1"/>
  <c r="M48" i="201"/>
  <c r="N47" i="201"/>
  <c r="O47" i="201" s="1"/>
  <c r="F47" i="201" s="1"/>
  <c r="G47" i="201" s="1"/>
  <c r="M47" i="201"/>
  <c r="N46" i="201"/>
  <c r="O46" i="201" s="1"/>
  <c r="F46" i="201" s="1"/>
  <c r="G46" i="201" s="1"/>
  <c r="M46" i="201"/>
  <c r="N45" i="201"/>
  <c r="O45" i="201" s="1"/>
  <c r="F45" i="201" s="1"/>
  <c r="G45" i="201" s="1"/>
  <c r="M45" i="201"/>
  <c r="N44" i="201"/>
  <c r="O44" i="201" s="1"/>
  <c r="F44" i="201" s="1"/>
  <c r="G44" i="201" s="1"/>
  <c r="M44" i="201"/>
  <c r="N43" i="201"/>
  <c r="O43" i="201" s="1"/>
  <c r="F43" i="201" s="1"/>
  <c r="G43" i="201" s="1"/>
  <c r="M43" i="201"/>
  <c r="N42" i="201"/>
  <c r="O42" i="201" s="1"/>
  <c r="F42" i="201" s="1"/>
  <c r="G42" i="201" s="1"/>
  <c r="M42" i="201"/>
  <c r="N41" i="201"/>
  <c r="O41" i="201" s="1"/>
  <c r="F41" i="201" s="1"/>
  <c r="G41" i="201" s="1"/>
  <c r="M41" i="201"/>
  <c r="N40" i="201"/>
  <c r="O40" i="201" s="1"/>
  <c r="F40" i="201" s="1"/>
  <c r="G40" i="201" s="1"/>
  <c r="M40" i="201"/>
  <c r="N39" i="201"/>
  <c r="O39" i="201" s="1"/>
  <c r="F39" i="201" s="1"/>
  <c r="G39" i="201" s="1"/>
  <c r="M39" i="201"/>
  <c r="N38" i="201"/>
  <c r="O38" i="201" s="1"/>
  <c r="F38" i="201" s="1"/>
  <c r="G38" i="201" s="1"/>
  <c r="M38" i="201"/>
  <c r="N37" i="201"/>
  <c r="O37" i="201" s="1"/>
  <c r="F37" i="201" s="1"/>
  <c r="G37" i="201" s="1"/>
  <c r="M37" i="201"/>
  <c r="N36" i="201"/>
  <c r="O36" i="201" s="1"/>
  <c r="F36" i="201" s="1"/>
  <c r="G36" i="201" s="1"/>
  <c r="M36" i="201"/>
  <c r="N35" i="201"/>
  <c r="O35" i="201" s="1"/>
  <c r="F35" i="201" s="1"/>
  <c r="G35" i="201" s="1"/>
  <c r="M35" i="201"/>
  <c r="N34" i="201"/>
  <c r="O34" i="201" s="1"/>
  <c r="M34" i="201"/>
  <c r="N33" i="201"/>
  <c r="O33" i="201" s="1"/>
  <c r="M33" i="201"/>
  <c r="N32" i="201"/>
  <c r="M32" i="201"/>
  <c r="O32" i="201" s="1"/>
  <c r="F32" i="201" s="1"/>
  <c r="G32" i="201" s="1"/>
  <c r="N31" i="201"/>
  <c r="M31" i="201"/>
  <c r="O31" i="201" s="1"/>
  <c r="F31" i="201" s="1"/>
  <c r="G31" i="201" s="1"/>
  <c r="N30" i="201"/>
  <c r="M30" i="201"/>
  <c r="O30" i="201" s="1"/>
  <c r="F30" i="201" s="1"/>
  <c r="G30" i="201" s="1"/>
  <c r="N29" i="201"/>
  <c r="M29" i="201"/>
  <c r="O29" i="201" s="1"/>
  <c r="F29" i="201" s="1"/>
  <c r="G29" i="201" s="1"/>
  <c r="N28" i="201"/>
  <c r="M28" i="201"/>
  <c r="O28" i="201" s="1"/>
  <c r="F28" i="201" s="1"/>
  <c r="G28" i="201" s="1"/>
  <c r="N27" i="201"/>
  <c r="M27" i="201"/>
  <c r="O27" i="201" s="1"/>
  <c r="F27" i="201" s="1"/>
  <c r="G27" i="201" s="1"/>
  <c r="N26" i="201"/>
  <c r="M26" i="201"/>
  <c r="O26" i="201" s="1"/>
  <c r="F26" i="201" s="1"/>
  <c r="G26" i="201" s="1"/>
  <c r="N25" i="201"/>
  <c r="M25" i="201"/>
  <c r="O25" i="201" s="1"/>
  <c r="F25" i="201" s="1"/>
  <c r="G25" i="201" s="1"/>
  <c r="J15" i="201"/>
  <c r="E15" i="201"/>
  <c r="E14" i="201"/>
  <c r="E13" i="201"/>
  <c r="J12" i="201"/>
  <c r="J9" i="201"/>
  <c r="G121" i="201" l="1"/>
  <c r="M9" i="203"/>
  <c r="M10" i="203" s="1"/>
  <c r="G24" i="203"/>
  <c r="G36" i="203"/>
  <c r="G139" i="201"/>
  <c r="G152" i="201"/>
  <c r="G24" i="201"/>
  <c r="G34" i="201"/>
  <c r="G81" i="201"/>
  <c r="G180" i="201"/>
  <c r="G103" i="201"/>
  <c r="G190" i="201"/>
  <c r="G116" i="201"/>
  <c r="G171" i="201"/>
  <c r="G124" i="201"/>
  <c r="G196" i="201"/>
  <c r="G33" i="201" l="1"/>
  <c r="G23" i="203"/>
  <c r="G23" i="201"/>
  <c r="F20" i="200" l="1"/>
  <c r="F19" i="200"/>
  <c r="F18" i="200"/>
  <c r="F17" i="200"/>
  <c r="F16" i="200"/>
  <c r="F14" i="200"/>
  <c r="S312" i="199"/>
  <c r="T312" i="199" s="1"/>
  <c r="F312" i="199" s="1"/>
  <c r="G312" i="199" s="1"/>
  <c r="R312" i="199"/>
  <c r="N312" i="199"/>
  <c r="M312" i="199"/>
  <c r="S311" i="199"/>
  <c r="T311" i="199" s="1"/>
  <c r="F311" i="199" s="1"/>
  <c r="G311" i="199" s="1"/>
  <c r="R311" i="199"/>
  <c r="N311" i="199"/>
  <c r="M311" i="199"/>
  <c r="S310" i="199"/>
  <c r="T310" i="199" s="1"/>
  <c r="F310" i="199" s="1"/>
  <c r="G310" i="199" s="1"/>
  <c r="R310" i="199"/>
  <c r="N310" i="199"/>
  <c r="M310" i="199"/>
  <c r="T309" i="199"/>
  <c r="F309" i="199" s="1"/>
  <c r="G309" i="199" s="1"/>
  <c r="S309" i="199"/>
  <c r="R309" i="199"/>
  <c r="N309" i="199"/>
  <c r="M309" i="199"/>
  <c r="S308" i="199"/>
  <c r="T308" i="199" s="1"/>
  <c r="F308" i="199" s="1"/>
  <c r="G308" i="199" s="1"/>
  <c r="R308" i="199"/>
  <c r="N308" i="199"/>
  <c r="M308" i="199"/>
  <c r="S307" i="199"/>
  <c r="T307" i="199" s="1"/>
  <c r="F307" i="199" s="1"/>
  <c r="G307" i="199" s="1"/>
  <c r="R307" i="199"/>
  <c r="N307" i="199"/>
  <c r="M307" i="199"/>
  <c r="S306" i="199"/>
  <c r="T306" i="199" s="1"/>
  <c r="F306" i="199" s="1"/>
  <c r="G306" i="199" s="1"/>
  <c r="R306" i="199"/>
  <c r="N306" i="199"/>
  <c r="M306" i="199"/>
  <c r="S305" i="199"/>
  <c r="T305" i="199" s="1"/>
  <c r="F305" i="199" s="1"/>
  <c r="G305" i="199" s="1"/>
  <c r="R305" i="199"/>
  <c r="N305" i="199"/>
  <c r="M305" i="199"/>
  <c r="S304" i="199"/>
  <c r="T304" i="199" s="1"/>
  <c r="F304" i="199" s="1"/>
  <c r="G304" i="199" s="1"/>
  <c r="R304" i="199"/>
  <c r="N304" i="199"/>
  <c r="M304" i="199"/>
  <c r="S303" i="199"/>
  <c r="T303" i="199" s="1"/>
  <c r="F303" i="199" s="1"/>
  <c r="G303" i="199" s="1"/>
  <c r="R303" i="199"/>
  <c r="N303" i="199"/>
  <c r="M303" i="199"/>
  <c r="S302" i="199"/>
  <c r="T302" i="199" s="1"/>
  <c r="F302" i="199" s="1"/>
  <c r="G302" i="199" s="1"/>
  <c r="R302" i="199"/>
  <c r="N302" i="199"/>
  <c r="M302" i="199"/>
  <c r="S301" i="199"/>
  <c r="T301" i="199" s="1"/>
  <c r="F301" i="199" s="1"/>
  <c r="G301" i="199" s="1"/>
  <c r="R301" i="199"/>
  <c r="N301" i="199"/>
  <c r="M301" i="199"/>
  <c r="S300" i="199"/>
  <c r="T300" i="199" s="1"/>
  <c r="F300" i="199" s="1"/>
  <c r="G300" i="199" s="1"/>
  <c r="R300" i="199"/>
  <c r="N300" i="199"/>
  <c r="M300" i="199"/>
  <c r="S299" i="199"/>
  <c r="T299" i="199" s="1"/>
  <c r="F299" i="199" s="1"/>
  <c r="G299" i="199" s="1"/>
  <c r="R299" i="199"/>
  <c r="N299" i="199"/>
  <c r="M299" i="199"/>
  <c r="S298" i="199"/>
  <c r="T298" i="199" s="1"/>
  <c r="F298" i="199" s="1"/>
  <c r="G298" i="199" s="1"/>
  <c r="R298" i="199"/>
  <c r="N298" i="199"/>
  <c r="M298" i="199"/>
  <c r="S297" i="199"/>
  <c r="T297" i="199" s="1"/>
  <c r="F297" i="199" s="1"/>
  <c r="G297" i="199" s="1"/>
  <c r="R297" i="199"/>
  <c r="N297" i="199"/>
  <c r="M297" i="199"/>
  <c r="S296" i="199"/>
  <c r="T296" i="199" s="1"/>
  <c r="F296" i="199" s="1"/>
  <c r="G296" i="199" s="1"/>
  <c r="R296" i="199"/>
  <c r="N296" i="199"/>
  <c r="M296" i="199"/>
  <c r="S295" i="199"/>
  <c r="T295" i="199" s="1"/>
  <c r="F295" i="199" s="1"/>
  <c r="G295" i="199" s="1"/>
  <c r="R295" i="199"/>
  <c r="N295" i="199"/>
  <c r="M295" i="199"/>
  <c r="T294" i="199"/>
  <c r="F294" i="199" s="1"/>
  <c r="G294" i="199" s="1"/>
  <c r="S294" i="199"/>
  <c r="R294" i="199"/>
  <c r="N294" i="199"/>
  <c r="M294" i="199"/>
  <c r="S293" i="199"/>
  <c r="T293" i="199" s="1"/>
  <c r="F293" i="199" s="1"/>
  <c r="G293" i="199" s="1"/>
  <c r="R293" i="199"/>
  <c r="N293" i="199"/>
  <c r="M293" i="199"/>
  <c r="S292" i="199"/>
  <c r="T292" i="199" s="1"/>
  <c r="R292" i="199"/>
  <c r="N292" i="199"/>
  <c r="M292" i="199"/>
  <c r="F292" i="199"/>
  <c r="G292" i="199" s="1"/>
  <c r="S291" i="199"/>
  <c r="T291" i="199" s="1"/>
  <c r="F291" i="199" s="1"/>
  <c r="G291" i="199" s="1"/>
  <c r="R291" i="199"/>
  <c r="N291" i="199"/>
  <c r="M291" i="199"/>
  <c r="S290" i="199"/>
  <c r="T290" i="199" s="1"/>
  <c r="F290" i="199" s="1"/>
  <c r="G290" i="199" s="1"/>
  <c r="R290" i="199"/>
  <c r="N290" i="199"/>
  <c r="M290" i="199"/>
  <c r="S289" i="199"/>
  <c r="T289" i="199" s="1"/>
  <c r="F289" i="199" s="1"/>
  <c r="G289" i="199" s="1"/>
  <c r="R289" i="199"/>
  <c r="N289" i="199"/>
  <c r="M289" i="199"/>
  <c r="S288" i="199"/>
  <c r="T288" i="199" s="1"/>
  <c r="F288" i="199" s="1"/>
  <c r="G288" i="199" s="1"/>
  <c r="R288" i="199"/>
  <c r="N288" i="199"/>
  <c r="M288" i="199"/>
  <c r="S287" i="199"/>
  <c r="T287" i="199" s="1"/>
  <c r="F287" i="199" s="1"/>
  <c r="G287" i="199" s="1"/>
  <c r="R287" i="199"/>
  <c r="N287" i="199"/>
  <c r="M287" i="199"/>
  <c r="S286" i="199"/>
  <c r="T286" i="199" s="1"/>
  <c r="F286" i="199" s="1"/>
  <c r="G286" i="199" s="1"/>
  <c r="R286" i="199"/>
  <c r="N286" i="199"/>
  <c r="M286" i="199"/>
  <c r="S285" i="199"/>
  <c r="T285" i="199" s="1"/>
  <c r="F285" i="199" s="1"/>
  <c r="G285" i="199" s="1"/>
  <c r="R285" i="199"/>
  <c r="N285" i="199"/>
  <c r="M285" i="199"/>
  <c r="S284" i="199"/>
  <c r="T284" i="199" s="1"/>
  <c r="F284" i="199" s="1"/>
  <c r="G284" i="199" s="1"/>
  <c r="R284" i="199"/>
  <c r="N284" i="199"/>
  <c r="M284" i="199"/>
  <c r="S283" i="199"/>
  <c r="T283" i="199" s="1"/>
  <c r="F283" i="199" s="1"/>
  <c r="G283" i="199" s="1"/>
  <c r="R283" i="199"/>
  <c r="N283" i="199"/>
  <c r="M283" i="199"/>
  <c r="S282" i="199"/>
  <c r="T282" i="199" s="1"/>
  <c r="F282" i="199" s="1"/>
  <c r="G282" i="199" s="1"/>
  <c r="R282" i="199"/>
  <c r="N282" i="199"/>
  <c r="M282" i="199"/>
  <c r="T281" i="199"/>
  <c r="F281" i="199" s="1"/>
  <c r="G281" i="199" s="1"/>
  <c r="S281" i="199"/>
  <c r="R281" i="199"/>
  <c r="N281" i="199"/>
  <c r="M281" i="199"/>
  <c r="S280" i="199"/>
  <c r="T280" i="199" s="1"/>
  <c r="F280" i="199" s="1"/>
  <c r="G280" i="199" s="1"/>
  <c r="R280" i="199"/>
  <c r="N280" i="199"/>
  <c r="M280" i="199"/>
  <c r="S279" i="199"/>
  <c r="T279" i="199" s="1"/>
  <c r="F279" i="199" s="1"/>
  <c r="G279" i="199" s="1"/>
  <c r="R279" i="199"/>
  <c r="N279" i="199"/>
  <c r="M279" i="199"/>
  <c r="S278" i="199"/>
  <c r="T278" i="199" s="1"/>
  <c r="F278" i="199" s="1"/>
  <c r="G278" i="199" s="1"/>
  <c r="R278" i="199"/>
  <c r="N278" i="199"/>
  <c r="M278" i="199"/>
  <c r="S277" i="199"/>
  <c r="T277" i="199" s="1"/>
  <c r="F277" i="199" s="1"/>
  <c r="G277" i="199" s="1"/>
  <c r="R277" i="199"/>
  <c r="N277" i="199"/>
  <c r="M277" i="199"/>
  <c r="S276" i="199"/>
  <c r="T276" i="199" s="1"/>
  <c r="F276" i="199" s="1"/>
  <c r="G276" i="199" s="1"/>
  <c r="R276" i="199"/>
  <c r="N276" i="199"/>
  <c r="M276" i="199"/>
  <c r="S275" i="199"/>
  <c r="T275" i="199" s="1"/>
  <c r="F275" i="199" s="1"/>
  <c r="G275" i="199" s="1"/>
  <c r="R275" i="199"/>
  <c r="N275" i="199"/>
  <c r="M275" i="199"/>
  <c r="S274" i="199"/>
  <c r="T274" i="199" s="1"/>
  <c r="F274" i="199" s="1"/>
  <c r="G274" i="199" s="1"/>
  <c r="R274" i="199"/>
  <c r="N274" i="199"/>
  <c r="M274" i="199"/>
  <c r="S273" i="199"/>
  <c r="T273" i="199" s="1"/>
  <c r="F273" i="199" s="1"/>
  <c r="G273" i="199" s="1"/>
  <c r="R273" i="199"/>
  <c r="N273" i="199"/>
  <c r="M273" i="199"/>
  <c r="S272" i="199"/>
  <c r="T272" i="199" s="1"/>
  <c r="F272" i="199" s="1"/>
  <c r="G272" i="199" s="1"/>
  <c r="R272" i="199"/>
  <c r="N272" i="199"/>
  <c r="M272" i="199"/>
  <c r="S271" i="199"/>
  <c r="T271" i="199" s="1"/>
  <c r="F271" i="199" s="1"/>
  <c r="G271" i="199" s="1"/>
  <c r="R271" i="199"/>
  <c r="N271" i="199"/>
  <c r="M271" i="199"/>
  <c r="S270" i="199"/>
  <c r="T270" i="199" s="1"/>
  <c r="F270" i="199" s="1"/>
  <c r="G270" i="199" s="1"/>
  <c r="R270" i="199"/>
  <c r="N270" i="199"/>
  <c r="M270" i="199"/>
  <c r="S269" i="199"/>
  <c r="T269" i="199" s="1"/>
  <c r="F269" i="199" s="1"/>
  <c r="G269" i="199" s="1"/>
  <c r="R269" i="199"/>
  <c r="N269" i="199"/>
  <c r="M269" i="199"/>
  <c r="S268" i="199"/>
  <c r="T268" i="199" s="1"/>
  <c r="F268" i="199" s="1"/>
  <c r="G268" i="199" s="1"/>
  <c r="R268" i="199"/>
  <c r="N268" i="199"/>
  <c r="M268" i="199"/>
  <c r="S267" i="199"/>
  <c r="T267" i="199" s="1"/>
  <c r="F267" i="199" s="1"/>
  <c r="G267" i="199" s="1"/>
  <c r="R267" i="199"/>
  <c r="N267" i="199"/>
  <c r="M267" i="199"/>
  <c r="S265" i="199"/>
  <c r="T265" i="199" s="1"/>
  <c r="F265" i="199" s="1"/>
  <c r="G265" i="199" s="1"/>
  <c r="R265" i="199"/>
  <c r="N265" i="199"/>
  <c r="M265" i="199"/>
  <c r="S264" i="199"/>
  <c r="T264" i="199" s="1"/>
  <c r="F264" i="199" s="1"/>
  <c r="G264" i="199" s="1"/>
  <c r="R264" i="199"/>
  <c r="N264" i="199"/>
  <c r="M264" i="199"/>
  <c r="S263" i="199"/>
  <c r="T263" i="199" s="1"/>
  <c r="F263" i="199" s="1"/>
  <c r="G263" i="199" s="1"/>
  <c r="R263" i="199"/>
  <c r="N263" i="199"/>
  <c r="M263" i="199"/>
  <c r="S262" i="199"/>
  <c r="T262" i="199" s="1"/>
  <c r="F262" i="199" s="1"/>
  <c r="G262" i="199" s="1"/>
  <c r="R262" i="199"/>
  <c r="N262" i="199"/>
  <c r="M262" i="199"/>
  <c r="S261" i="199"/>
  <c r="T261" i="199" s="1"/>
  <c r="F261" i="199" s="1"/>
  <c r="G261" i="199" s="1"/>
  <c r="R261" i="199"/>
  <c r="N261" i="199"/>
  <c r="M261" i="199"/>
  <c r="S260" i="199"/>
  <c r="T260" i="199" s="1"/>
  <c r="F260" i="199" s="1"/>
  <c r="G260" i="199" s="1"/>
  <c r="R260" i="199"/>
  <c r="N260" i="199"/>
  <c r="M260" i="199"/>
  <c r="T259" i="199"/>
  <c r="F259" i="199" s="1"/>
  <c r="G259" i="199" s="1"/>
  <c r="S259" i="199"/>
  <c r="R259" i="199"/>
  <c r="N259" i="199"/>
  <c r="M259" i="199"/>
  <c r="S258" i="199"/>
  <c r="T258" i="199" s="1"/>
  <c r="F258" i="199" s="1"/>
  <c r="G258" i="199" s="1"/>
  <c r="R258" i="199"/>
  <c r="N258" i="199"/>
  <c r="M258" i="199"/>
  <c r="S257" i="199"/>
  <c r="T257" i="199" s="1"/>
  <c r="F257" i="199" s="1"/>
  <c r="G257" i="199" s="1"/>
  <c r="R257" i="199"/>
  <c r="N257" i="199"/>
  <c r="M257" i="199"/>
  <c r="S256" i="199"/>
  <c r="T256" i="199" s="1"/>
  <c r="F256" i="199" s="1"/>
  <c r="G256" i="199" s="1"/>
  <c r="R256" i="199"/>
  <c r="N256" i="199"/>
  <c r="M256" i="199"/>
  <c r="S255" i="199"/>
  <c r="T255" i="199" s="1"/>
  <c r="F255" i="199" s="1"/>
  <c r="G255" i="199" s="1"/>
  <c r="R255" i="199"/>
  <c r="N255" i="199"/>
  <c r="M255" i="199"/>
  <c r="S254" i="199"/>
  <c r="T254" i="199" s="1"/>
  <c r="F254" i="199" s="1"/>
  <c r="G254" i="199" s="1"/>
  <c r="R254" i="199"/>
  <c r="N254" i="199"/>
  <c r="M254" i="199"/>
  <c r="S253" i="199"/>
  <c r="T253" i="199" s="1"/>
  <c r="R253" i="199"/>
  <c r="N253" i="199"/>
  <c r="M253" i="199"/>
  <c r="S252" i="199"/>
  <c r="T252" i="199" s="1"/>
  <c r="F252" i="199" s="1"/>
  <c r="R252" i="199"/>
  <c r="N252" i="199"/>
  <c r="M252" i="199"/>
  <c r="S251" i="199"/>
  <c r="T251" i="199" s="1"/>
  <c r="R251" i="199"/>
  <c r="N251" i="199"/>
  <c r="M251" i="199"/>
  <c r="S250" i="199"/>
  <c r="T250" i="199" s="1"/>
  <c r="R250" i="199"/>
  <c r="N250" i="199"/>
  <c r="M250" i="199"/>
  <c r="S249" i="199"/>
  <c r="T249" i="199" s="1"/>
  <c r="R249" i="199"/>
  <c r="N249" i="199"/>
  <c r="M249" i="199"/>
  <c r="S248" i="199"/>
  <c r="T248" i="199" s="1"/>
  <c r="F248" i="199" s="1"/>
  <c r="R248" i="199"/>
  <c r="N248" i="199"/>
  <c r="M248" i="199"/>
  <c r="S247" i="199"/>
  <c r="T247" i="199" s="1"/>
  <c r="R247" i="199"/>
  <c r="N247" i="199"/>
  <c r="M247" i="199"/>
  <c r="S246" i="199"/>
  <c r="T246" i="199" s="1"/>
  <c r="F246" i="199" s="1"/>
  <c r="R246" i="199"/>
  <c r="N246" i="199"/>
  <c r="M246" i="199"/>
  <c r="S245" i="199"/>
  <c r="T245" i="199" s="1"/>
  <c r="R245" i="199"/>
  <c r="N245" i="199"/>
  <c r="M245" i="199"/>
  <c r="T244" i="199"/>
  <c r="F244" i="199" s="1"/>
  <c r="S244" i="199"/>
  <c r="R244" i="199"/>
  <c r="N244" i="199"/>
  <c r="M244" i="199"/>
  <c r="S243" i="199"/>
  <c r="T243" i="199" s="1"/>
  <c r="R243" i="199"/>
  <c r="N243" i="199"/>
  <c r="M243" i="199"/>
  <c r="S242" i="199"/>
  <c r="T242" i="199" s="1"/>
  <c r="F242" i="199" s="1"/>
  <c r="R242" i="199"/>
  <c r="N242" i="199"/>
  <c r="M242" i="199"/>
  <c r="S241" i="199"/>
  <c r="T241" i="199" s="1"/>
  <c r="F241" i="199" s="1"/>
  <c r="R241" i="199"/>
  <c r="N241" i="199"/>
  <c r="M241" i="199"/>
  <c r="S240" i="199"/>
  <c r="T240" i="199" s="1"/>
  <c r="F240" i="199" s="1"/>
  <c r="G240" i="199" s="1"/>
  <c r="R240" i="199"/>
  <c r="N240" i="199"/>
  <c r="M240" i="199"/>
  <c r="S239" i="199"/>
  <c r="T239" i="199" s="1"/>
  <c r="F239" i="199" s="1"/>
  <c r="G239" i="199" s="1"/>
  <c r="R239" i="199"/>
  <c r="N239" i="199"/>
  <c r="M239" i="199"/>
  <c r="S238" i="199"/>
  <c r="T238" i="199" s="1"/>
  <c r="F238" i="199" s="1"/>
  <c r="G238" i="199" s="1"/>
  <c r="R238" i="199"/>
  <c r="N238" i="199"/>
  <c r="M238" i="199"/>
  <c r="S237" i="199"/>
  <c r="T237" i="199" s="1"/>
  <c r="F237" i="199" s="1"/>
  <c r="G237" i="199" s="1"/>
  <c r="R237" i="199"/>
  <c r="N237" i="199"/>
  <c r="M237" i="199"/>
  <c r="S236" i="199"/>
  <c r="T236" i="199" s="1"/>
  <c r="F236" i="199" s="1"/>
  <c r="G236" i="199" s="1"/>
  <c r="R236" i="199"/>
  <c r="N236" i="199"/>
  <c r="M236" i="199"/>
  <c r="S235" i="199"/>
  <c r="T235" i="199" s="1"/>
  <c r="F235" i="199" s="1"/>
  <c r="G235" i="199" s="1"/>
  <c r="R235" i="199"/>
  <c r="N235" i="199"/>
  <c r="M235" i="199"/>
  <c r="S234" i="199"/>
  <c r="T234" i="199" s="1"/>
  <c r="F234" i="199" s="1"/>
  <c r="G234" i="199" s="1"/>
  <c r="R234" i="199"/>
  <c r="N234" i="199"/>
  <c r="M234" i="199"/>
  <c r="S233" i="199"/>
  <c r="T233" i="199" s="1"/>
  <c r="F233" i="199" s="1"/>
  <c r="G233" i="199" s="1"/>
  <c r="R233" i="199"/>
  <c r="N233" i="199"/>
  <c r="M233" i="199"/>
  <c r="S232" i="199"/>
  <c r="T232" i="199" s="1"/>
  <c r="F232" i="199" s="1"/>
  <c r="G232" i="199" s="1"/>
  <c r="R232" i="199"/>
  <c r="N232" i="199"/>
  <c r="M232" i="199"/>
  <c r="S231" i="199"/>
  <c r="T231" i="199" s="1"/>
  <c r="F231" i="199" s="1"/>
  <c r="G231" i="199" s="1"/>
  <c r="R231" i="199"/>
  <c r="N231" i="199"/>
  <c r="M231" i="199"/>
  <c r="S230" i="199"/>
  <c r="T230" i="199" s="1"/>
  <c r="F230" i="199" s="1"/>
  <c r="G230" i="199" s="1"/>
  <c r="R230" i="199"/>
  <c r="N230" i="199"/>
  <c r="M230" i="199"/>
  <c r="S229" i="199"/>
  <c r="T229" i="199" s="1"/>
  <c r="F229" i="199" s="1"/>
  <c r="G229" i="199" s="1"/>
  <c r="R229" i="199"/>
  <c r="N229" i="199"/>
  <c r="M229" i="199"/>
  <c r="S228" i="199"/>
  <c r="T228" i="199" s="1"/>
  <c r="F228" i="199" s="1"/>
  <c r="G228" i="199" s="1"/>
  <c r="R228" i="199"/>
  <c r="N228" i="199"/>
  <c r="M228" i="199"/>
  <c r="S227" i="199"/>
  <c r="T227" i="199" s="1"/>
  <c r="F227" i="199" s="1"/>
  <c r="G227" i="199" s="1"/>
  <c r="R227" i="199"/>
  <c r="N227" i="199"/>
  <c r="M227" i="199"/>
  <c r="S226" i="199"/>
  <c r="T226" i="199" s="1"/>
  <c r="F226" i="199" s="1"/>
  <c r="G226" i="199" s="1"/>
  <c r="R226" i="199"/>
  <c r="N226" i="199"/>
  <c r="M226" i="199"/>
  <c r="S225" i="199"/>
  <c r="T225" i="199" s="1"/>
  <c r="F225" i="199" s="1"/>
  <c r="G225" i="199" s="1"/>
  <c r="R225" i="199"/>
  <c r="N225" i="199"/>
  <c r="M225" i="199"/>
  <c r="S224" i="199"/>
  <c r="T224" i="199" s="1"/>
  <c r="F224" i="199" s="1"/>
  <c r="G224" i="199" s="1"/>
  <c r="R224" i="199"/>
  <c r="N224" i="199"/>
  <c r="M224" i="199"/>
  <c r="S223" i="199"/>
  <c r="T223" i="199" s="1"/>
  <c r="F223" i="199" s="1"/>
  <c r="G223" i="199" s="1"/>
  <c r="R223" i="199"/>
  <c r="N223" i="199"/>
  <c r="M223" i="199"/>
  <c r="S222" i="199"/>
  <c r="T222" i="199" s="1"/>
  <c r="F222" i="199" s="1"/>
  <c r="G222" i="199" s="1"/>
  <c r="R222" i="199"/>
  <c r="N222" i="199"/>
  <c r="M222" i="199"/>
  <c r="S221" i="199"/>
  <c r="T221" i="199" s="1"/>
  <c r="F221" i="199" s="1"/>
  <c r="G221" i="199" s="1"/>
  <c r="R221" i="199"/>
  <c r="N221" i="199"/>
  <c r="M221" i="199"/>
  <c r="S220" i="199"/>
  <c r="T220" i="199" s="1"/>
  <c r="F220" i="199" s="1"/>
  <c r="G220" i="199" s="1"/>
  <c r="R220" i="199"/>
  <c r="N220" i="199"/>
  <c r="M220" i="199"/>
  <c r="S219" i="199"/>
  <c r="T219" i="199" s="1"/>
  <c r="F219" i="199" s="1"/>
  <c r="G219" i="199" s="1"/>
  <c r="R219" i="199"/>
  <c r="N219" i="199"/>
  <c r="M219" i="199"/>
  <c r="S218" i="199"/>
  <c r="T218" i="199" s="1"/>
  <c r="F218" i="199" s="1"/>
  <c r="G218" i="199" s="1"/>
  <c r="R218" i="199"/>
  <c r="N218" i="199"/>
  <c r="M218" i="199"/>
  <c r="S217" i="199"/>
  <c r="T217" i="199" s="1"/>
  <c r="F217" i="199" s="1"/>
  <c r="G217" i="199" s="1"/>
  <c r="R217" i="199"/>
  <c r="N217" i="199"/>
  <c r="M217" i="199"/>
  <c r="S216" i="199"/>
  <c r="T216" i="199" s="1"/>
  <c r="F216" i="199" s="1"/>
  <c r="G216" i="199" s="1"/>
  <c r="R216" i="199"/>
  <c r="N216" i="199"/>
  <c r="M216" i="199"/>
  <c r="S215" i="199"/>
  <c r="T215" i="199" s="1"/>
  <c r="F215" i="199" s="1"/>
  <c r="G215" i="199" s="1"/>
  <c r="R215" i="199"/>
  <c r="N215" i="199"/>
  <c r="M215" i="199"/>
  <c r="S214" i="199"/>
  <c r="T214" i="199" s="1"/>
  <c r="F214" i="199" s="1"/>
  <c r="G214" i="199" s="1"/>
  <c r="R214" i="199"/>
  <c r="N214" i="199"/>
  <c r="M214" i="199"/>
  <c r="S213" i="199"/>
  <c r="T213" i="199" s="1"/>
  <c r="F213" i="199" s="1"/>
  <c r="G213" i="199" s="1"/>
  <c r="R213" i="199"/>
  <c r="N213" i="199"/>
  <c r="M213" i="199"/>
  <c r="S212" i="199"/>
  <c r="T212" i="199" s="1"/>
  <c r="F212" i="199" s="1"/>
  <c r="G212" i="199" s="1"/>
  <c r="R212" i="199"/>
  <c r="N212" i="199"/>
  <c r="M212" i="199"/>
  <c r="S211" i="199"/>
  <c r="T211" i="199" s="1"/>
  <c r="F211" i="199" s="1"/>
  <c r="G211" i="199" s="1"/>
  <c r="R211" i="199"/>
  <c r="N211" i="199"/>
  <c r="M211" i="199"/>
  <c r="S210" i="199"/>
  <c r="T210" i="199" s="1"/>
  <c r="F210" i="199" s="1"/>
  <c r="G210" i="199" s="1"/>
  <c r="R210" i="199"/>
  <c r="N210" i="199"/>
  <c r="M210" i="199"/>
  <c r="S209" i="199"/>
  <c r="T209" i="199" s="1"/>
  <c r="F209" i="199" s="1"/>
  <c r="G209" i="199" s="1"/>
  <c r="R209" i="199"/>
  <c r="N209" i="199"/>
  <c r="M209" i="199"/>
  <c r="S208" i="199"/>
  <c r="T208" i="199" s="1"/>
  <c r="F208" i="199" s="1"/>
  <c r="G208" i="199" s="1"/>
  <c r="R208" i="199"/>
  <c r="N208" i="199"/>
  <c r="M208" i="199"/>
  <c r="S207" i="199"/>
  <c r="T207" i="199" s="1"/>
  <c r="F207" i="199" s="1"/>
  <c r="G207" i="199" s="1"/>
  <c r="R207" i="199"/>
  <c r="N207" i="199"/>
  <c r="M207" i="199"/>
  <c r="S206" i="199"/>
  <c r="T206" i="199" s="1"/>
  <c r="F206" i="199" s="1"/>
  <c r="G206" i="199" s="1"/>
  <c r="R206" i="199"/>
  <c r="N206" i="199"/>
  <c r="M206" i="199"/>
  <c r="S205" i="199"/>
  <c r="T205" i="199" s="1"/>
  <c r="F205" i="199" s="1"/>
  <c r="G205" i="199" s="1"/>
  <c r="R205" i="199"/>
  <c r="N205" i="199"/>
  <c r="M205" i="199"/>
  <c r="S204" i="199"/>
  <c r="T204" i="199" s="1"/>
  <c r="F204" i="199" s="1"/>
  <c r="G204" i="199" s="1"/>
  <c r="R204" i="199"/>
  <c r="N204" i="199"/>
  <c r="M204" i="199"/>
  <c r="S203" i="199"/>
  <c r="T203" i="199" s="1"/>
  <c r="F203" i="199" s="1"/>
  <c r="G203" i="199" s="1"/>
  <c r="R203" i="199"/>
  <c r="N203" i="199"/>
  <c r="M203" i="199"/>
  <c r="S202" i="199"/>
  <c r="T202" i="199" s="1"/>
  <c r="F202" i="199" s="1"/>
  <c r="G202" i="199" s="1"/>
  <c r="R202" i="199"/>
  <c r="N202" i="199"/>
  <c r="M202" i="199"/>
  <c r="S201" i="199"/>
  <c r="T201" i="199" s="1"/>
  <c r="F201" i="199" s="1"/>
  <c r="G201" i="199" s="1"/>
  <c r="R201" i="199"/>
  <c r="N201" i="199"/>
  <c r="M201" i="199"/>
  <c r="S200" i="199"/>
  <c r="T200" i="199" s="1"/>
  <c r="F200" i="199" s="1"/>
  <c r="G200" i="199" s="1"/>
  <c r="R200" i="199"/>
  <c r="N200" i="199"/>
  <c r="M200" i="199"/>
  <c r="S199" i="199"/>
  <c r="T199" i="199" s="1"/>
  <c r="F199" i="199" s="1"/>
  <c r="G199" i="199" s="1"/>
  <c r="R199" i="199"/>
  <c r="N199" i="199"/>
  <c r="M199" i="199"/>
  <c r="S198" i="199"/>
  <c r="T198" i="199" s="1"/>
  <c r="F198" i="199" s="1"/>
  <c r="G198" i="199" s="1"/>
  <c r="R198" i="199"/>
  <c r="N198" i="199"/>
  <c r="M198" i="199"/>
  <c r="S197" i="199"/>
  <c r="T197" i="199" s="1"/>
  <c r="F197" i="199" s="1"/>
  <c r="G197" i="199" s="1"/>
  <c r="R197" i="199"/>
  <c r="N197" i="199"/>
  <c r="M197" i="199"/>
  <c r="S196" i="199"/>
  <c r="T196" i="199" s="1"/>
  <c r="F196" i="199" s="1"/>
  <c r="G196" i="199" s="1"/>
  <c r="R196" i="199"/>
  <c r="N196" i="199"/>
  <c r="M196" i="199"/>
  <c r="S195" i="199"/>
  <c r="T195" i="199" s="1"/>
  <c r="F195" i="199" s="1"/>
  <c r="G195" i="199" s="1"/>
  <c r="R195" i="199"/>
  <c r="N195" i="199"/>
  <c r="M195" i="199"/>
  <c r="S194" i="199"/>
  <c r="T194" i="199" s="1"/>
  <c r="F194" i="199" s="1"/>
  <c r="G194" i="199" s="1"/>
  <c r="R194" i="199"/>
  <c r="N194" i="199"/>
  <c r="M194" i="199"/>
  <c r="S193" i="199"/>
  <c r="T193" i="199" s="1"/>
  <c r="F193" i="199" s="1"/>
  <c r="G193" i="199" s="1"/>
  <c r="R193" i="199"/>
  <c r="N193" i="199"/>
  <c r="M193" i="199"/>
  <c r="S192" i="199"/>
  <c r="T192" i="199" s="1"/>
  <c r="F192" i="199" s="1"/>
  <c r="G192" i="199" s="1"/>
  <c r="R192" i="199"/>
  <c r="N192" i="199"/>
  <c r="M192" i="199"/>
  <c r="S191" i="199"/>
  <c r="T191" i="199" s="1"/>
  <c r="F191" i="199" s="1"/>
  <c r="G191" i="199" s="1"/>
  <c r="R191" i="199"/>
  <c r="N191" i="199"/>
  <c r="M191" i="199"/>
  <c r="S190" i="199"/>
  <c r="T190" i="199" s="1"/>
  <c r="F190" i="199" s="1"/>
  <c r="G190" i="199" s="1"/>
  <c r="R190" i="199"/>
  <c r="N190" i="199"/>
  <c r="M190" i="199"/>
  <c r="S189" i="199"/>
  <c r="T189" i="199" s="1"/>
  <c r="F189" i="199" s="1"/>
  <c r="G189" i="199" s="1"/>
  <c r="R189" i="199"/>
  <c r="N189" i="199"/>
  <c r="M189" i="199"/>
  <c r="S188" i="199"/>
  <c r="T188" i="199" s="1"/>
  <c r="F188" i="199" s="1"/>
  <c r="G188" i="199" s="1"/>
  <c r="R188" i="199"/>
  <c r="N188" i="199"/>
  <c r="M188" i="199"/>
  <c r="S187" i="199"/>
  <c r="T187" i="199" s="1"/>
  <c r="F187" i="199" s="1"/>
  <c r="G187" i="199" s="1"/>
  <c r="R187" i="199"/>
  <c r="N187" i="199"/>
  <c r="M187" i="199"/>
  <c r="S186" i="199"/>
  <c r="T186" i="199" s="1"/>
  <c r="F186" i="199" s="1"/>
  <c r="G186" i="199" s="1"/>
  <c r="R186" i="199"/>
  <c r="N186" i="199"/>
  <c r="M186" i="199"/>
  <c r="S185" i="199"/>
  <c r="T185" i="199" s="1"/>
  <c r="F185" i="199" s="1"/>
  <c r="G185" i="199" s="1"/>
  <c r="R185" i="199"/>
  <c r="N185" i="199"/>
  <c r="M185" i="199"/>
  <c r="S184" i="199"/>
  <c r="T184" i="199" s="1"/>
  <c r="F184" i="199" s="1"/>
  <c r="G184" i="199" s="1"/>
  <c r="R184" i="199"/>
  <c r="N184" i="199"/>
  <c r="M184" i="199"/>
  <c r="S183" i="199"/>
  <c r="T183" i="199" s="1"/>
  <c r="F183" i="199" s="1"/>
  <c r="G183" i="199" s="1"/>
  <c r="R183" i="199"/>
  <c r="N183" i="199"/>
  <c r="M183" i="199"/>
  <c r="S182" i="199"/>
  <c r="T182" i="199" s="1"/>
  <c r="F182" i="199" s="1"/>
  <c r="G182" i="199" s="1"/>
  <c r="R182" i="199"/>
  <c r="N182" i="199"/>
  <c r="M182" i="199"/>
  <c r="S181" i="199"/>
  <c r="T181" i="199" s="1"/>
  <c r="F181" i="199" s="1"/>
  <c r="G181" i="199" s="1"/>
  <c r="R181" i="199"/>
  <c r="N181" i="199"/>
  <c r="M181" i="199"/>
  <c r="S180" i="199"/>
  <c r="T180" i="199" s="1"/>
  <c r="F180" i="199" s="1"/>
  <c r="G180" i="199" s="1"/>
  <c r="R180" i="199"/>
  <c r="N180" i="199"/>
  <c r="M180" i="199"/>
  <c r="S179" i="199"/>
  <c r="T179" i="199" s="1"/>
  <c r="F179" i="199" s="1"/>
  <c r="G179" i="199" s="1"/>
  <c r="R179" i="199"/>
  <c r="N179" i="199"/>
  <c r="M179" i="199"/>
  <c r="S178" i="199"/>
  <c r="T178" i="199" s="1"/>
  <c r="F178" i="199" s="1"/>
  <c r="G178" i="199" s="1"/>
  <c r="R178" i="199"/>
  <c r="N178" i="199"/>
  <c r="M178" i="199"/>
  <c r="S177" i="199"/>
  <c r="T177" i="199" s="1"/>
  <c r="F177" i="199" s="1"/>
  <c r="G177" i="199" s="1"/>
  <c r="R177" i="199"/>
  <c r="N177" i="199"/>
  <c r="M177" i="199"/>
  <c r="S176" i="199"/>
  <c r="T176" i="199" s="1"/>
  <c r="F176" i="199" s="1"/>
  <c r="G176" i="199" s="1"/>
  <c r="R176" i="199"/>
  <c r="N176" i="199"/>
  <c r="M176" i="199"/>
  <c r="S175" i="199"/>
  <c r="T175" i="199" s="1"/>
  <c r="F175" i="199" s="1"/>
  <c r="G175" i="199" s="1"/>
  <c r="R175" i="199"/>
  <c r="N175" i="199"/>
  <c r="M175" i="199"/>
  <c r="S174" i="199"/>
  <c r="T174" i="199" s="1"/>
  <c r="F174" i="199" s="1"/>
  <c r="G174" i="199" s="1"/>
  <c r="R174" i="199"/>
  <c r="N174" i="199"/>
  <c r="M174" i="199"/>
  <c r="S173" i="199"/>
  <c r="T173" i="199" s="1"/>
  <c r="F173" i="199" s="1"/>
  <c r="G173" i="199" s="1"/>
  <c r="R173" i="199"/>
  <c r="N173" i="199"/>
  <c r="M173" i="199"/>
  <c r="S172" i="199"/>
  <c r="T172" i="199" s="1"/>
  <c r="F172" i="199" s="1"/>
  <c r="G172" i="199" s="1"/>
  <c r="R172" i="199"/>
  <c r="N172" i="199"/>
  <c r="M172" i="199"/>
  <c r="S171" i="199"/>
  <c r="T171" i="199" s="1"/>
  <c r="F171" i="199" s="1"/>
  <c r="G171" i="199" s="1"/>
  <c r="R171" i="199"/>
  <c r="N171" i="199"/>
  <c r="M171" i="199"/>
  <c r="S170" i="199"/>
  <c r="T170" i="199" s="1"/>
  <c r="F170" i="199" s="1"/>
  <c r="G170" i="199" s="1"/>
  <c r="R170" i="199"/>
  <c r="N170" i="199"/>
  <c r="M170" i="199"/>
  <c r="S169" i="199"/>
  <c r="T169" i="199" s="1"/>
  <c r="F169" i="199" s="1"/>
  <c r="G169" i="199" s="1"/>
  <c r="R169" i="199"/>
  <c r="N169" i="199"/>
  <c r="M169" i="199"/>
  <c r="S168" i="199"/>
  <c r="T168" i="199" s="1"/>
  <c r="F168" i="199" s="1"/>
  <c r="G168" i="199" s="1"/>
  <c r="R168" i="199"/>
  <c r="N168" i="199"/>
  <c r="M168" i="199"/>
  <c r="S167" i="199"/>
  <c r="T167" i="199" s="1"/>
  <c r="F167" i="199" s="1"/>
  <c r="G167" i="199" s="1"/>
  <c r="R167" i="199"/>
  <c r="N167" i="199"/>
  <c r="M167" i="199"/>
  <c r="T166" i="199"/>
  <c r="F166" i="199" s="1"/>
  <c r="G166" i="199" s="1"/>
  <c r="S166" i="199"/>
  <c r="R166" i="199"/>
  <c r="N166" i="199"/>
  <c r="M166" i="199"/>
  <c r="S165" i="199"/>
  <c r="T165" i="199" s="1"/>
  <c r="F165" i="199" s="1"/>
  <c r="G165" i="199" s="1"/>
  <c r="R165" i="199"/>
  <c r="N165" i="199"/>
  <c r="M165" i="199"/>
  <c r="S164" i="199"/>
  <c r="T164" i="199" s="1"/>
  <c r="F164" i="199" s="1"/>
  <c r="G164" i="199" s="1"/>
  <c r="R164" i="199"/>
  <c r="N164" i="199"/>
  <c r="M164" i="199"/>
  <c r="S163" i="199"/>
  <c r="T163" i="199" s="1"/>
  <c r="F163" i="199" s="1"/>
  <c r="G163" i="199" s="1"/>
  <c r="R163" i="199"/>
  <c r="N163" i="199"/>
  <c r="M163" i="199"/>
  <c r="S162" i="199"/>
  <c r="T162" i="199" s="1"/>
  <c r="F162" i="199" s="1"/>
  <c r="G162" i="199" s="1"/>
  <c r="R162" i="199"/>
  <c r="N162" i="199"/>
  <c r="M162" i="199"/>
  <c r="S161" i="199"/>
  <c r="T161" i="199" s="1"/>
  <c r="F161" i="199" s="1"/>
  <c r="G161" i="199" s="1"/>
  <c r="R161" i="199"/>
  <c r="N161" i="199"/>
  <c r="M161" i="199"/>
  <c r="S160" i="199"/>
  <c r="T160" i="199" s="1"/>
  <c r="F160" i="199" s="1"/>
  <c r="G160" i="199" s="1"/>
  <c r="R160" i="199"/>
  <c r="N160" i="199"/>
  <c r="M160" i="199"/>
  <c r="S159" i="199"/>
  <c r="T159" i="199" s="1"/>
  <c r="F159" i="199" s="1"/>
  <c r="G159" i="199" s="1"/>
  <c r="R159" i="199"/>
  <c r="N159" i="199"/>
  <c r="M159" i="199"/>
  <c r="S158" i="199"/>
  <c r="T158" i="199" s="1"/>
  <c r="F158" i="199" s="1"/>
  <c r="G158" i="199" s="1"/>
  <c r="R158" i="199"/>
  <c r="N158" i="199"/>
  <c r="M158" i="199"/>
  <c r="S157" i="199"/>
  <c r="T157" i="199" s="1"/>
  <c r="F157" i="199" s="1"/>
  <c r="G157" i="199" s="1"/>
  <c r="R157" i="199"/>
  <c r="N157" i="199"/>
  <c r="M157" i="199"/>
  <c r="S156" i="199"/>
  <c r="T156" i="199" s="1"/>
  <c r="F156" i="199" s="1"/>
  <c r="G156" i="199" s="1"/>
  <c r="R156" i="199"/>
  <c r="N156" i="199"/>
  <c r="M156" i="199"/>
  <c r="S155" i="199"/>
  <c r="T155" i="199" s="1"/>
  <c r="F155" i="199" s="1"/>
  <c r="G155" i="199" s="1"/>
  <c r="R155" i="199"/>
  <c r="N155" i="199"/>
  <c r="M155" i="199"/>
  <c r="S154" i="199"/>
  <c r="T154" i="199" s="1"/>
  <c r="F154" i="199" s="1"/>
  <c r="G154" i="199" s="1"/>
  <c r="R154" i="199"/>
  <c r="N154" i="199"/>
  <c r="M154" i="199"/>
  <c r="S153" i="199"/>
  <c r="T153" i="199" s="1"/>
  <c r="F153" i="199" s="1"/>
  <c r="G153" i="199" s="1"/>
  <c r="R153" i="199"/>
  <c r="N153" i="199"/>
  <c r="M153" i="199"/>
  <c r="S152" i="199"/>
  <c r="T152" i="199" s="1"/>
  <c r="F152" i="199" s="1"/>
  <c r="G152" i="199" s="1"/>
  <c r="R152" i="199"/>
  <c r="N152" i="199"/>
  <c r="M152" i="199"/>
  <c r="S151" i="199"/>
  <c r="T151" i="199" s="1"/>
  <c r="F151" i="199" s="1"/>
  <c r="G151" i="199" s="1"/>
  <c r="R151" i="199"/>
  <c r="N151" i="199"/>
  <c r="M151" i="199"/>
  <c r="T150" i="199"/>
  <c r="F150" i="199" s="1"/>
  <c r="G150" i="199" s="1"/>
  <c r="S150" i="199"/>
  <c r="R150" i="199"/>
  <c r="N150" i="199"/>
  <c r="M150" i="199"/>
  <c r="S149" i="199"/>
  <c r="T149" i="199" s="1"/>
  <c r="F149" i="199" s="1"/>
  <c r="G149" i="199" s="1"/>
  <c r="R149" i="199"/>
  <c r="N149" i="199"/>
  <c r="M149" i="199"/>
  <c r="S148" i="199"/>
  <c r="T148" i="199" s="1"/>
  <c r="F148" i="199" s="1"/>
  <c r="G148" i="199" s="1"/>
  <c r="R148" i="199"/>
  <c r="N148" i="199"/>
  <c r="M148" i="199"/>
  <c r="S147" i="199"/>
  <c r="T147" i="199" s="1"/>
  <c r="F147" i="199" s="1"/>
  <c r="G147" i="199" s="1"/>
  <c r="R147" i="199"/>
  <c r="N147" i="199"/>
  <c r="M147" i="199"/>
  <c r="S146" i="199"/>
  <c r="T146" i="199" s="1"/>
  <c r="F146" i="199" s="1"/>
  <c r="G146" i="199" s="1"/>
  <c r="R146" i="199"/>
  <c r="N146" i="199"/>
  <c r="M146" i="199"/>
  <c r="S145" i="199"/>
  <c r="T145" i="199" s="1"/>
  <c r="F145" i="199" s="1"/>
  <c r="G145" i="199" s="1"/>
  <c r="R145" i="199"/>
  <c r="N145" i="199"/>
  <c r="M145" i="199"/>
  <c r="S144" i="199"/>
  <c r="T144" i="199" s="1"/>
  <c r="F144" i="199" s="1"/>
  <c r="G144" i="199" s="1"/>
  <c r="R144" i="199"/>
  <c r="N144" i="199"/>
  <c r="M144" i="199"/>
  <c r="S143" i="199"/>
  <c r="T143" i="199" s="1"/>
  <c r="F143" i="199" s="1"/>
  <c r="G143" i="199" s="1"/>
  <c r="R143" i="199"/>
  <c r="N143" i="199"/>
  <c r="M143" i="199"/>
  <c r="S142" i="199"/>
  <c r="T142" i="199" s="1"/>
  <c r="F142" i="199" s="1"/>
  <c r="G142" i="199" s="1"/>
  <c r="R142" i="199"/>
  <c r="N142" i="199"/>
  <c r="M142" i="199"/>
  <c r="S141" i="199"/>
  <c r="T141" i="199" s="1"/>
  <c r="F141" i="199" s="1"/>
  <c r="G141" i="199" s="1"/>
  <c r="R141" i="199"/>
  <c r="N141" i="199"/>
  <c r="M141" i="199"/>
  <c r="S140" i="199"/>
  <c r="T140" i="199" s="1"/>
  <c r="F140" i="199" s="1"/>
  <c r="G140" i="199" s="1"/>
  <c r="R140" i="199"/>
  <c r="N140" i="199"/>
  <c r="M140" i="199"/>
  <c r="S139" i="199"/>
  <c r="T139" i="199" s="1"/>
  <c r="F139" i="199" s="1"/>
  <c r="G139" i="199" s="1"/>
  <c r="R139" i="199"/>
  <c r="N139" i="199"/>
  <c r="M139" i="199"/>
  <c r="S138" i="199"/>
  <c r="T138" i="199" s="1"/>
  <c r="F138" i="199" s="1"/>
  <c r="G138" i="199" s="1"/>
  <c r="R138" i="199"/>
  <c r="N138" i="199"/>
  <c r="M138" i="199"/>
  <c r="S137" i="199"/>
  <c r="T137" i="199" s="1"/>
  <c r="F137" i="199" s="1"/>
  <c r="G137" i="199" s="1"/>
  <c r="R137" i="199"/>
  <c r="N137" i="199"/>
  <c r="M137" i="199"/>
  <c r="S136" i="199"/>
  <c r="T136" i="199" s="1"/>
  <c r="F136" i="199" s="1"/>
  <c r="G136" i="199" s="1"/>
  <c r="R136" i="199"/>
  <c r="N136" i="199"/>
  <c r="M136" i="199"/>
  <c r="S135" i="199"/>
  <c r="T135" i="199" s="1"/>
  <c r="F135" i="199" s="1"/>
  <c r="G135" i="199" s="1"/>
  <c r="R135" i="199"/>
  <c r="N135" i="199"/>
  <c r="M135" i="199"/>
  <c r="S134" i="199"/>
  <c r="T134" i="199" s="1"/>
  <c r="F134" i="199" s="1"/>
  <c r="G134" i="199" s="1"/>
  <c r="R134" i="199"/>
  <c r="N134" i="199"/>
  <c r="M134" i="199"/>
  <c r="S133" i="199"/>
  <c r="T133" i="199" s="1"/>
  <c r="F133" i="199" s="1"/>
  <c r="G133" i="199" s="1"/>
  <c r="R133" i="199"/>
  <c r="N133" i="199"/>
  <c r="M133" i="199"/>
  <c r="S132" i="199"/>
  <c r="T132" i="199" s="1"/>
  <c r="F132" i="199" s="1"/>
  <c r="G132" i="199" s="1"/>
  <c r="R132" i="199"/>
  <c r="N132" i="199"/>
  <c r="M132" i="199"/>
  <c r="S131" i="199"/>
  <c r="T131" i="199" s="1"/>
  <c r="F131" i="199" s="1"/>
  <c r="G131" i="199" s="1"/>
  <c r="R131" i="199"/>
  <c r="N131" i="199"/>
  <c r="M131" i="199"/>
  <c r="S130" i="199"/>
  <c r="T130" i="199" s="1"/>
  <c r="F130" i="199" s="1"/>
  <c r="G130" i="199" s="1"/>
  <c r="R130" i="199"/>
  <c r="N130" i="199"/>
  <c r="M130" i="199"/>
  <c r="S129" i="199"/>
  <c r="T129" i="199" s="1"/>
  <c r="F129" i="199" s="1"/>
  <c r="G129" i="199" s="1"/>
  <c r="R129" i="199"/>
  <c r="N129" i="199"/>
  <c r="M129" i="199"/>
  <c r="S128" i="199"/>
  <c r="T128" i="199" s="1"/>
  <c r="F128" i="199" s="1"/>
  <c r="G128" i="199" s="1"/>
  <c r="R128" i="199"/>
  <c r="N128" i="199"/>
  <c r="M128" i="199"/>
  <c r="S127" i="199"/>
  <c r="T127" i="199" s="1"/>
  <c r="F127" i="199" s="1"/>
  <c r="G127" i="199" s="1"/>
  <c r="R127" i="199"/>
  <c r="N127" i="199"/>
  <c r="M127" i="199"/>
  <c r="S126" i="199"/>
  <c r="T126" i="199" s="1"/>
  <c r="F126" i="199" s="1"/>
  <c r="G126" i="199" s="1"/>
  <c r="R126" i="199"/>
  <c r="N126" i="199"/>
  <c r="M126" i="199"/>
  <c r="S125" i="199"/>
  <c r="T125" i="199" s="1"/>
  <c r="F125" i="199" s="1"/>
  <c r="G125" i="199" s="1"/>
  <c r="R125" i="199"/>
  <c r="N125" i="199"/>
  <c r="M125" i="199"/>
  <c r="S124" i="199"/>
  <c r="T124" i="199" s="1"/>
  <c r="F124" i="199" s="1"/>
  <c r="G124" i="199" s="1"/>
  <c r="R124" i="199"/>
  <c r="N124" i="199"/>
  <c r="M124" i="199"/>
  <c r="S123" i="199"/>
  <c r="T123" i="199" s="1"/>
  <c r="F123" i="199" s="1"/>
  <c r="G123" i="199" s="1"/>
  <c r="R123" i="199"/>
  <c r="N123" i="199"/>
  <c r="M123" i="199"/>
  <c r="T122" i="199"/>
  <c r="F122" i="199" s="1"/>
  <c r="G122" i="199" s="1"/>
  <c r="S122" i="199"/>
  <c r="R122" i="199"/>
  <c r="N122" i="199"/>
  <c r="M122" i="199"/>
  <c r="S121" i="199"/>
  <c r="T121" i="199" s="1"/>
  <c r="F121" i="199" s="1"/>
  <c r="G121" i="199" s="1"/>
  <c r="R121" i="199"/>
  <c r="N121" i="199"/>
  <c r="M121" i="199"/>
  <c r="S119" i="199"/>
  <c r="T119" i="199" s="1"/>
  <c r="F119" i="199" s="1"/>
  <c r="G119" i="199" s="1"/>
  <c r="R119" i="199"/>
  <c r="N119" i="199"/>
  <c r="M119" i="199"/>
  <c r="S118" i="199"/>
  <c r="T118" i="199" s="1"/>
  <c r="F118" i="199" s="1"/>
  <c r="G118" i="199" s="1"/>
  <c r="R118" i="199"/>
  <c r="N118" i="199"/>
  <c r="M118" i="199"/>
  <c r="S117" i="199"/>
  <c r="T117" i="199" s="1"/>
  <c r="F117" i="199" s="1"/>
  <c r="G117" i="199" s="1"/>
  <c r="R117" i="199"/>
  <c r="N117" i="199"/>
  <c r="M117" i="199"/>
  <c r="S116" i="199"/>
  <c r="T116" i="199" s="1"/>
  <c r="F116" i="199" s="1"/>
  <c r="G116" i="199" s="1"/>
  <c r="R116" i="199"/>
  <c r="N116" i="199"/>
  <c r="M116" i="199"/>
  <c r="S115" i="199"/>
  <c r="T115" i="199" s="1"/>
  <c r="F115" i="199" s="1"/>
  <c r="G115" i="199" s="1"/>
  <c r="R115" i="199"/>
  <c r="N115" i="199"/>
  <c r="M115" i="199"/>
  <c r="S114" i="199"/>
  <c r="T114" i="199" s="1"/>
  <c r="F114" i="199" s="1"/>
  <c r="G114" i="199" s="1"/>
  <c r="R114" i="199"/>
  <c r="N114" i="199"/>
  <c r="M114" i="199"/>
  <c r="S113" i="199"/>
  <c r="T113" i="199" s="1"/>
  <c r="F113" i="199" s="1"/>
  <c r="G113" i="199" s="1"/>
  <c r="R113" i="199"/>
  <c r="N113" i="199"/>
  <c r="M113" i="199"/>
  <c r="S112" i="199"/>
  <c r="T112" i="199" s="1"/>
  <c r="F112" i="199" s="1"/>
  <c r="G112" i="199" s="1"/>
  <c r="R112" i="199"/>
  <c r="N112" i="199"/>
  <c r="M112" i="199"/>
  <c r="S111" i="199"/>
  <c r="T111" i="199" s="1"/>
  <c r="F111" i="199" s="1"/>
  <c r="G111" i="199" s="1"/>
  <c r="R111" i="199"/>
  <c r="N111" i="199"/>
  <c r="M111" i="199"/>
  <c r="S110" i="199"/>
  <c r="T110" i="199" s="1"/>
  <c r="F110" i="199" s="1"/>
  <c r="G110" i="199" s="1"/>
  <c r="R110" i="199"/>
  <c r="N110" i="199"/>
  <c r="M110" i="199"/>
  <c r="S109" i="199"/>
  <c r="T109" i="199" s="1"/>
  <c r="F109" i="199" s="1"/>
  <c r="G109" i="199" s="1"/>
  <c r="R109" i="199"/>
  <c r="N109" i="199"/>
  <c r="M109" i="199"/>
  <c r="S108" i="199"/>
  <c r="T108" i="199" s="1"/>
  <c r="F108" i="199" s="1"/>
  <c r="G108" i="199" s="1"/>
  <c r="R108" i="199"/>
  <c r="N108" i="199"/>
  <c r="M108" i="199"/>
  <c r="S107" i="199"/>
  <c r="T107" i="199" s="1"/>
  <c r="F107" i="199" s="1"/>
  <c r="G107" i="199" s="1"/>
  <c r="R107" i="199"/>
  <c r="N107" i="199"/>
  <c r="M107" i="199"/>
  <c r="S105" i="199"/>
  <c r="T105" i="199" s="1"/>
  <c r="F105" i="199" s="1"/>
  <c r="G105" i="199" s="1"/>
  <c r="R105" i="199"/>
  <c r="N105" i="199"/>
  <c r="M105" i="199"/>
  <c r="S104" i="199"/>
  <c r="T104" i="199" s="1"/>
  <c r="F104" i="199" s="1"/>
  <c r="G104" i="199" s="1"/>
  <c r="R104" i="199"/>
  <c r="N104" i="199"/>
  <c r="M104" i="199"/>
  <c r="S103" i="199"/>
  <c r="T103" i="199" s="1"/>
  <c r="F103" i="199" s="1"/>
  <c r="G103" i="199" s="1"/>
  <c r="R103" i="199"/>
  <c r="N103" i="199"/>
  <c r="M103" i="199"/>
  <c r="S102" i="199"/>
  <c r="T102" i="199" s="1"/>
  <c r="F102" i="199" s="1"/>
  <c r="G102" i="199" s="1"/>
  <c r="R102" i="199"/>
  <c r="N102" i="199"/>
  <c r="M102" i="199"/>
  <c r="S101" i="199"/>
  <c r="T101" i="199" s="1"/>
  <c r="F101" i="199" s="1"/>
  <c r="G101" i="199" s="1"/>
  <c r="R101" i="199"/>
  <c r="N101" i="199"/>
  <c r="M101" i="199"/>
  <c r="S100" i="199"/>
  <c r="T100" i="199" s="1"/>
  <c r="F100" i="199" s="1"/>
  <c r="G100" i="199" s="1"/>
  <c r="R100" i="199"/>
  <c r="N100" i="199"/>
  <c r="M100" i="199"/>
  <c r="S99" i="199"/>
  <c r="T99" i="199" s="1"/>
  <c r="F99" i="199" s="1"/>
  <c r="G99" i="199" s="1"/>
  <c r="R99" i="199"/>
  <c r="N99" i="199"/>
  <c r="M99" i="199"/>
  <c r="S98" i="199"/>
  <c r="T98" i="199" s="1"/>
  <c r="F98" i="199" s="1"/>
  <c r="G98" i="199" s="1"/>
  <c r="R98" i="199"/>
  <c r="N98" i="199"/>
  <c r="M98" i="199"/>
  <c r="S97" i="199"/>
  <c r="T97" i="199" s="1"/>
  <c r="F97" i="199" s="1"/>
  <c r="G97" i="199" s="1"/>
  <c r="R97" i="199"/>
  <c r="N97" i="199"/>
  <c r="M97" i="199"/>
  <c r="S96" i="199"/>
  <c r="T96" i="199" s="1"/>
  <c r="F96" i="199" s="1"/>
  <c r="G96" i="199" s="1"/>
  <c r="R96" i="199"/>
  <c r="N96" i="199"/>
  <c r="M96" i="199"/>
  <c r="S95" i="199"/>
  <c r="T95" i="199" s="1"/>
  <c r="F95" i="199" s="1"/>
  <c r="G95" i="199" s="1"/>
  <c r="R95" i="199"/>
  <c r="N95" i="199"/>
  <c r="M95" i="199"/>
  <c r="S94" i="199"/>
  <c r="T94" i="199" s="1"/>
  <c r="F94" i="199" s="1"/>
  <c r="G94" i="199" s="1"/>
  <c r="R94" i="199"/>
  <c r="N94" i="199"/>
  <c r="M94" i="199"/>
  <c r="S93" i="199"/>
  <c r="T93" i="199" s="1"/>
  <c r="F93" i="199" s="1"/>
  <c r="G93" i="199" s="1"/>
  <c r="R93" i="199"/>
  <c r="N93" i="199"/>
  <c r="M93" i="199"/>
  <c r="S92" i="199"/>
  <c r="T92" i="199" s="1"/>
  <c r="F92" i="199" s="1"/>
  <c r="G92" i="199" s="1"/>
  <c r="R92" i="199"/>
  <c r="N92" i="199"/>
  <c r="M92" i="199"/>
  <c r="S90" i="199"/>
  <c r="T90" i="199" s="1"/>
  <c r="F90" i="199" s="1"/>
  <c r="G90" i="199" s="1"/>
  <c r="R90" i="199"/>
  <c r="N90" i="199"/>
  <c r="M90" i="199"/>
  <c r="S89" i="199"/>
  <c r="T89" i="199" s="1"/>
  <c r="F89" i="199" s="1"/>
  <c r="G89" i="199" s="1"/>
  <c r="R89" i="199"/>
  <c r="N89" i="199"/>
  <c r="M89" i="199"/>
  <c r="S88" i="199"/>
  <c r="T88" i="199" s="1"/>
  <c r="F88" i="199" s="1"/>
  <c r="G88" i="199" s="1"/>
  <c r="R88" i="199"/>
  <c r="N88" i="199"/>
  <c r="M88" i="199"/>
  <c r="S87" i="199"/>
  <c r="T87" i="199" s="1"/>
  <c r="F87" i="199" s="1"/>
  <c r="G87" i="199" s="1"/>
  <c r="R87" i="199"/>
  <c r="N87" i="199"/>
  <c r="M87" i="199"/>
  <c r="S86" i="199"/>
  <c r="T86" i="199" s="1"/>
  <c r="F86" i="199" s="1"/>
  <c r="G86" i="199" s="1"/>
  <c r="R86" i="199"/>
  <c r="N86" i="199"/>
  <c r="M86" i="199"/>
  <c r="S85" i="199"/>
  <c r="T85" i="199" s="1"/>
  <c r="F85" i="199" s="1"/>
  <c r="G85" i="199" s="1"/>
  <c r="R85" i="199"/>
  <c r="N85" i="199"/>
  <c r="M85" i="199"/>
  <c r="S84" i="199"/>
  <c r="T84" i="199" s="1"/>
  <c r="F84" i="199" s="1"/>
  <c r="G84" i="199" s="1"/>
  <c r="R84" i="199"/>
  <c r="N84" i="199"/>
  <c r="M84" i="199"/>
  <c r="S83" i="199"/>
  <c r="T83" i="199" s="1"/>
  <c r="F83" i="199" s="1"/>
  <c r="G83" i="199" s="1"/>
  <c r="R83" i="199"/>
  <c r="N83" i="199"/>
  <c r="M83" i="199"/>
  <c r="S82" i="199"/>
  <c r="T82" i="199" s="1"/>
  <c r="F82" i="199" s="1"/>
  <c r="G82" i="199" s="1"/>
  <c r="R82" i="199"/>
  <c r="N82" i="199"/>
  <c r="M82" i="199"/>
  <c r="S81" i="199"/>
  <c r="T81" i="199" s="1"/>
  <c r="F81" i="199" s="1"/>
  <c r="G81" i="199" s="1"/>
  <c r="R81" i="199"/>
  <c r="N81" i="199"/>
  <c r="M81" i="199"/>
  <c r="S80" i="199"/>
  <c r="T80" i="199" s="1"/>
  <c r="F80" i="199" s="1"/>
  <c r="G80" i="199" s="1"/>
  <c r="R80" i="199"/>
  <c r="N80" i="199"/>
  <c r="M80" i="199"/>
  <c r="S79" i="199"/>
  <c r="T79" i="199" s="1"/>
  <c r="R79" i="199"/>
  <c r="N79" i="199"/>
  <c r="M79" i="199"/>
  <c r="F79" i="199"/>
  <c r="G79" i="199" s="1"/>
  <c r="S78" i="199"/>
  <c r="T78" i="199" s="1"/>
  <c r="F78" i="199" s="1"/>
  <c r="G78" i="199" s="1"/>
  <c r="R78" i="199"/>
  <c r="N78" i="199"/>
  <c r="M78" i="199"/>
  <c r="S77" i="199"/>
  <c r="T77" i="199" s="1"/>
  <c r="F77" i="199" s="1"/>
  <c r="G77" i="199" s="1"/>
  <c r="R77" i="199"/>
  <c r="N77" i="199"/>
  <c r="M77" i="199"/>
  <c r="S76" i="199"/>
  <c r="T76" i="199" s="1"/>
  <c r="F76" i="199" s="1"/>
  <c r="G76" i="199" s="1"/>
  <c r="R76" i="199"/>
  <c r="N76" i="199"/>
  <c r="M76" i="199"/>
  <c r="S73" i="199"/>
  <c r="R73" i="199"/>
  <c r="T73" i="199" s="1"/>
  <c r="F73" i="199" s="1"/>
  <c r="G73" i="199" s="1"/>
  <c r="N73" i="199"/>
  <c r="M73" i="199"/>
  <c r="S72" i="199"/>
  <c r="R72" i="199"/>
  <c r="T72" i="199" s="1"/>
  <c r="F72" i="199" s="1"/>
  <c r="G72" i="199" s="1"/>
  <c r="N72" i="199"/>
  <c r="M72" i="199"/>
  <c r="S71" i="199"/>
  <c r="R71" i="199"/>
  <c r="T71" i="199" s="1"/>
  <c r="F71" i="199" s="1"/>
  <c r="G71" i="199" s="1"/>
  <c r="N71" i="199"/>
  <c r="M71" i="199"/>
  <c r="S70" i="199"/>
  <c r="R70" i="199"/>
  <c r="T70" i="199" s="1"/>
  <c r="F70" i="199" s="1"/>
  <c r="G70" i="199" s="1"/>
  <c r="N70" i="199"/>
  <c r="M70" i="199"/>
  <c r="S69" i="199"/>
  <c r="R69" i="199"/>
  <c r="T69" i="199" s="1"/>
  <c r="F69" i="199" s="1"/>
  <c r="G69" i="199" s="1"/>
  <c r="N69" i="199"/>
  <c r="M69" i="199"/>
  <c r="T68" i="199"/>
  <c r="F68" i="199" s="1"/>
  <c r="G68" i="199" s="1"/>
  <c r="S68" i="199"/>
  <c r="R68" i="199"/>
  <c r="N68" i="199"/>
  <c r="M68" i="199"/>
  <c r="S67" i="199"/>
  <c r="R67" i="199"/>
  <c r="T67" i="199" s="1"/>
  <c r="F67" i="199" s="1"/>
  <c r="G67" i="199" s="1"/>
  <c r="N67" i="199"/>
  <c r="M67" i="199"/>
  <c r="S66" i="199"/>
  <c r="R66" i="199"/>
  <c r="T66" i="199" s="1"/>
  <c r="F66" i="199" s="1"/>
  <c r="G66" i="199" s="1"/>
  <c r="N66" i="199"/>
  <c r="M66" i="199"/>
  <c r="S65" i="199"/>
  <c r="R65" i="199"/>
  <c r="T65" i="199" s="1"/>
  <c r="F65" i="199" s="1"/>
  <c r="G65" i="199" s="1"/>
  <c r="N65" i="199"/>
  <c r="M65" i="199"/>
  <c r="T64" i="199"/>
  <c r="F64" i="199" s="1"/>
  <c r="G64" i="199" s="1"/>
  <c r="S64" i="199"/>
  <c r="R64" i="199"/>
  <c r="N64" i="199"/>
  <c r="M64" i="199"/>
  <c r="S63" i="199"/>
  <c r="R63" i="199"/>
  <c r="T63" i="199" s="1"/>
  <c r="F63" i="199" s="1"/>
  <c r="G63" i="199" s="1"/>
  <c r="N63" i="199"/>
  <c r="M63" i="199"/>
  <c r="S62" i="199"/>
  <c r="R62" i="199"/>
  <c r="T62" i="199" s="1"/>
  <c r="F62" i="199" s="1"/>
  <c r="G62" i="199" s="1"/>
  <c r="N62" i="199"/>
  <c r="M62" i="199"/>
  <c r="S61" i="199"/>
  <c r="R61" i="199"/>
  <c r="T61" i="199" s="1"/>
  <c r="F61" i="199" s="1"/>
  <c r="G61" i="199" s="1"/>
  <c r="N61" i="199"/>
  <c r="M61" i="199"/>
  <c r="S60" i="199"/>
  <c r="R60" i="199"/>
  <c r="T60" i="199" s="1"/>
  <c r="F60" i="199" s="1"/>
  <c r="G60" i="199" s="1"/>
  <c r="N60" i="199"/>
  <c r="M60" i="199"/>
  <c r="S59" i="199"/>
  <c r="R59" i="199"/>
  <c r="T59" i="199" s="1"/>
  <c r="F59" i="199" s="1"/>
  <c r="G59" i="199" s="1"/>
  <c r="N59" i="199"/>
  <c r="M59" i="199"/>
  <c r="S58" i="199"/>
  <c r="R58" i="199"/>
  <c r="T58" i="199" s="1"/>
  <c r="F58" i="199" s="1"/>
  <c r="G58" i="199" s="1"/>
  <c r="N58" i="199"/>
  <c r="M58" i="199"/>
  <c r="S57" i="199"/>
  <c r="R57" i="199"/>
  <c r="T57" i="199" s="1"/>
  <c r="F57" i="199" s="1"/>
  <c r="G57" i="199" s="1"/>
  <c r="N57" i="199"/>
  <c r="M57" i="199"/>
  <c r="S56" i="199"/>
  <c r="R56" i="199"/>
  <c r="T56" i="199" s="1"/>
  <c r="F56" i="199" s="1"/>
  <c r="G56" i="199" s="1"/>
  <c r="N56" i="199"/>
  <c r="M56" i="199"/>
  <c r="S55" i="199"/>
  <c r="R55" i="199"/>
  <c r="T55" i="199" s="1"/>
  <c r="F55" i="199" s="1"/>
  <c r="G55" i="199" s="1"/>
  <c r="N55" i="199"/>
  <c r="M55" i="199"/>
  <c r="S54" i="199"/>
  <c r="R54" i="199"/>
  <c r="T54" i="199" s="1"/>
  <c r="F54" i="199" s="1"/>
  <c r="G54" i="199" s="1"/>
  <c r="N54" i="199"/>
  <c r="M54" i="199"/>
  <c r="S53" i="199"/>
  <c r="R53" i="199"/>
  <c r="T53" i="199" s="1"/>
  <c r="F53" i="199" s="1"/>
  <c r="G53" i="199" s="1"/>
  <c r="N53" i="199"/>
  <c r="M53" i="199"/>
  <c r="S52" i="199"/>
  <c r="R52" i="199"/>
  <c r="T52" i="199" s="1"/>
  <c r="F52" i="199" s="1"/>
  <c r="G52" i="199" s="1"/>
  <c r="N52" i="199"/>
  <c r="M52" i="199"/>
  <c r="S51" i="199"/>
  <c r="R51" i="199"/>
  <c r="T51" i="199" s="1"/>
  <c r="F51" i="199" s="1"/>
  <c r="G51" i="199" s="1"/>
  <c r="N51" i="199"/>
  <c r="M51" i="199"/>
  <c r="S50" i="199"/>
  <c r="R50" i="199"/>
  <c r="T50" i="199" s="1"/>
  <c r="F50" i="199" s="1"/>
  <c r="G50" i="199" s="1"/>
  <c r="N50" i="199"/>
  <c r="M50" i="199"/>
  <c r="S49" i="199"/>
  <c r="R49" i="199"/>
  <c r="T49" i="199" s="1"/>
  <c r="F49" i="199" s="1"/>
  <c r="G49" i="199" s="1"/>
  <c r="N49" i="199"/>
  <c r="M49" i="199"/>
  <c r="S48" i="199"/>
  <c r="R48" i="199"/>
  <c r="T48" i="199" s="1"/>
  <c r="F48" i="199" s="1"/>
  <c r="G48" i="199" s="1"/>
  <c r="N48" i="199"/>
  <c r="M48" i="199"/>
  <c r="S47" i="199"/>
  <c r="R47" i="199"/>
  <c r="T47" i="199" s="1"/>
  <c r="F47" i="199" s="1"/>
  <c r="G47" i="199" s="1"/>
  <c r="N47" i="199"/>
  <c r="M47" i="199"/>
  <c r="S46" i="199"/>
  <c r="R46" i="199"/>
  <c r="T46" i="199" s="1"/>
  <c r="F46" i="199" s="1"/>
  <c r="G46" i="199" s="1"/>
  <c r="N46" i="199"/>
  <c r="M46" i="199"/>
  <c r="S45" i="199"/>
  <c r="R45" i="199"/>
  <c r="T45" i="199" s="1"/>
  <c r="F45" i="199" s="1"/>
  <c r="G45" i="199" s="1"/>
  <c r="N45" i="199"/>
  <c r="M45" i="199"/>
  <c r="S44" i="199"/>
  <c r="R44" i="199"/>
  <c r="T44" i="199" s="1"/>
  <c r="F44" i="199" s="1"/>
  <c r="G44" i="199" s="1"/>
  <c r="N44" i="199"/>
  <c r="M44" i="199"/>
  <c r="S43" i="199"/>
  <c r="R43" i="199"/>
  <c r="T43" i="199" s="1"/>
  <c r="F43" i="199" s="1"/>
  <c r="G43" i="199" s="1"/>
  <c r="N43" i="199"/>
  <c r="M43" i="199"/>
  <c r="S42" i="199"/>
  <c r="R42" i="199"/>
  <c r="T42" i="199" s="1"/>
  <c r="F42" i="199" s="1"/>
  <c r="G42" i="199" s="1"/>
  <c r="N42" i="199"/>
  <c r="M42" i="199"/>
  <c r="N41" i="199"/>
  <c r="O41" i="199" s="1"/>
  <c r="M41" i="199"/>
  <c r="S40" i="199"/>
  <c r="R40" i="199"/>
  <c r="T40" i="199" s="1"/>
  <c r="F40" i="199" s="1"/>
  <c r="G40" i="199" s="1"/>
  <c r="N40" i="199"/>
  <c r="M40" i="199"/>
  <c r="S39" i="199"/>
  <c r="R39" i="199"/>
  <c r="T39" i="199" s="1"/>
  <c r="F39" i="199" s="1"/>
  <c r="G39" i="199" s="1"/>
  <c r="N39" i="199"/>
  <c r="M39" i="199"/>
  <c r="S38" i="199"/>
  <c r="R38" i="199"/>
  <c r="T38" i="199" s="1"/>
  <c r="F38" i="199" s="1"/>
  <c r="G38" i="199" s="1"/>
  <c r="N38" i="199"/>
  <c r="M38" i="199"/>
  <c r="S37" i="199"/>
  <c r="R37" i="199"/>
  <c r="T37" i="199" s="1"/>
  <c r="F37" i="199" s="1"/>
  <c r="G37" i="199" s="1"/>
  <c r="N37" i="199"/>
  <c r="M37" i="199"/>
  <c r="S36" i="199"/>
  <c r="R36" i="199"/>
  <c r="T36" i="199" s="1"/>
  <c r="F36" i="199" s="1"/>
  <c r="G36" i="199" s="1"/>
  <c r="N36" i="199"/>
  <c r="M36" i="199"/>
  <c r="T35" i="199"/>
  <c r="F35" i="199" s="1"/>
  <c r="G35" i="199" s="1"/>
  <c r="S35" i="199"/>
  <c r="R35" i="199"/>
  <c r="N35" i="199"/>
  <c r="M35" i="199"/>
  <c r="S34" i="199"/>
  <c r="R34" i="199"/>
  <c r="T34" i="199" s="1"/>
  <c r="F34" i="199" s="1"/>
  <c r="G34" i="199" s="1"/>
  <c r="N34" i="199"/>
  <c r="M34" i="199"/>
  <c r="S33" i="199"/>
  <c r="R33" i="199"/>
  <c r="T33" i="199" s="1"/>
  <c r="F33" i="199" s="1"/>
  <c r="G33" i="199" s="1"/>
  <c r="N33" i="199"/>
  <c r="M33" i="199"/>
  <c r="S32" i="199"/>
  <c r="R32" i="199"/>
  <c r="T32" i="199" s="1"/>
  <c r="F32" i="199" s="1"/>
  <c r="G32" i="199" s="1"/>
  <c r="N32" i="199"/>
  <c r="M32" i="199"/>
  <c r="S31" i="199"/>
  <c r="R31" i="199"/>
  <c r="T31" i="199" s="1"/>
  <c r="F31" i="199" s="1"/>
  <c r="G31" i="199" s="1"/>
  <c r="N31" i="199"/>
  <c r="M31" i="199"/>
  <c r="S30" i="199"/>
  <c r="R30" i="199"/>
  <c r="T30" i="199" s="1"/>
  <c r="F30" i="199" s="1"/>
  <c r="G30" i="199" s="1"/>
  <c r="N30" i="199"/>
  <c r="M30" i="199"/>
  <c r="S29" i="199"/>
  <c r="R29" i="199"/>
  <c r="T29" i="199" s="1"/>
  <c r="F29" i="199" s="1"/>
  <c r="G29" i="199" s="1"/>
  <c r="N29" i="199"/>
  <c r="M29" i="199"/>
  <c r="S28" i="199"/>
  <c r="R28" i="199"/>
  <c r="T28" i="199" s="1"/>
  <c r="F28" i="199" s="1"/>
  <c r="G28" i="199" s="1"/>
  <c r="N28" i="199"/>
  <c r="M28" i="199"/>
  <c r="S27" i="199"/>
  <c r="R27" i="199"/>
  <c r="T27" i="199" s="1"/>
  <c r="F27" i="199" s="1"/>
  <c r="G27" i="199" s="1"/>
  <c r="N27" i="199"/>
  <c r="M27" i="199"/>
  <c r="S26" i="199"/>
  <c r="R26" i="199"/>
  <c r="T26" i="199" s="1"/>
  <c r="F26" i="199" s="1"/>
  <c r="G26" i="199" s="1"/>
  <c r="N26" i="199"/>
  <c r="M26" i="199"/>
  <c r="S25" i="199"/>
  <c r="R25" i="199"/>
  <c r="T25" i="199" s="1"/>
  <c r="F25" i="199" s="1"/>
  <c r="G25" i="199" s="1"/>
  <c r="N25" i="199"/>
  <c r="M25" i="199"/>
  <c r="J15" i="199"/>
  <c r="E15" i="199"/>
  <c r="E14" i="199"/>
  <c r="E13" i="199"/>
  <c r="J12" i="199"/>
  <c r="J9" i="199"/>
  <c r="M8" i="199"/>
  <c r="M7" i="199"/>
  <c r="M6" i="199"/>
  <c r="M5" i="199"/>
  <c r="M4" i="199"/>
  <c r="M3" i="199"/>
  <c r="F250" i="199" l="1"/>
  <c r="F243" i="199"/>
  <c r="G243" i="199" s="1"/>
  <c r="F249" i="199"/>
  <c r="F245" i="199"/>
  <c r="F247" i="199"/>
  <c r="F251" i="199"/>
  <c r="G24" i="199"/>
  <c r="G75" i="199"/>
  <c r="G91" i="199"/>
  <c r="G106" i="199"/>
  <c r="O7" i="199"/>
  <c r="P7" i="199"/>
  <c r="Q7" i="199" s="1"/>
  <c r="F253" i="199"/>
  <c r="G253" i="199" s="1"/>
  <c r="G266" i="199"/>
  <c r="G241" i="199" l="1"/>
  <c r="F29" i="198" l="1"/>
  <c r="F28" i="198"/>
  <c r="F27" i="198"/>
  <c r="F26" i="198"/>
  <c r="F25" i="198"/>
  <c r="F24" i="198"/>
  <c r="F23" i="198"/>
  <c r="F21" i="198"/>
  <c r="F20" i="198"/>
  <c r="F19" i="198"/>
  <c r="F18" i="198"/>
  <c r="F17" i="198"/>
  <c r="F15" i="198"/>
  <c r="F14" i="198"/>
  <c r="N832" i="197"/>
  <c r="O832" i="197" s="1"/>
  <c r="F832" i="197" s="1"/>
  <c r="G832" i="197" s="1"/>
  <c r="M832" i="197"/>
  <c r="N831" i="197"/>
  <c r="O831" i="197" s="1"/>
  <c r="F831" i="197" s="1"/>
  <c r="G831" i="197" s="1"/>
  <c r="M831" i="197"/>
  <c r="N830" i="197"/>
  <c r="O830" i="197" s="1"/>
  <c r="F830" i="197" s="1"/>
  <c r="G830" i="197" s="1"/>
  <c r="M830" i="197"/>
  <c r="N829" i="197"/>
  <c r="O829" i="197" s="1"/>
  <c r="F829" i="197" s="1"/>
  <c r="G829" i="197" s="1"/>
  <c r="M829" i="197"/>
  <c r="N828" i="197"/>
  <c r="O828" i="197" s="1"/>
  <c r="F828" i="197" s="1"/>
  <c r="G828" i="197" s="1"/>
  <c r="M828" i="197"/>
  <c r="N827" i="197"/>
  <c r="O827" i="197" s="1"/>
  <c r="F827" i="197" s="1"/>
  <c r="G827" i="197" s="1"/>
  <c r="M827" i="197"/>
  <c r="N826" i="197"/>
  <c r="O826" i="197" s="1"/>
  <c r="F826" i="197" s="1"/>
  <c r="G826" i="197" s="1"/>
  <c r="M826" i="197"/>
  <c r="N825" i="197"/>
  <c r="O825" i="197" s="1"/>
  <c r="F825" i="197" s="1"/>
  <c r="G825" i="197" s="1"/>
  <c r="M825" i="197"/>
  <c r="N824" i="197"/>
  <c r="O824" i="197" s="1"/>
  <c r="F824" i="197" s="1"/>
  <c r="G824" i="197" s="1"/>
  <c r="M824" i="197"/>
  <c r="N823" i="197"/>
  <c r="O823" i="197" s="1"/>
  <c r="F823" i="197" s="1"/>
  <c r="G823" i="197" s="1"/>
  <c r="M823" i="197"/>
  <c r="N822" i="197"/>
  <c r="O822" i="197" s="1"/>
  <c r="F822" i="197" s="1"/>
  <c r="G822" i="197" s="1"/>
  <c r="M822" i="197"/>
  <c r="N821" i="197"/>
  <c r="O821" i="197" s="1"/>
  <c r="F821" i="197" s="1"/>
  <c r="G821" i="197" s="1"/>
  <c r="M821" i="197"/>
  <c r="N820" i="197"/>
  <c r="O820" i="197" s="1"/>
  <c r="F820" i="197" s="1"/>
  <c r="G820" i="197" s="1"/>
  <c r="M820" i="197"/>
  <c r="N819" i="197"/>
  <c r="O819" i="197" s="1"/>
  <c r="F819" i="197" s="1"/>
  <c r="G819" i="197" s="1"/>
  <c r="M819" i="197"/>
  <c r="N818" i="197"/>
  <c r="O818" i="197" s="1"/>
  <c r="F818" i="197" s="1"/>
  <c r="G818" i="197" s="1"/>
  <c r="M818" i="197"/>
  <c r="N817" i="197"/>
  <c r="O817" i="197" s="1"/>
  <c r="F817" i="197" s="1"/>
  <c r="G817" i="197" s="1"/>
  <c r="M817" i="197"/>
  <c r="N816" i="197"/>
  <c r="O816" i="197" s="1"/>
  <c r="F816" i="197" s="1"/>
  <c r="G816" i="197" s="1"/>
  <c r="M816" i="197"/>
  <c r="N815" i="197"/>
  <c r="O815" i="197" s="1"/>
  <c r="F815" i="197" s="1"/>
  <c r="G815" i="197" s="1"/>
  <c r="M815" i="197"/>
  <c r="N814" i="197"/>
  <c r="O814" i="197" s="1"/>
  <c r="F814" i="197" s="1"/>
  <c r="G814" i="197" s="1"/>
  <c r="M814" i="197"/>
  <c r="N813" i="197"/>
  <c r="O813" i="197" s="1"/>
  <c r="N812" i="197"/>
  <c r="M812" i="197"/>
  <c r="O812" i="197" s="1"/>
  <c r="F812" i="197" s="1"/>
  <c r="G812" i="197" s="1"/>
  <c r="N811" i="197"/>
  <c r="M811" i="197"/>
  <c r="O811" i="197" s="1"/>
  <c r="F811" i="197" s="1"/>
  <c r="G811" i="197" s="1"/>
  <c r="N810" i="197"/>
  <c r="M810" i="197"/>
  <c r="O810" i="197" s="1"/>
  <c r="F810" i="197" s="1"/>
  <c r="G810" i="197" s="1"/>
  <c r="N809" i="197"/>
  <c r="M809" i="197"/>
  <c r="O809" i="197" s="1"/>
  <c r="F809" i="197" s="1"/>
  <c r="G809" i="197" s="1"/>
  <c r="N808" i="197"/>
  <c r="M808" i="197"/>
  <c r="O808" i="197" s="1"/>
  <c r="F808" i="197" s="1"/>
  <c r="G808" i="197" s="1"/>
  <c r="N807" i="197"/>
  <c r="M807" i="197"/>
  <c r="O807" i="197" s="1"/>
  <c r="F807" i="197" s="1"/>
  <c r="G807" i="197" s="1"/>
  <c r="N806" i="197"/>
  <c r="M806" i="197"/>
  <c r="O806" i="197" s="1"/>
  <c r="F806" i="197" s="1"/>
  <c r="G806" i="197" s="1"/>
  <c r="N805" i="197"/>
  <c r="M805" i="197"/>
  <c r="O805" i="197" s="1"/>
  <c r="F805" i="197" s="1"/>
  <c r="G805" i="197"/>
  <c r="O804" i="197"/>
  <c r="F804" i="197" s="1"/>
  <c r="G804" i="197" s="1"/>
  <c r="N804" i="197"/>
  <c r="M804" i="197"/>
  <c r="N803" i="197"/>
  <c r="M803" i="197"/>
  <c r="O803" i="197" s="1"/>
  <c r="F803" i="197" s="1"/>
  <c r="G803" i="197" s="1"/>
  <c r="N802" i="197"/>
  <c r="M802" i="197"/>
  <c r="O802" i="197" s="1"/>
  <c r="F802" i="197" s="1"/>
  <c r="G802" i="197" s="1"/>
  <c r="N801" i="197"/>
  <c r="M801" i="197"/>
  <c r="O801" i="197" s="1"/>
  <c r="F801" i="197" s="1"/>
  <c r="G801" i="197" s="1"/>
  <c r="N800" i="197"/>
  <c r="M800" i="197"/>
  <c r="O800" i="197" s="1"/>
  <c r="F800" i="197" s="1"/>
  <c r="G800" i="197" s="1"/>
  <c r="N799" i="197"/>
  <c r="M799" i="197"/>
  <c r="O799" i="197" s="1"/>
  <c r="F799" i="197" s="1"/>
  <c r="G799" i="197" s="1"/>
  <c r="N798" i="197"/>
  <c r="M798" i="197"/>
  <c r="O798" i="197" s="1"/>
  <c r="F798" i="197" s="1"/>
  <c r="G798" i="197" s="1"/>
  <c r="N797" i="197"/>
  <c r="M797" i="197"/>
  <c r="O797" i="197" s="1"/>
  <c r="F797" i="197" s="1"/>
  <c r="G797" i="197" s="1"/>
  <c r="N796" i="197"/>
  <c r="M796" i="197"/>
  <c r="O796" i="197" s="1"/>
  <c r="F796" i="197" s="1"/>
  <c r="G796" i="197" s="1"/>
  <c r="N795" i="197"/>
  <c r="M795" i="197"/>
  <c r="O795" i="197" s="1"/>
  <c r="F795" i="197" s="1"/>
  <c r="G795" i="197" s="1"/>
  <c r="N794" i="197"/>
  <c r="M794" i="197"/>
  <c r="O794" i="197" s="1"/>
  <c r="F794" i="197" s="1"/>
  <c r="G794" i="197" s="1"/>
  <c r="N793" i="197"/>
  <c r="O793" i="197" s="1"/>
  <c r="N792" i="197"/>
  <c r="O792" i="197" s="1"/>
  <c r="F792" i="197" s="1"/>
  <c r="G792" i="197" s="1"/>
  <c r="M792" i="197"/>
  <c r="N791" i="197"/>
  <c r="O791" i="197" s="1"/>
  <c r="F791" i="197" s="1"/>
  <c r="G791" i="197" s="1"/>
  <c r="M791" i="197"/>
  <c r="N790" i="197"/>
  <c r="O790" i="197" s="1"/>
  <c r="F790" i="197" s="1"/>
  <c r="G790" i="197" s="1"/>
  <c r="M790" i="197"/>
  <c r="N789" i="197"/>
  <c r="O789" i="197" s="1"/>
  <c r="F789" i="197" s="1"/>
  <c r="G789" i="197" s="1"/>
  <c r="M789" i="197"/>
  <c r="N788" i="197"/>
  <c r="O788" i="197" s="1"/>
  <c r="N787" i="197"/>
  <c r="O787" i="197" s="1"/>
  <c r="F787" i="197" s="1"/>
  <c r="G787" i="197" s="1"/>
  <c r="M787" i="197"/>
  <c r="N786" i="197"/>
  <c r="O786" i="197" s="1"/>
  <c r="F786" i="197" s="1"/>
  <c r="G786" i="197" s="1"/>
  <c r="M786" i="197"/>
  <c r="N785" i="197"/>
  <c r="O785" i="197" s="1"/>
  <c r="F785" i="197" s="1"/>
  <c r="G785" i="197" s="1"/>
  <c r="M785" i="197"/>
  <c r="N784" i="197"/>
  <c r="O784" i="197" s="1"/>
  <c r="F784" i="197" s="1"/>
  <c r="G784" i="197" s="1"/>
  <c r="M784" i="197"/>
  <c r="N783" i="197"/>
  <c r="O783" i="197" s="1"/>
  <c r="N782" i="197"/>
  <c r="O782" i="197" s="1"/>
  <c r="F782" i="197" s="1"/>
  <c r="G782" i="197" s="1"/>
  <c r="M782" i="197"/>
  <c r="N781" i="197"/>
  <c r="O781" i="197" s="1"/>
  <c r="F781" i="197" s="1"/>
  <c r="G781" i="197" s="1"/>
  <c r="M781" i="197"/>
  <c r="N780" i="197"/>
  <c r="O780" i="197" s="1"/>
  <c r="F780" i="197" s="1"/>
  <c r="G780" i="197" s="1"/>
  <c r="M780" i="197"/>
  <c r="N779" i="197"/>
  <c r="O779" i="197" s="1"/>
  <c r="F779" i="197" s="1"/>
  <c r="G779" i="197" s="1"/>
  <c r="M779" i="197"/>
  <c r="N778" i="197"/>
  <c r="O778" i="197" s="1"/>
  <c r="F778" i="197" s="1"/>
  <c r="G778" i="197" s="1"/>
  <c r="M778" i="197"/>
  <c r="N777" i="197"/>
  <c r="O777" i="197" s="1"/>
  <c r="N776" i="197"/>
  <c r="O776" i="197" s="1"/>
  <c r="F776" i="197" s="1"/>
  <c r="G776" i="197" s="1"/>
  <c r="M776" i="197"/>
  <c r="N775" i="197"/>
  <c r="O775" i="197" s="1"/>
  <c r="F775" i="197" s="1"/>
  <c r="G775" i="197" s="1"/>
  <c r="M775" i="197"/>
  <c r="N774" i="197"/>
  <c r="O774" i="197" s="1"/>
  <c r="F774" i="197" s="1"/>
  <c r="G774" i="197" s="1"/>
  <c r="M774" i="197"/>
  <c r="N773" i="197"/>
  <c r="O773" i="197" s="1"/>
  <c r="F773" i="197" s="1"/>
  <c r="G773" i="197" s="1"/>
  <c r="M773" i="197"/>
  <c r="N772" i="197"/>
  <c r="O772" i="197" s="1"/>
  <c r="F772" i="197" s="1"/>
  <c r="G772" i="197" s="1"/>
  <c r="M772" i="197"/>
  <c r="N771" i="197"/>
  <c r="O771" i="197" s="1"/>
  <c r="F771" i="197" s="1"/>
  <c r="G771" i="197" s="1"/>
  <c r="M771" i="197"/>
  <c r="N770" i="197"/>
  <c r="O770" i="197" s="1"/>
  <c r="F770" i="197" s="1"/>
  <c r="G770" i="197" s="1"/>
  <c r="M770" i="197"/>
  <c r="N769" i="197"/>
  <c r="O769" i="197" s="1"/>
  <c r="F769" i="197" s="1"/>
  <c r="G769" i="197" s="1"/>
  <c r="M769" i="197"/>
  <c r="N768" i="197"/>
  <c r="O768" i="197" s="1"/>
  <c r="F768" i="197" s="1"/>
  <c r="G768" i="197" s="1"/>
  <c r="M768" i="197"/>
  <c r="N767" i="197"/>
  <c r="O767" i="197" s="1"/>
  <c r="F767" i="197" s="1"/>
  <c r="G767" i="197" s="1"/>
  <c r="M767" i="197"/>
  <c r="N766" i="197"/>
  <c r="O766" i="197" s="1"/>
  <c r="F766" i="197" s="1"/>
  <c r="G766" i="197" s="1"/>
  <c r="M766" i="197"/>
  <c r="N765" i="197"/>
  <c r="O765" i="197" s="1"/>
  <c r="F765" i="197" s="1"/>
  <c r="G765" i="197" s="1"/>
  <c r="M765" i="197"/>
  <c r="N764" i="197"/>
  <c r="O764" i="197" s="1"/>
  <c r="F764" i="197" s="1"/>
  <c r="G764" i="197" s="1"/>
  <c r="M764" i="197"/>
  <c r="N763" i="197"/>
  <c r="O763" i="197" s="1"/>
  <c r="F763" i="197" s="1"/>
  <c r="G763" i="197" s="1"/>
  <c r="M763" i="197"/>
  <c r="N762" i="197"/>
  <c r="O762" i="197" s="1"/>
  <c r="F762" i="197" s="1"/>
  <c r="G762" i="197" s="1"/>
  <c r="M762" i="197"/>
  <c r="N761" i="197"/>
  <c r="O761" i="197" s="1"/>
  <c r="F761" i="197" s="1"/>
  <c r="G761" i="197" s="1"/>
  <c r="M761" i="197"/>
  <c r="N760" i="197"/>
  <c r="O760" i="197" s="1"/>
  <c r="F760" i="197" s="1"/>
  <c r="G760" i="197" s="1"/>
  <c r="M760" i="197"/>
  <c r="N759" i="197"/>
  <c r="O759" i="197" s="1"/>
  <c r="F759" i="197" s="1"/>
  <c r="G759" i="197" s="1"/>
  <c r="M759" i="197"/>
  <c r="N758" i="197"/>
  <c r="O758" i="197" s="1"/>
  <c r="F758" i="197" s="1"/>
  <c r="G758" i="197" s="1"/>
  <c r="M758" i="197"/>
  <c r="N757" i="197"/>
  <c r="O757" i="197" s="1"/>
  <c r="F757" i="197" s="1"/>
  <c r="G757" i="197" s="1"/>
  <c r="M757" i="197"/>
  <c r="N756" i="197"/>
  <c r="O756" i="197" s="1"/>
  <c r="F756" i="197" s="1"/>
  <c r="G756" i="197" s="1"/>
  <c r="M756" i="197"/>
  <c r="N755" i="197"/>
  <c r="O755" i="197" s="1"/>
  <c r="F755" i="197" s="1"/>
  <c r="G755" i="197" s="1"/>
  <c r="M755" i="197"/>
  <c r="N754" i="197"/>
  <c r="O754" i="197" s="1"/>
  <c r="F754" i="197" s="1"/>
  <c r="G754" i="197" s="1"/>
  <c r="M754" i="197"/>
  <c r="N753" i="197"/>
  <c r="O753" i="197" s="1"/>
  <c r="F753" i="197" s="1"/>
  <c r="G753" i="197" s="1"/>
  <c r="M753" i="197"/>
  <c r="N752" i="197"/>
  <c r="O752" i="197" s="1"/>
  <c r="N751" i="197"/>
  <c r="O751" i="197" s="1"/>
  <c r="F751" i="197" s="1"/>
  <c r="G751" i="197" s="1"/>
  <c r="M751" i="197"/>
  <c r="N750" i="197"/>
  <c r="O750" i="197" s="1"/>
  <c r="F750" i="197" s="1"/>
  <c r="G750" i="197" s="1"/>
  <c r="M750" i="197"/>
  <c r="N749" i="197"/>
  <c r="O749" i="197" s="1"/>
  <c r="F749" i="197" s="1"/>
  <c r="G749" i="197" s="1"/>
  <c r="M749" i="197"/>
  <c r="N748" i="197"/>
  <c r="O748" i="197" s="1"/>
  <c r="F748" i="197" s="1"/>
  <c r="G748" i="197" s="1"/>
  <c r="M748" i="197"/>
  <c r="N747" i="197"/>
  <c r="O747" i="197" s="1"/>
  <c r="F747" i="197" s="1"/>
  <c r="G747" i="197" s="1"/>
  <c r="M747" i="197"/>
  <c r="N746" i="197"/>
  <c r="O746" i="197" s="1"/>
  <c r="F746" i="197" s="1"/>
  <c r="G746" i="197" s="1"/>
  <c r="M746" i="197"/>
  <c r="N745" i="197"/>
  <c r="O745" i="197" s="1"/>
  <c r="F745" i="197" s="1"/>
  <c r="G745" i="197" s="1"/>
  <c r="M745" i="197"/>
  <c r="N744" i="197"/>
  <c r="O744" i="197" s="1"/>
  <c r="F744" i="197" s="1"/>
  <c r="G744" i="197" s="1"/>
  <c r="M744" i="197"/>
  <c r="N743" i="197"/>
  <c r="O743" i="197" s="1"/>
  <c r="F743" i="197" s="1"/>
  <c r="G743" i="197" s="1"/>
  <c r="M743" i="197"/>
  <c r="N742" i="197"/>
  <c r="O742" i="197" s="1"/>
  <c r="F742" i="197" s="1"/>
  <c r="G742" i="197" s="1"/>
  <c r="M742" i="197"/>
  <c r="N741" i="197"/>
  <c r="O741" i="197" s="1"/>
  <c r="F741" i="197" s="1"/>
  <c r="G741" i="197" s="1"/>
  <c r="M741" i="197"/>
  <c r="N740" i="197"/>
  <c r="O740" i="197" s="1"/>
  <c r="F740" i="197" s="1"/>
  <c r="G740" i="197" s="1"/>
  <c r="M740" i="197"/>
  <c r="N739" i="197"/>
  <c r="O739" i="197" s="1"/>
  <c r="N738" i="197"/>
  <c r="O738" i="197" s="1"/>
  <c r="F738" i="197" s="1"/>
  <c r="G738" i="197" s="1"/>
  <c r="M738" i="197"/>
  <c r="N737" i="197"/>
  <c r="O737" i="197" s="1"/>
  <c r="F737" i="197" s="1"/>
  <c r="G737" i="197" s="1"/>
  <c r="M737" i="197"/>
  <c r="N736" i="197"/>
  <c r="O736" i="197" s="1"/>
  <c r="F736" i="197" s="1"/>
  <c r="G736" i="197" s="1"/>
  <c r="M736" i="197"/>
  <c r="N735" i="197"/>
  <c r="O735" i="197" s="1"/>
  <c r="N734" i="197"/>
  <c r="O734" i="197" s="1"/>
  <c r="N733" i="197"/>
  <c r="M733" i="197"/>
  <c r="O733" i="197" s="1"/>
  <c r="F733" i="197" s="1"/>
  <c r="G733" i="197" s="1"/>
  <c r="N732" i="197"/>
  <c r="M732" i="197"/>
  <c r="O732" i="197" s="1"/>
  <c r="F732" i="197" s="1"/>
  <c r="G732" i="197" s="1"/>
  <c r="N731" i="197"/>
  <c r="M731" i="197"/>
  <c r="O731" i="197" s="1"/>
  <c r="F731" i="197" s="1"/>
  <c r="G731" i="197" s="1"/>
  <c r="O730" i="197"/>
  <c r="N730" i="197"/>
  <c r="O729" i="197"/>
  <c r="F729" i="197" s="1"/>
  <c r="G729" i="197" s="1"/>
  <c r="N729" i="197"/>
  <c r="M729" i="197"/>
  <c r="N728" i="197"/>
  <c r="M728" i="197"/>
  <c r="O728" i="197" s="1"/>
  <c r="F728" i="197" s="1"/>
  <c r="G728" i="197" s="1"/>
  <c r="N727" i="197"/>
  <c r="M727" i="197"/>
  <c r="O727" i="197" s="1"/>
  <c r="F727" i="197" s="1"/>
  <c r="G727" i="197" s="1"/>
  <c r="O726" i="197"/>
  <c r="F726" i="197" s="1"/>
  <c r="G726" i="197" s="1"/>
  <c r="N726" i="197"/>
  <c r="M726" i="197"/>
  <c r="N725" i="197"/>
  <c r="O725" i="197" s="1"/>
  <c r="O724" i="197"/>
  <c r="F724" i="197" s="1"/>
  <c r="G724" i="197" s="1"/>
  <c r="N724" i="197"/>
  <c r="M724" i="197"/>
  <c r="N723" i="197"/>
  <c r="M723" i="197"/>
  <c r="O723" i="197" s="1"/>
  <c r="F723" i="197" s="1"/>
  <c r="G723" i="197" s="1"/>
  <c r="N722" i="197"/>
  <c r="M722" i="197"/>
  <c r="O722" i="197" s="1"/>
  <c r="F722" i="197" s="1"/>
  <c r="G722" i="197" s="1"/>
  <c r="N721" i="197"/>
  <c r="M721" i="197"/>
  <c r="O721" i="197" s="1"/>
  <c r="F721" i="197" s="1"/>
  <c r="G721" i="197" s="1"/>
  <c r="N720" i="197"/>
  <c r="M720" i="197"/>
  <c r="O720" i="197" s="1"/>
  <c r="F720" i="197" s="1"/>
  <c r="G720" i="197" s="1"/>
  <c r="N719" i="197"/>
  <c r="O719" i="197" s="1"/>
  <c r="N718" i="197"/>
  <c r="M718" i="197"/>
  <c r="O718" i="197" s="1"/>
  <c r="F718" i="197" s="1"/>
  <c r="G718" i="197" s="1"/>
  <c r="N717" i="197"/>
  <c r="M717" i="197"/>
  <c r="O717" i="197" s="1"/>
  <c r="F717" i="197" s="1"/>
  <c r="G717" i="197" s="1"/>
  <c r="N716" i="197"/>
  <c r="M716" i="197"/>
  <c r="O716" i="197" s="1"/>
  <c r="F716" i="197" s="1"/>
  <c r="G716" i="197" s="1"/>
  <c r="N715" i="197"/>
  <c r="M715" i="197"/>
  <c r="O715" i="197" s="1"/>
  <c r="F715" i="197" s="1"/>
  <c r="G715" i="197" s="1"/>
  <c r="N714" i="197"/>
  <c r="M714" i="197"/>
  <c r="O714" i="197" s="1"/>
  <c r="F714" i="197" s="1"/>
  <c r="G714" i="197" s="1"/>
  <c r="N713" i="197"/>
  <c r="M713" i="197"/>
  <c r="O713" i="197" s="1"/>
  <c r="F713" i="197" s="1"/>
  <c r="G713" i="197" s="1"/>
  <c r="O712" i="197"/>
  <c r="F712" i="197" s="1"/>
  <c r="G712" i="197" s="1"/>
  <c r="N712" i="197"/>
  <c r="M712" i="197"/>
  <c r="N711" i="197"/>
  <c r="M711" i="197"/>
  <c r="O711" i="197" s="1"/>
  <c r="F711" i="197" s="1"/>
  <c r="G711" i="197" s="1"/>
  <c r="N710" i="197"/>
  <c r="M710" i="197"/>
  <c r="O710" i="197" s="1"/>
  <c r="F710" i="197" s="1"/>
  <c r="G710" i="197" s="1"/>
  <c r="N709" i="197"/>
  <c r="M709" i="197"/>
  <c r="O709" i="197" s="1"/>
  <c r="F709" i="197" s="1"/>
  <c r="G709" i="197" s="1"/>
  <c r="N708" i="197"/>
  <c r="M708" i="197"/>
  <c r="O708" i="197" s="1"/>
  <c r="F708" i="197" s="1"/>
  <c r="G708" i="197" s="1"/>
  <c r="N707" i="197"/>
  <c r="M707" i="197"/>
  <c r="O707" i="197" s="1"/>
  <c r="F707" i="197" s="1"/>
  <c r="G707" i="197" s="1"/>
  <c r="N706" i="197"/>
  <c r="M706" i="197"/>
  <c r="O706" i="197" s="1"/>
  <c r="F706" i="197" s="1"/>
  <c r="G706" i="197" s="1"/>
  <c r="N705" i="197"/>
  <c r="M705" i="197"/>
  <c r="O705" i="197" s="1"/>
  <c r="F705" i="197" s="1"/>
  <c r="G705" i="197" s="1"/>
  <c r="N704" i="197"/>
  <c r="M704" i="197"/>
  <c r="O704" i="197" s="1"/>
  <c r="F704" i="197" s="1"/>
  <c r="G704" i="197" s="1"/>
  <c r="N703" i="197"/>
  <c r="M703" i="197"/>
  <c r="O703" i="197" s="1"/>
  <c r="F703" i="197" s="1"/>
  <c r="G703" i="197" s="1"/>
  <c r="N702" i="197"/>
  <c r="M702" i="197"/>
  <c r="O702" i="197" s="1"/>
  <c r="F702" i="197" s="1"/>
  <c r="G702" i="197" s="1"/>
  <c r="N701" i="197"/>
  <c r="M701" i="197"/>
  <c r="O701" i="197" s="1"/>
  <c r="F701" i="197" s="1"/>
  <c r="G701" i="197" s="1"/>
  <c r="N700" i="197"/>
  <c r="M700" i="197"/>
  <c r="O700" i="197" s="1"/>
  <c r="F700" i="197" s="1"/>
  <c r="G700" i="197" s="1"/>
  <c r="N699" i="197"/>
  <c r="M699" i="197"/>
  <c r="O699" i="197" s="1"/>
  <c r="F699" i="197" s="1"/>
  <c r="G699" i="197" s="1"/>
  <c r="N698" i="197"/>
  <c r="M698" i="197"/>
  <c r="O698" i="197" s="1"/>
  <c r="F698" i="197" s="1"/>
  <c r="G698" i="197" s="1"/>
  <c r="N697" i="197"/>
  <c r="M697" i="197"/>
  <c r="O697" i="197" s="1"/>
  <c r="F697" i="197" s="1"/>
  <c r="G697" i="197" s="1"/>
  <c r="N696" i="197"/>
  <c r="M696" i="197"/>
  <c r="O696" i="197" s="1"/>
  <c r="F696" i="197" s="1"/>
  <c r="G696" i="197" s="1"/>
  <c r="N695" i="197"/>
  <c r="M695" i="197"/>
  <c r="O695" i="197" s="1"/>
  <c r="F695" i="197" s="1"/>
  <c r="G695" i="197" s="1"/>
  <c r="N694" i="197"/>
  <c r="M694" i="197"/>
  <c r="O694" i="197" s="1"/>
  <c r="F694" i="197" s="1"/>
  <c r="G694" i="197" s="1"/>
  <c r="N693" i="197"/>
  <c r="M693" i="197"/>
  <c r="O693" i="197" s="1"/>
  <c r="F693" i="197" s="1"/>
  <c r="G693" i="197" s="1"/>
  <c r="N692" i="197"/>
  <c r="O692" i="197" s="1"/>
  <c r="N691" i="197"/>
  <c r="M691" i="197"/>
  <c r="O691" i="197" s="1"/>
  <c r="F691" i="197" s="1"/>
  <c r="G691" i="197" s="1"/>
  <c r="N690" i="197"/>
  <c r="M690" i="197"/>
  <c r="O690" i="197" s="1"/>
  <c r="F690" i="197" s="1"/>
  <c r="G690" i="197" s="1"/>
  <c r="N689" i="197"/>
  <c r="M689" i="197"/>
  <c r="O689" i="197" s="1"/>
  <c r="F689" i="197"/>
  <c r="G689" i="197" s="1"/>
  <c r="N688" i="197"/>
  <c r="M688" i="197"/>
  <c r="O688" i="197" s="1"/>
  <c r="F688" i="197" s="1"/>
  <c r="G688" i="197" s="1"/>
  <c r="N687" i="197"/>
  <c r="M687" i="197"/>
  <c r="O687" i="197" s="1"/>
  <c r="F687" i="197" s="1"/>
  <c r="G687" i="197" s="1"/>
  <c r="N686" i="197"/>
  <c r="M686" i="197"/>
  <c r="O686" i="197" s="1"/>
  <c r="F686" i="197" s="1"/>
  <c r="G686" i="197" s="1"/>
  <c r="N685" i="197"/>
  <c r="M685" i="197"/>
  <c r="O685" i="197" s="1"/>
  <c r="F685" i="197" s="1"/>
  <c r="G685" i="197" s="1"/>
  <c r="N684" i="197"/>
  <c r="M684" i="197"/>
  <c r="O684" i="197" s="1"/>
  <c r="F684" i="197" s="1"/>
  <c r="G684" i="197" s="1"/>
  <c r="N683" i="197"/>
  <c r="M683" i="197"/>
  <c r="O683" i="197" s="1"/>
  <c r="F683" i="197" s="1"/>
  <c r="G683" i="197" s="1"/>
  <c r="N682" i="197"/>
  <c r="M682" i="197"/>
  <c r="O682" i="197" s="1"/>
  <c r="F682" i="197" s="1"/>
  <c r="G682" i="197" s="1"/>
  <c r="N681" i="197"/>
  <c r="M681" i="197"/>
  <c r="O681" i="197" s="1"/>
  <c r="F681" i="197" s="1"/>
  <c r="G681" i="197" s="1"/>
  <c r="N680" i="197"/>
  <c r="M680" i="197"/>
  <c r="O680" i="197" s="1"/>
  <c r="F680" i="197" s="1"/>
  <c r="G680" i="197" s="1"/>
  <c r="N679" i="197"/>
  <c r="M679" i="197"/>
  <c r="O679" i="197" s="1"/>
  <c r="F679" i="197" s="1"/>
  <c r="G679" i="197" s="1"/>
  <c r="N678" i="197"/>
  <c r="O678" i="197" s="1"/>
  <c r="N677" i="197"/>
  <c r="M677" i="197"/>
  <c r="O677" i="197" s="1"/>
  <c r="F677" i="197" s="1"/>
  <c r="G677" i="197" s="1"/>
  <c r="N676" i="197"/>
  <c r="M676" i="197"/>
  <c r="O676" i="197" s="1"/>
  <c r="F676" i="197" s="1"/>
  <c r="G676" i="197" s="1"/>
  <c r="N675" i="197"/>
  <c r="M675" i="197"/>
  <c r="O675" i="197" s="1"/>
  <c r="F675" i="197" s="1"/>
  <c r="G675" i="197" s="1"/>
  <c r="N674" i="197"/>
  <c r="O674" i="197" s="1"/>
  <c r="O673" i="197"/>
  <c r="N673" i="197"/>
  <c r="N672" i="197"/>
  <c r="O672" i="197" s="1"/>
  <c r="F672" i="197" s="1"/>
  <c r="G672" i="197" s="1"/>
  <c r="M672" i="197"/>
  <c r="N671" i="197"/>
  <c r="O671" i="197" s="1"/>
  <c r="F671" i="197" s="1"/>
  <c r="G671" i="197" s="1"/>
  <c r="M671" i="197"/>
  <c r="N670" i="197"/>
  <c r="O670" i="197" s="1"/>
  <c r="F670" i="197" s="1"/>
  <c r="G670" i="197" s="1"/>
  <c r="M670" i="197"/>
  <c r="N669" i="197"/>
  <c r="O669" i="197" s="1"/>
  <c r="F669" i="197" s="1"/>
  <c r="G669" i="197" s="1"/>
  <c r="M669" i="197"/>
  <c r="N668" i="197"/>
  <c r="O668" i="197" s="1"/>
  <c r="F668" i="197" s="1"/>
  <c r="G668" i="197" s="1"/>
  <c r="M668" i="197"/>
  <c r="N667" i="197"/>
  <c r="O667" i="197" s="1"/>
  <c r="F667" i="197" s="1"/>
  <c r="G667" i="197" s="1"/>
  <c r="M667" i="197"/>
  <c r="N666" i="197"/>
  <c r="O666" i="197" s="1"/>
  <c r="F666" i="197" s="1"/>
  <c r="G666" i="197" s="1"/>
  <c r="M666" i="197"/>
  <c r="N665" i="197"/>
  <c r="O665" i="197" s="1"/>
  <c r="F665" i="197" s="1"/>
  <c r="G665" i="197" s="1"/>
  <c r="M665" i="197"/>
  <c r="N664" i="197"/>
  <c r="O664" i="197" s="1"/>
  <c r="F664" i="197" s="1"/>
  <c r="G664" i="197" s="1"/>
  <c r="M664" i="197"/>
  <c r="N663" i="197"/>
  <c r="O663" i="197" s="1"/>
  <c r="F663" i="197" s="1"/>
  <c r="G663" i="197" s="1"/>
  <c r="M663" i="197"/>
  <c r="N662" i="197"/>
  <c r="O662" i="197" s="1"/>
  <c r="F662" i="197" s="1"/>
  <c r="G662" i="197" s="1"/>
  <c r="M662" i="197"/>
  <c r="N661" i="197"/>
  <c r="O661" i="197" s="1"/>
  <c r="F661" i="197" s="1"/>
  <c r="G661" i="197" s="1"/>
  <c r="M661" i="197"/>
  <c r="N660" i="197"/>
  <c r="O660" i="197" s="1"/>
  <c r="F660" i="197" s="1"/>
  <c r="G660" i="197" s="1"/>
  <c r="M660" i="197"/>
  <c r="N659" i="197"/>
  <c r="O659" i="197" s="1"/>
  <c r="F659" i="197" s="1"/>
  <c r="G659" i="197" s="1"/>
  <c r="M659" i="197"/>
  <c r="N658" i="197"/>
  <c r="O658" i="197" s="1"/>
  <c r="F658" i="197" s="1"/>
  <c r="G658" i="197" s="1"/>
  <c r="M658" i="197"/>
  <c r="N657" i="197"/>
  <c r="O657" i="197" s="1"/>
  <c r="F657" i="197" s="1"/>
  <c r="G657" i="197" s="1"/>
  <c r="M657" i="197"/>
  <c r="N656" i="197"/>
  <c r="O656" i="197" s="1"/>
  <c r="F656" i="197" s="1"/>
  <c r="G656" i="197" s="1"/>
  <c r="M656" i="197"/>
  <c r="N655" i="197"/>
  <c r="O655" i="197" s="1"/>
  <c r="F655" i="197" s="1"/>
  <c r="G655" i="197" s="1"/>
  <c r="M655" i="197"/>
  <c r="N654" i="197"/>
  <c r="O654" i="197" s="1"/>
  <c r="F654" i="197" s="1"/>
  <c r="G654" i="197" s="1"/>
  <c r="M654" i="197"/>
  <c r="N653" i="197"/>
  <c r="O653" i="197" s="1"/>
  <c r="F653" i="197" s="1"/>
  <c r="G653" i="197" s="1"/>
  <c r="M653" i="197"/>
  <c r="N652" i="197"/>
  <c r="O652" i="197" s="1"/>
  <c r="F652" i="197" s="1"/>
  <c r="G652" i="197" s="1"/>
  <c r="M652" i="197"/>
  <c r="N651" i="197"/>
  <c r="O651" i="197" s="1"/>
  <c r="F651" i="197" s="1"/>
  <c r="G651" i="197" s="1"/>
  <c r="M651" i="197"/>
  <c r="N650" i="197"/>
  <c r="O650" i="197" s="1"/>
  <c r="F650" i="197" s="1"/>
  <c r="G650" i="197" s="1"/>
  <c r="M650" i="197"/>
  <c r="N649" i="197"/>
  <c r="O649" i="197" s="1"/>
  <c r="F649" i="197" s="1"/>
  <c r="G649" i="197" s="1"/>
  <c r="M649" i="197"/>
  <c r="N648" i="197"/>
  <c r="O648" i="197" s="1"/>
  <c r="F648" i="197" s="1"/>
  <c r="G648" i="197" s="1"/>
  <c r="M648" i="197"/>
  <c r="N647" i="197"/>
  <c r="O647" i="197" s="1"/>
  <c r="F647" i="197" s="1"/>
  <c r="G647" i="197" s="1"/>
  <c r="M647" i="197"/>
  <c r="N646" i="197"/>
  <c r="O646" i="197" s="1"/>
  <c r="F646" i="197" s="1"/>
  <c r="G646" i="197" s="1"/>
  <c r="M646" i="197"/>
  <c r="N645" i="197"/>
  <c r="O645" i="197" s="1"/>
  <c r="F645" i="197" s="1"/>
  <c r="G645" i="197" s="1"/>
  <c r="M645" i="197"/>
  <c r="N644" i="197"/>
  <c r="O644" i="197" s="1"/>
  <c r="F644" i="197" s="1"/>
  <c r="G644" i="197" s="1"/>
  <c r="M644" i="197"/>
  <c r="N643" i="197"/>
  <c r="O643" i="197" s="1"/>
  <c r="F643" i="197" s="1"/>
  <c r="G643" i="197" s="1"/>
  <c r="M643" i="197"/>
  <c r="N642" i="197"/>
  <c r="O642" i="197" s="1"/>
  <c r="F642" i="197" s="1"/>
  <c r="G642" i="197" s="1"/>
  <c r="M642" i="197"/>
  <c r="N641" i="197"/>
  <c r="O641" i="197" s="1"/>
  <c r="F641" i="197" s="1"/>
  <c r="G641" i="197" s="1"/>
  <c r="M641" i="197"/>
  <c r="O640" i="197"/>
  <c r="F640" i="197" s="1"/>
  <c r="G640" i="197" s="1"/>
  <c r="N640" i="197"/>
  <c r="M640" i="197"/>
  <c r="N639" i="197"/>
  <c r="O639" i="197" s="1"/>
  <c r="F639" i="197" s="1"/>
  <c r="G639" i="197" s="1"/>
  <c r="M639" i="197"/>
  <c r="N638" i="197"/>
  <c r="O638" i="197" s="1"/>
  <c r="F638" i="197" s="1"/>
  <c r="G638" i="197" s="1"/>
  <c r="M638" i="197"/>
  <c r="N637" i="197"/>
  <c r="O637" i="197" s="1"/>
  <c r="F637" i="197" s="1"/>
  <c r="G637" i="197" s="1"/>
  <c r="M637" i="197"/>
  <c r="N636" i="197"/>
  <c r="O636" i="197" s="1"/>
  <c r="F636" i="197" s="1"/>
  <c r="G636" i="197" s="1"/>
  <c r="M636" i="197"/>
  <c r="N635" i="197"/>
  <c r="O635" i="197" s="1"/>
  <c r="F635" i="197" s="1"/>
  <c r="G635" i="197" s="1"/>
  <c r="M635" i="197"/>
  <c r="N634" i="197"/>
  <c r="O634" i="197" s="1"/>
  <c r="F634" i="197" s="1"/>
  <c r="G634" i="197" s="1"/>
  <c r="M634" i="197"/>
  <c r="N633" i="197"/>
  <c r="O633" i="197" s="1"/>
  <c r="F633" i="197" s="1"/>
  <c r="G633" i="197" s="1"/>
  <c r="M633" i="197"/>
  <c r="N632" i="197"/>
  <c r="O632" i="197" s="1"/>
  <c r="F632" i="197" s="1"/>
  <c r="G632" i="197" s="1"/>
  <c r="M632" i="197"/>
  <c r="N631" i="197"/>
  <c r="O631" i="197" s="1"/>
  <c r="F631" i="197" s="1"/>
  <c r="G631" i="197" s="1"/>
  <c r="M631" i="197"/>
  <c r="N630" i="197"/>
  <c r="O630" i="197" s="1"/>
  <c r="F630" i="197" s="1"/>
  <c r="G630" i="197" s="1"/>
  <c r="M630" i="197"/>
  <c r="N629" i="197"/>
  <c r="O629" i="197" s="1"/>
  <c r="F629" i="197" s="1"/>
  <c r="G629" i="197" s="1"/>
  <c r="M629" i="197"/>
  <c r="N628" i="197"/>
  <c r="O628" i="197" s="1"/>
  <c r="F628" i="197" s="1"/>
  <c r="G628" i="197" s="1"/>
  <c r="M628" i="197"/>
  <c r="N627" i="197"/>
  <c r="O627" i="197" s="1"/>
  <c r="F627" i="197" s="1"/>
  <c r="G627" i="197" s="1"/>
  <c r="M627" i="197"/>
  <c r="N626" i="197"/>
  <c r="O626" i="197" s="1"/>
  <c r="F626" i="197" s="1"/>
  <c r="G626" i="197" s="1"/>
  <c r="M626" i="197"/>
  <c r="N625" i="197"/>
  <c r="O625" i="197" s="1"/>
  <c r="F625" i="197" s="1"/>
  <c r="G625" i="197" s="1"/>
  <c r="M625" i="197"/>
  <c r="N624" i="197"/>
  <c r="O624" i="197" s="1"/>
  <c r="F624" i="197" s="1"/>
  <c r="G624" i="197" s="1"/>
  <c r="M624" i="197"/>
  <c r="N623" i="197"/>
  <c r="O623" i="197" s="1"/>
  <c r="F623" i="197" s="1"/>
  <c r="G623" i="197" s="1"/>
  <c r="M623" i="197"/>
  <c r="N622" i="197"/>
  <c r="O622" i="197" s="1"/>
  <c r="F622" i="197" s="1"/>
  <c r="G622" i="197" s="1"/>
  <c r="M622" i="197"/>
  <c r="N621" i="197"/>
  <c r="O621" i="197" s="1"/>
  <c r="F621" i="197" s="1"/>
  <c r="G621" i="197" s="1"/>
  <c r="M621" i="197"/>
  <c r="N620" i="197"/>
  <c r="O620" i="197" s="1"/>
  <c r="F620" i="197" s="1"/>
  <c r="G620" i="197" s="1"/>
  <c r="M620" i="197"/>
  <c r="N619" i="197"/>
  <c r="O619" i="197" s="1"/>
  <c r="F619" i="197" s="1"/>
  <c r="G619" i="197" s="1"/>
  <c r="M619" i="197"/>
  <c r="N618" i="197"/>
  <c r="O618" i="197" s="1"/>
  <c r="F618" i="197" s="1"/>
  <c r="G618" i="197" s="1"/>
  <c r="M618" i="197"/>
  <c r="N617" i="197"/>
  <c r="O617" i="197" s="1"/>
  <c r="F617" i="197" s="1"/>
  <c r="G617" i="197" s="1"/>
  <c r="M617" i="197"/>
  <c r="N616" i="197"/>
  <c r="O616" i="197" s="1"/>
  <c r="F616" i="197" s="1"/>
  <c r="G616" i="197" s="1"/>
  <c r="M616" i="197"/>
  <c r="N615" i="197"/>
  <c r="O615" i="197" s="1"/>
  <c r="F615" i="197" s="1"/>
  <c r="G615" i="197" s="1"/>
  <c r="M615" i="197"/>
  <c r="N614" i="197"/>
  <c r="O614" i="197" s="1"/>
  <c r="F614" i="197" s="1"/>
  <c r="G614" i="197" s="1"/>
  <c r="M614" i="197"/>
  <c r="N613" i="197"/>
  <c r="O613" i="197" s="1"/>
  <c r="F613" i="197" s="1"/>
  <c r="G613" i="197" s="1"/>
  <c r="M613" i="197"/>
  <c r="N612" i="197"/>
  <c r="O612" i="197" s="1"/>
  <c r="F612" i="197" s="1"/>
  <c r="G612" i="197" s="1"/>
  <c r="M612" i="197"/>
  <c r="N611" i="197"/>
  <c r="O611" i="197" s="1"/>
  <c r="F611" i="197" s="1"/>
  <c r="G611" i="197" s="1"/>
  <c r="M611" i="197"/>
  <c r="N610" i="197"/>
  <c r="O610" i="197" s="1"/>
  <c r="F610" i="197" s="1"/>
  <c r="G610" i="197" s="1"/>
  <c r="M610" i="197"/>
  <c r="N609" i="197"/>
  <c r="O609" i="197" s="1"/>
  <c r="F609" i="197" s="1"/>
  <c r="G609" i="197" s="1"/>
  <c r="M609" i="197"/>
  <c r="N608" i="197"/>
  <c r="O608" i="197" s="1"/>
  <c r="F608" i="197" s="1"/>
  <c r="G608" i="197" s="1"/>
  <c r="M608" i="197"/>
  <c r="N607" i="197"/>
  <c r="O607" i="197" s="1"/>
  <c r="F607" i="197" s="1"/>
  <c r="G607" i="197" s="1"/>
  <c r="M607" i="197"/>
  <c r="N606" i="197"/>
  <c r="O606" i="197" s="1"/>
  <c r="F606" i="197" s="1"/>
  <c r="G606" i="197" s="1"/>
  <c r="M606" i="197"/>
  <c r="N605" i="197"/>
  <c r="O605" i="197" s="1"/>
  <c r="F605" i="197" s="1"/>
  <c r="G605" i="197" s="1"/>
  <c r="M605" i="197"/>
  <c r="N604" i="197"/>
  <c r="O604" i="197" s="1"/>
  <c r="F604" i="197" s="1"/>
  <c r="G604" i="197" s="1"/>
  <c r="M604" i="197"/>
  <c r="N603" i="197"/>
  <c r="O603" i="197" s="1"/>
  <c r="F603" i="197" s="1"/>
  <c r="G603" i="197" s="1"/>
  <c r="M603" i="197"/>
  <c r="N602" i="197"/>
  <c r="O602" i="197" s="1"/>
  <c r="F602" i="197" s="1"/>
  <c r="G602" i="197" s="1"/>
  <c r="M602" i="197"/>
  <c r="N601" i="197"/>
  <c r="O601" i="197" s="1"/>
  <c r="F601" i="197" s="1"/>
  <c r="G601" i="197" s="1"/>
  <c r="M601" i="197"/>
  <c r="N600" i="197"/>
  <c r="O600" i="197" s="1"/>
  <c r="F600" i="197" s="1"/>
  <c r="G600" i="197" s="1"/>
  <c r="M600" i="197"/>
  <c r="N599" i="197"/>
  <c r="O599" i="197" s="1"/>
  <c r="F599" i="197" s="1"/>
  <c r="G599" i="197" s="1"/>
  <c r="M599" i="197"/>
  <c r="N598" i="197"/>
  <c r="O598" i="197" s="1"/>
  <c r="F598" i="197" s="1"/>
  <c r="G598" i="197" s="1"/>
  <c r="M598" i="197"/>
  <c r="N597" i="197"/>
  <c r="O597" i="197" s="1"/>
  <c r="F597" i="197" s="1"/>
  <c r="G597" i="197" s="1"/>
  <c r="M597" i="197"/>
  <c r="N596" i="197"/>
  <c r="O596" i="197" s="1"/>
  <c r="M596" i="197"/>
  <c r="F596" i="197"/>
  <c r="G596" i="197" s="1"/>
  <c r="N595" i="197"/>
  <c r="O595" i="197" s="1"/>
  <c r="F595" i="197" s="1"/>
  <c r="G595" i="197" s="1"/>
  <c r="M595" i="197"/>
  <c r="N594" i="197"/>
  <c r="O594" i="197" s="1"/>
  <c r="F594" i="197" s="1"/>
  <c r="G594" i="197" s="1"/>
  <c r="M594" i="197"/>
  <c r="N593" i="197"/>
  <c r="O593" i="197" s="1"/>
  <c r="M593" i="197"/>
  <c r="F593" i="197"/>
  <c r="G593" i="197" s="1"/>
  <c r="N592" i="197"/>
  <c r="O592" i="197" s="1"/>
  <c r="F592" i="197" s="1"/>
  <c r="G592" i="197" s="1"/>
  <c r="M592" i="197"/>
  <c r="N591" i="197"/>
  <c r="O591" i="197" s="1"/>
  <c r="F591" i="197" s="1"/>
  <c r="G591" i="197" s="1"/>
  <c r="M591" i="197"/>
  <c r="N590" i="197"/>
  <c r="O590" i="197" s="1"/>
  <c r="F590" i="197" s="1"/>
  <c r="G590" i="197" s="1"/>
  <c r="M590" i="197"/>
  <c r="N589" i="197"/>
  <c r="O589" i="197" s="1"/>
  <c r="M589" i="197"/>
  <c r="F589" i="197"/>
  <c r="G589" i="197" s="1"/>
  <c r="N588" i="197"/>
  <c r="O588" i="197" s="1"/>
  <c r="F588" i="197" s="1"/>
  <c r="G588" i="197" s="1"/>
  <c r="M588" i="197"/>
  <c r="O587" i="197"/>
  <c r="F587" i="197" s="1"/>
  <c r="G587" i="197" s="1"/>
  <c r="N587" i="197"/>
  <c r="M587" i="197"/>
  <c r="N586" i="197"/>
  <c r="O586" i="197" s="1"/>
  <c r="F586" i="197" s="1"/>
  <c r="G586" i="197" s="1"/>
  <c r="M586" i="197"/>
  <c r="N585" i="197"/>
  <c r="O585" i="197" s="1"/>
  <c r="F585" i="197" s="1"/>
  <c r="G585" i="197" s="1"/>
  <c r="M585" i="197"/>
  <c r="N584" i="197"/>
  <c r="O584" i="197" s="1"/>
  <c r="F584" i="197" s="1"/>
  <c r="G584" i="197" s="1"/>
  <c r="M584" i="197"/>
  <c r="N583" i="197"/>
  <c r="O583" i="197" s="1"/>
  <c r="F583" i="197" s="1"/>
  <c r="G583" i="197" s="1"/>
  <c r="M583" i="197"/>
  <c r="N582" i="197"/>
  <c r="O582" i="197" s="1"/>
  <c r="F582" i="197" s="1"/>
  <c r="G582" i="197" s="1"/>
  <c r="M582" i="197"/>
  <c r="N581" i="197"/>
  <c r="O581" i="197" s="1"/>
  <c r="F581" i="197" s="1"/>
  <c r="G581" i="197" s="1"/>
  <c r="M581" i="197"/>
  <c r="N580" i="197"/>
  <c r="O580" i="197" s="1"/>
  <c r="F580" i="197" s="1"/>
  <c r="G580" i="197" s="1"/>
  <c r="M580" i="197"/>
  <c r="N579" i="197"/>
  <c r="O579" i="197" s="1"/>
  <c r="F579" i="197" s="1"/>
  <c r="G579" i="197" s="1"/>
  <c r="M579" i="197"/>
  <c r="N578" i="197"/>
  <c r="O578" i="197" s="1"/>
  <c r="F578" i="197" s="1"/>
  <c r="G578" i="197" s="1"/>
  <c r="M578" i="197"/>
  <c r="N577" i="197"/>
  <c r="O577" i="197" s="1"/>
  <c r="F577" i="197" s="1"/>
  <c r="G577" i="197" s="1"/>
  <c r="M577" i="197"/>
  <c r="N576" i="197"/>
  <c r="O576" i="197" s="1"/>
  <c r="F576" i="197" s="1"/>
  <c r="G576" i="197" s="1"/>
  <c r="M576" i="197"/>
  <c r="N575" i="197"/>
  <c r="O575" i="197" s="1"/>
  <c r="F575" i="197" s="1"/>
  <c r="G575" i="197" s="1"/>
  <c r="M575" i="197"/>
  <c r="N574" i="197"/>
  <c r="O574" i="197" s="1"/>
  <c r="F574" i="197" s="1"/>
  <c r="G574" i="197" s="1"/>
  <c r="M574" i="197"/>
  <c r="N573" i="197"/>
  <c r="O573" i="197" s="1"/>
  <c r="F573" i="197" s="1"/>
  <c r="G573" i="197" s="1"/>
  <c r="M573" i="197"/>
  <c r="N572" i="197"/>
  <c r="O572" i="197" s="1"/>
  <c r="F572" i="197" s="1"/>
  <c r="G572" i="197" s="1"/>
  <c r="M572" i="197"/>
  <c r="N571" i="197"/>
  <c r="O571" i="197" s="1"/>
  <c r="F571" i="197" s="1"/>
  <c r="G571" i="197" s="1"/>
  <c r="M571" i="197"/>
  <c r="N570" i="197"/>
  <c r="O570" i="197" s="1"/>
  <c r="F570" i="197" s="1"/>
  <c r="G570" i="197" s="1"/>
  <c r="M570" i="197"/>
  <c r="N569" i="197"/>
  <c r="O569" i="197" s="1"/>
  <c r="F569" i="197" s="1"/>
  <c r="G569" i="197" s="1"/>
  <c r="M569" i="197"/>
  <c r="N568" i="197"/>
  <c r="O568" i="197" s="1"/>
  <c r="F568" i="197" s="1"/>
  <c r="G568" i="197" s="1"/>
  <c r="M568" i="197"/>
  <c r="N567" i="197"/>
  <c r="O567" i="197" s="1"/>
  <c r="F567" i="197" s="1"/>
  <c r="G567" i="197" s="1"/>
  <c r="M567" i="197"/>
  <c r="N566" i="197"/>
  <c r="O566" i="197" s="1"/>
  <c r="F566" i="197" s="1"/>
  <c r="G566" i="197" s="1"/>
  <c r="M566" i="197"/>
  <c r="N565" i="197"/>
  <c r="O565" i="197" s="1"/>
  <c r="F565" i="197" s="1"/>
  <c r="G565" i="197" s="1"/>
  <c r="M565" i="197"/>
  <c r="O564" i="197"/>
  <c r="F564" i="197" s="1"/>
  <c r="G564" i="197" s="1"/>
  <c r="N564" i="197"/>
  <c r="M564" i="197"/>
  <c r="N563" i="197"/>
  <c r="O563" i="197" s="1"/>
  <c r="F563" i="197" s="1"/>
  <c r="G563" i="197" s="1"/>
  <c r="M563" i="197"/>
  <c r="N562" i="197"/>
  <c r="O562" i="197" s="1"/>
  <c r="F562" i="197" s="1"/>
  <c r="G562" i="197" s="1"/>
  <c r="M562" i="197"/>
  <c r="N561" i="197"/>
  <c r="O561" i="197" s="1"/>
  <c r="F561" i="197" s="1"/>
  <c r="G561" i="197" s="1"/>
  <c r="M561" i="197"/>
  <c r="N560" i="197"/>
  <c r="O560" i="197" s="1"/>
  <c r="F560" i="197" s="1"/>
  <c r="G560" i="197" s="1"/>
  <c r="M560" i="197"/>
  <c r="N559" i="197"/>
  <c r="O559" i="197" s="1"/>
  <c r="F559" i="197" s="1"/>
  <c r="G559" i="197" s="1"/>
  <c r="M559" i="197"/>
  <c r="N558" i="197"/>
  <c r="O558" i="197" s="1"/>
  <c r="F558" i="197" s="1"/>
  <c r="G558" i="197" s="1"/>
  <c r="M558" i="197"/>
  <c r="N557" i="197"/>
  <c r="O557" i="197" s="1"/>
  <c r="F557" i="197" s="1"/>
  <c r="G557" i="197" s="1"/>
  <c r="M557" i="197"/>
  <c r="N556" i="197"/>
  <c r="O556" i="197" s="1"/>
  <c r="F556" i="197" s="1"/>
  <c r="G556" i="197" s="1"/>
  <c r="M556" i="197"/>
  <c r="N555" i="197"/>
  <c r="O555" i="197" s="1"/>
  <c r="F555" i="197" s="1"/>
  <c r="G555" i="197" s="1"/>
  <c r="M555" i="197"/>
  <c r="N554" i="197"/>
  <c r="O554" i="197" s="1"/>
  <c r="F554" i="197" s="1"/>
  <c r="G554" i="197" s="1"/>
  <c r="M554" i="197"/>
  <c r="N553" i="197"/>
  <c r="O553" i="197" s="1"/>
  <c r="F553" i="197" s="1"/>
  <c r="G553" i="197" s="1"/>
  <c r="M553" i="197"/>
  <c r="N552" i="197"/>
  <c r="O552" i="197" s="1"/>
  <c r="F552" i="197" s="1"/>
  <c r="G552" i="197" s="1"/>
  <c r="M552" i="197"/>
  <c r="N551" i="197"/>
  <c r="O551" i="197" s="1"/>
  <c r="F551" i="197" s="1"/>
  <c r="G551" i="197" s="1"/>
  <c r="M551" i="197"/>
  <c r="N550" i="197"/>
  <c r="O550" i="197" s="1"/>
  <c r="F550" i="197" s="1"/>
  <c r="G550" i="197" s="1"/>
  <c r="M550" i="197"/>
  <c r="N549" i="197"/>
  <c r="O549" i="197" s="1"/>
  <c r="F549" i="197" s="1"/>
  <c r="G549" i="197" s="1"/>
  <c r="M549" i="197"/>
  <c r="N548" i="197"/>
  <c r="O548" i="197" s="1"/>
  <c r="F548" i="197" s="1"/>
  <c r="G548" i="197" s="1"/>
  <c r="M548" i="197"/>
  <c r="N547" i="197"/>
  <c r="O547" i="197" s="1"/>
  <c r="F547" i="197" s="1"/>
  <c r="G547" i="197" s="1"/>
  <c r="M547" i="197"/>
  <c r="N546" i="197"/>
  <c r="O546" i="197" s="1"/>
  <c r="F546" i="197" s="1"/>
  <c r="G546" i="197" s="1"/>
  <c r="M546" i="197"/>
  <c r="N545" i="197"/>
  <c r="O545" i="197" s="1"/>
  <c r="F545" i="197" s="1"/>
  <c r="G545" i="197" s="1"/>
  <c r="M545" i="197"/>
  <c r="N544" i="197"/>
  <c r="O544" i="197" s="1"/>
  <c r="F544" i="197" s="1"/>
  <c r="G544" i="197" s="1"/>
  <c r="M544" i="197"/>
  <c r="N543" i="197"/>
  <c r="O543" i="197" s="1"/>
  <c r="F543" i="197" s="1"/>
  <c r="G543" i="197" s="1"/>
  <c r="M543" i="197"/>
  <c r="N542" i="197"/>
  <c r="O542" i="197" s="1"/>
  <c r="F542" i="197" s="1"/>
  <c r="G542" i="197" s="1"/>
  <c r="M542" i="197"/>
  <c r="N541" i="197"/>
  <c r="O541" i="197" s="1"/>
  <c r="F541" i="197" s="1"/>
  <c r="G541" i="197" s="1"/>
  <c r="M541" i="197"/>
  <c r="N540" i="197"/>
  <c r="O540" i="197" s="1"/>
  <c r="F540" i="197" s="1"/>
  <c r="G540" i="197" s="1"/>
  <c r="M540" i="197"/>
  <c r="N539" i="197"/>
  <c r="O539" i="197" s="1"/>
  <c r="F539" i="197" s="1"/>
  <c r="G539" i="197" s="1"/>
  <c r="M539" i="197"/>
  <c r="O538" i="197"/>
  <c r="F538" i="197" s="1"/>
  <c r="G538" i="197" s="1"/>
  <c r="N538" i="197"/>
  <c r="M538" i="197"/>
  <c r="N537" i="197"/>
  <c r="O537" i="197" s="1"/>
  <c r="F537" i="197" s="1"/>
  <c r="G537" i="197" s="1"/>
  <c r="M537" i="197"/>
  <c r="N536" i="197"/>
  <c r="O536" i="197" s="1"/>
  <c r="F536" i="197" s="1"/>
  <c r="G536" i="197" s="1"/>
  <c r="M536" i="197"/>
  <c r="N535" i="197"/>
  <c r="O535" i="197" s="1"/>
  <c r="F535" i="197" s="1"/>
  <c r="G535" i="197" s="1"/>
  <c r="M535" i="197"/>
  <c r="N534" i="197"/>
  <c r="O534" i="197" s="1"/>
  <c r="F534" i="197" s="1"/>
  <c r="G534" i="197" s="1"/>
  <c r="M534" i="197"/>
  <c r="N533" i="197"/>
  <c r="O533" i="197" s="1"/>
  <c r="F533" i="197" s="1"/>
  <c r="G533" i="197" s="1"/>
  <c r="M533" i="197"/>
  <c r="N532" i="197"/>
  <c r="O532" i="197" s="1"/>
  <c r="F532" i="197" s="1"/>
  <c r="G532" i="197" s="1"/>
  <c r="M532" i="197"/>
  <c r="N531" i="197"/>
  <c r="O531" i="197" s="1"/>
  <c r="F531" i="197" s="1"/>
  <c r="G531" i="197" s="1"/>
  <c r="M531" i="197"/>
  <c r="N530" i="197"/>
  <c r="O530" i="197" s="1"/>
  <c r="F530" i="197" s="1"/>
  <c r="G530" i="197" s="1"/>
  <c r="M530" i="197"/>
  <c r="N529" i="197"/>
  <c r="O529" i="197" s="1"/>
  <c r="F529" i="197" s="1"/>
  <c r="G529" i="197" s="1"/>
  <c r="M529" i="197"/>
  <c r="N528" i="197"/>
  <c r="O528" i="197" s="1"/>
  <c r="F528" i="197" s="1"/>
  <c r="G528" i="197" s="1"/>
  <c r="M528" i="197"/>
  <c r="N527" i="197"/>
  <c r="O527" i="197" s="1"/>
  <c r="F527" i="197" s="1"/>
  <c r="G527" i="197" s="1"/>
  <c r="M527" i="197"/>
  <c r="N526" i="197"/>
  <c r="O526" i="197" s="1"/>
  <c r="F526" i="197" s="1"/>
  <c r="G526" i="197" s="1"/>
  <c r="M526" i="197"/>
  <c r="N525" i="197"/>
  <c r="O525" i="197" s="1"/>
  <c r="F525" i="197" s="1"/>
  <c r="G525" i="197" s="1"/>
  <c r="M525" i="197"/>
  <c r="N524" i="197"/>
  <c r="O524" i="197" s="1"/>
  <c r="F524" i="197" s="1"/>
  <c r="G524" i="197" s="1"/>
  <c r="M524" i="197"/>
  <c r="N523" i="197"/>
  <c r="O523" i="197" s="1"/>
  <c r="F523" i="197" s="1"/>
  <c r="G523" i="197" s="1"/>
  <c r="M523" i="197"/>
  <c r="N522" i="197"/>
  <c r="O522" i="197" s="1"/>
  <c r="F522" i="197" s="1"/>
  <c r="G522" i="197" s="1"/>
  <c r="M522" i="197"/>
  <c r="N521" i="197"/>
  <c r="O521" i="197" s="1"/>
  <c r="F521" i="197" s="1"/>
  <c r="G521" i="197" s="1"/>
  <c r="M521" i="197"/>
  <c r="N520" i="197"/>
  <c r="O520" i="197" s="1"/>
  <c r="F520" i="197" s="1"/>
  <c r="G520" i="197" s="1"/>
  <c r="M520" i="197"/>
  <c r="N519" i="197"/>
  <c r="O519" i="197" s="1"/>
  <c r="F519" i="197" s="1"/>
  <c r="G519" i="197" s="1"/>
  <c r="M519" i="197"/>
  <c r="N518" i="197"/>
  <c r="O518" i="197" s="1"/>
  <c r="F518" i="197" s="1"/>
  <c r="G518" i="197" s="1"/>
  <c r="M518" i="197"/>
  <c r="N517" i="197"/>
  <c r="O517" i="197" s="1"/>
  <c r="F517" i="197" s="1"/>
  <c r="G517" i="197" s="1"/>
  <c r="M517" i="197"/>
  <c r="N516" i="197"/>
  <c r="O516" i="197" s="1"/>
  <c r="F516" i="197" s="1"/>
  <c r="G516" i="197" s="1"/>
  <c r="M516" i="197"/>
  <c r="N515" i="197"/>
  <c r="O515" i="197" s="1"/>
  <c r="F515" i="197" s="1"/>
  <c r="G515" i="197" s="1"/>
  <c r="M515" i="197"/>
  <c r="N514" i="197"/>
  <c r="O514" i="197" s="1"/>
  <c r="F514" i="197" s="1"/>
  <c r="G514" i="197" s="1"/>
  <c r="M514" i="197"/>
  <c r="N513" i="197"/>
  <c r="O513" i="197" s="1"/>
  <c r="F513" i="197" s="1"/>
  <c r="G513" i="197" s="1"/>
  <c r="M513" i="197"/>
  <c r="N512" i="197"/>
  <c r="O512" i="197" s="1"/>
  <c r="F512" i="197" s="1"/>
  <c r="G512" i="197" s="1"/>
  <c r="M512" i="197"/>
  <c r="N511" i="197"/>
  <c r="O511" i="197" s="1"/>
  <c r="F511" i="197" s="1"/>
  <c r="G511" i="197" s="1"/>
  <c r="M511" i="197"/>
  <c r="N510" i="197"/>
  <c r="O510" i="197" s="1"/>
  <c r="F510" i="197" s="1"/>
  <c r="G510" i="197" s="1"/>
  <c r="M510" i="197"/>
  <c r="N509" i="197"/>
  <c r="O509" i="197" s="1"/>
  <c r="F509" i="197" s="1"/>
  <c r="G509" i="197" s="1"/>
  <c r="M509" i="197"/>
  <c r="N508" i="197"/>
  <c r="O508" i="197" s="1"/>
  <c r="F508" i="197" s="1"/>
  <c r="G508" i="197" s="1"/>
  <c r="M508" i="197"/>
  <c r="N507" i="197"/>
  <c r="O507" i="197" s="1"/>
  <c r="F507" i="197" s="1"/>
  <c r="G507" i="197" s="1"/>
  <c r="M507" i="197"/>
  <c r="N506" i="197"/>
  <c r="O506" i="197" s="1"/>
  <c r="F506" i="197" s="1"/>
  <c r="G506" i="197" s="1"/>
  <c r="M506" i="197"/>
  <c r="N505" i="197"/>
  <c r="O505" i="197" s="1"/>
  <c r="F505" i="197" s="1"/>
  <c r="G505" i="197" s="1"/>
  <c r="M505" i="197"/>
  <c r="N504" i="197"/>
  <c r="O504" i="197" s="1"/>
  <c r="F504" i="197" s="1"/>
  <c r="G504" i="197" s="1"/>
  <c r="M504" i="197"/>
  <c r="N503" i="197"/>
  <c r="O503" i="197" s="1"/>
  <c r="F503" i="197" s="1"/>
  <c r="G503" i="197" s="1"/>
  <c r="M503" i="197"/>
  <c r="N502" i="197"/>
  <c r="O502" i="197" s="1"/>
  <c r="F502" i="197" s="1"/>
  <c r="G502" i="197" s="1"/>
  <c r="M502" i="197"/>
  <c r="N501" i="197"/>
  <c r="O501" i="197" s="1"/>
  <c r="F501" i="197" s="1"/>
  <c r="G501" i="197" s="1"/>
  <c r="M501" i="197"/>
  <c r="N500" i="197"/>
  <c r="O500" i="197" s="1"/>
  <c r="F500" i="197" s="1"/>
  <c r="G500" i="197" s="1"/>
  <c r="M500" i="197"/>
  <c r="N499" i="197"/>
  <c r="O499" i="197" s="1"/>
  <c r="F499" i="197" s="1"/>
  <c r="G499" i="197" s="1"/>
  <c r="M499" i="197"/>
  <c r="N498" i="197"/>
  <c r="O498" i="197" s="1"/>
  <c r="F498" i="197" s="1"/>
  <c r="G498" i="197" s="1"/>
  <c r="M498" i="197"/>
  <c r="N497" i="197"/>
  <c r="O497" i="197" s="1"/>
  <c r="F497" i="197" s="1"/>
  <c r="G497" i="197" s="1"/>
  <c r="M497" i="197"/>
  <c r="N496" i="197"/>
  <c r="O496" i="197" s="1"/>
  <c r="F496" i="197" s="1"/>
  <c r="G496" i="197" s="1"/>
  <c r="M496" i="197"/>
  <c r="N495" i="197"/>
  <c r="O495" i="197" s="1"/>
  <c r="F495" i="197" s="1"/>
  <c r="G495" i="197" s="1"/>
  <c r="M495" i="197"/>
  <c r="N494" i="197"/>
  <c r="O494" i="197" s="1"/>
  <c r="F494" i="197" s="1"/>
  <c r="G494" i="197" s="1"/>
  <c r="M494" i="197"/>
  <c r="N493" i="197"/>
  <c r="O493" i="197" s="1"/>
  <c r="F493" i="197" s="1"/>
  <c r="G493" i="197" s="1"/>
  <c r="M493" i="197"/>
  <c r="N492" i="197"/>
  <c r="O492" i="197" s="1"/>
  <c r="F492" i="197" s="1"/>
  <c r="G492" i="197" s="1"/>
  <c r="M492" i="197"/>
  <c r="N491" i="197"/>
  <c r="O491" i="197" s="1"/>
  <c r="F491" i="197" s="1"/>
  <c r="G491" i="197" s="1"/>
  <c r="M491" i="197"/>
  <c r="N490" i="197"/>
  <c r="O490" i="197" s="1"/>
  <c r="F490" i="197" s="1"/>
  <c r="G490" i="197" s="1"/>
  <c r="M490" i="197"/>
  <c r="N489" i="197"/>
  <c r="O489" i="197" s="1"/>
  <c r="F489" i="197" s="1"/>
  <c r="G489" i="197" s="1"/>
  <c r="M489" i="197"/>
  <c r="N488" i="197"/>
  <c r="O488" i="197" s="1"/>
  <c r="F488" i="197" s="1"/>
  <c r="G488" i="197" s="1"/>
  <c r="M488" i="197"/>
  <c r="N487" i="197"/>
  <c r="O487" i="197" s="1"/>
  <c r="F487" i="197" s="1"/>
  <c r="G487" i="197" s="1"/>
  <c r="M487" i="197"/>
  <c r="N486" i="197"/>
  <c r="O486" i="197" s="1"/>
  <c r="F486" i="197" s="1"/>
  <c r="G486" i="197" s="1"/>
  <c r="M486" i="197"/>
  <c r="N485" i="197"/>
  <c r="O485" i="197" s="1"/>
  <c r="F485" i="197" s="1"/>
  <c r="G485" i="197" s="1"/>
  <c r="M485" i="197"/>
  <c r="O484" i="197"/>
  <c r="F484" i="197" s="1"/>
  <c r="G484" i="197" s="1"/>
  <c r="N484" i="197"/>
  <c r="M484" i="197"/>
  <c r="N483" i="197"/>
  <c r="O483" i="197" s="1"/>
  <c r="F483" i="197" s="1"/>
  <c r="G483" i="197" s="1"/>
  <c r="M483" i="197"/>
  <c r="N482" i="197"/>
  <c r="O482" i="197" s="1"/>
  <c r="F482" i="197" s="1"/>
  <c r="G482" i="197" s="1"/>
  <c r="M482" i="197"/>
  <c r="O481" i="197"/>
  <c r="F481" i="197" s="1"/>
  <c r="G481" i="197" s="1"/>
  <c r="N481" i="197"/>
  <c r="M481" i="197"/>
  <c r="N480" i="197"/>
  <c r="O480" i="197" s="1"/>
  <c r="F480" i="197" s="1"/>
  <c r="G480" i="197" s="1"/>
  <c r="M480" i="197"/>
  <c r="N479" i="197"/>
  <c r="O479" i="197" s="1"/>
  <c r="F479" i="197" s="1"/>
  <c r="G479" i="197" s="1"/>
  <c r="M479" i="197"/>
  <c r="N478" i="197"/>
  <c r="O478" i="197" s="1"/>
  <c r="F478" i="197" s="1"/>
  <c r="G478" i="197" s="1"/>
  <c r="M478" i="197"/>
  <c r="N477" i="197"/>
  <c r="O477" i="197" s="1"/>
  <c r="F477" i="197" s="1"/>
  <c r="G477" i="197" s="1"/>
  <c r="M477" i="197"/>
  <c r="N476" i="197"/>
  <c r="O476" i="197" s="1"/>
  <c r="F476" i="197" s="1"/>
  <c r="G476" i="197" s="1"/>
  <c r="M476" i="197"/>
  <c r="N475" i="197"/>
  <c r="O475" i="197" s="1"/>
  <c r="F475" i="197" s="1"/>
  <c r="G475" i="197" s="1"/>
  <c r="M475" i="197"/>
  <c r="N474" i="197"/>
  <c r="O474" i="197" s="1"/>
  <c r="F474" i="197" s="1"/>
  <c r="G474" i="197" s="1"/>
  <c r="M474" i="197"/>
  <c r="N473" i="197"/>
  <c r="O473" i="197" s="1"/>
  <c r="F473" i="197" s="1"/>
  <c r="G473" i="197" s="1"/>
  <c r="M473" i="197"/>
  <c r="N472" i="197"/>
  <c r="O472" i="197" s="1"/>
  <c r="F472" i="197" s="1"/>
  <c r="G472" i="197" s="1"/>
  <c r="M472" i="197"/>
  <c r="N471" i="197"/>
  <c r="O471" i="197" s="1"/>
  <c r="F471" i="197" s="1"/>
  <c r="G471" i="197" s="1"/>
  <c r="M471" i="197"/>
  <c r="N470" i="197"/>
  <c r="O470" i="197" s="1"/>
  <c r="F470" i="197" s="1"/>
  <c r="G470" i="197" s="1"/>
  <c r="M470" i="197"/>
  <c r="N469" i="197"/>
  <c r="O469" i="197" s="1"/>
  <c r="F469" i="197" s="1"/>
  <c r="G469" i="197" s="1"/>
  <c r="M469" i="197"/>
  <c r="N468" i="197"/>
  <c r="O468" i="197" s="1"/>
  <c r="F468" i="197" s="1"/>
  <c r="G468" i="197" s="1"/>
  <c r="M468" i="197"/>
  <c r="N467" i="197"/>
  <c r="O467" i="197" s="1"/>
  <c r="F467" i="197" s="1"/>
  <c r="G467" i="197" s="1"/>
  <c r="M467" i="197"/>
  <c r="N466" i="197"/>
  <c r="O466" i="197" s="1"/>
  <c r="F466" i="197" s="1"/>
  <c r="G466" i="197" s="1"/>
  <c r="M466" i="197"/>
  <c r="O465" i="197"/>
  <c r="F465" i="197" s="1"/>
  <c r="G465" i="197" s="1"/>
  <c r="N465" i="197"/>
  <c r="M465" i="197"/>
  <c r="N464" i="197"/>
  <c r="O464" i="197" s="1"/>
  <c r="F464" i="197" s="1"/>
  <c r="G464" i="197" s="1"/>
  <c r="M464" i="197"/>
  <c r="N463" i="197"/>
  <c r="O463" i="197" s="1"/>
  <c r="F463" i="197" s="1"/>
  <c r="G463" i="197" s="1"/>
  <c r="M463" i="197"/>
  <c r="N462" i="197"/>
  <c r="O462" i="197" s="1"/>
  <c r="F462" i="197" s="1"/>
  <c r="G462" i="197" s="1"/>
  <c r="M462" i="197"/>
  <c r="N461" i="197"/>
  <c r="O461" i="197" s="1"/>
  <c r="F461" i="197" s="1"/>
  <c r="G461" i="197" s="1"/>
  <c r="M461" i="197"/>
  <c r="N460" i="197"/>
  <c r="O460" i="197" s="1"/>
  <c r="F460" i="197" s="1"/>
  <c r="G460" i="197" s="1"/>
  <c r="M460" i="197"/>
  <c r="N459" i="197"/>
  <c r="O459" i="197" s="1"/>
  <c r="F459" i="197" s="1"/>
  <c r="G459" i="197" s="1"/>
  <c r="M459" i="197"/>
  <c r="N458" i="197"/>
  <c r="O458" i="197" s="1"/>
  <c r="F458" i="197" s="1"/>
  <c r="G458" i="197" s="1"/>
  <c r="M458" i="197"/>
  <c r="N457" i="197"/>
  <c r="O457" i="197" s="1"/>
  <c r="F457" i="197" s="1"/>
  <c r="G457" i="197" s="1"/>
  <c r="M457" i="197"/>
  <c r="N456" i="197"/>
  <c r="O456" i="197" s="1"/>
  <c r="F456" i="197" s="1"/>
  <c r="G456" i="197" s="1"/>
  <c r="M456" i="197"/>
  <c r="N455" i="197"/>
  <c r="O455" i="197" s="1"/>
  <c r="F455" i="197" s="1"/>
  <c r="G455" i="197" s="1"/>
  <c r="M455" i="197"/>
  <c r="N454" i="197"/>
  <c r="O454" i="197" s="1"/>
  <c r="F454" i="197" s="1"/>
  <c r="G454" i="197" s="1"/>
  <c r="M454" i="197"/>
  <c r="N453" i="197"/>
  <c r="O453" i="197" s="1"/>
  <c r="F453" i="197" s="1"/>
  <c r="G453" i="197" s="1"/>
  <c r="M453" i="197"/>
  <c r="N452" i="197"/>
  <c r="O452" i="197" s="1"/>
  <c r="F452" i="197" s="1"/>
  <c r="G452" i="197" s="1"/>
  <c r="M452" i="197"/>
  <c r="N451" i="197"/>
  <c r="O451" i="197" s="1"/>
  <c r="F451" i="197" s="1"/>
  <c r="G451" i="197" s="1"/>
  <c r="M451" i="197"/>
  <c r="N450" i="197"/>
  <c r="O450" i="197" s="1"/>
  <c r="F450" i="197" s="1"/>
  <c r="G450" i="197" s="1"/>
  <c r="M450" i="197"/>
  <c r="N449" i="197"/>
  <c r="O449" i="197" s="1"/>
  <c r="F449" i="197" s="1"/>
  <c r="G449" i="197" s="1"/>
  <c r="M449" i="197"/>
  <c r="N448" i="197"/>
  <c r="O448" i="197" s="1"/>
  <c r="F448" i="197" s="1"/>
  <c r="G448" i="197" s="1"/>
  <c r="M448" i="197"/>
  <c r="N447" i="197"/>
  <c r="O447" i="197" s="1"/>
  <c r="F447" i="197" s="1"/>
  <c r="G447" i="197" s="1"/>
  <c r="M447" i="197"/>
  <c r="N446" i="197"/>
  <c r="O446" i="197" s="1"/>
  <c r="F446" i="197" s="1"/>
  <c r="G446" i="197" s="1"/>
  <c r="M446" i="197"/>
  <c r="N445" i="197"/>
  <c r="O445" i="197" s="1"/>
  <c r="F445" i="197" s="1"/>
  <c r="G445" i="197" s="1"/>
  <c r="M445" i="197"/>
  <c r="N444" i="197"/>
  <c r="O444" i="197" s="1"/>
  <c r="F444" i="197" s="1"/>
  <c r="G444" i="197" s="1"/>
  <c r="M444" i="197"/>
  <c r="N443" i="197"/>
  <c r="O443" i="197" s="1"/>
  <c r="F443" i="197" s="1"/>
  <c r="G443" i="197" s="1"/>
  <c r="M443" i="197"/>
  <c r="N442" i="197"/>
  <c r="O442" i="197" s="1"/>
  <c r="F442" i="197" s="1"/>
  <c r="G442" i="197" s="1"/>
  <c r="M442" i="197"/>
  <c r="N441" i="197"/>
  <c r="O441" i="197" s="1"/>
  <c r="F441" i="197" s="1"/>
  <c r="G441" i="197" s="1"/>
  <c r="M441" i="197"/>
  <c r="N440" i="197"/>
  <c r="O440" i="197" s="1"/>
  <c r="F440" i="197" s="1"/>
  <c r="G440" i="197" s="1"/>
  <c r="M440" i="197"/>
  <c r="N439" i="197"/>
  <c r="O439" i="197" s="1"/>
  <c r="F439" i="197" s="1"/>
  <c r="G439" i="197" s="1"/>
  <c r="M439" i="197"/>
  <c r="N438" i="197"/>
  <c r="O438" i="197" s="1"/>
  <c r="F438" i="197" s="1"/>
  <c r="G438" i="197" s="1"/>
  <c r="M438" i="197"/>
  <c r="N437" i="197"/>
  <c r="O437" i="197" s="1"/>
  <c r="F437" i="197" s="1"/>
  <c r="G437" i="197" s="1"/>
  <c r="M437" i="197"/>
  <c r="N436" i="197"/>
  <c r="O436" i="197" s="1"/>
  <c r="F436" i="197" s="1"/>
  <c r="G436" i="197" s="1"/>
  <c r="M436" i="197"/>
  <c r="N435" i="197"/>
  <c r="O435" i="197" s="1"/>
  <c r="F435" i="197" s="1"/>
  <c r="G435" i="197" s="1"/>
  <c r="M435" i="197"/>
  <c r="N434" i="197"/>
  <c r="O434" i="197" s="1"/>
  <c r="F434" i="197" s="1"/>
  <c r="G434" i="197" s="1"/>
  <c r="M434" i="197"/>
  <c r="N433" i="197"/>
  <c r="O433" i="197" s="1"/>
  <c r="F433" i="197" s="1"/>
  <c r="G433" i="197" s="1"/>
  <c r="M433" i="197"/>
  <c r="N432" i="197"/>
  <c r="O432" i="197" s="1"/>
  <c r="F432" i="197" s="1"/>
  <c r="G432" i="197" s="1"/>
  <c r="M432" i="197"/>
  <c r="O431" i="197"/>
  <c r="F431" i="197" s="1"/>
  <c r="G431" i="197" s="1"/>
  <c r="N431" i="197"/>
  <c r="M431" i="197"/>
  <c r="N430" i="197"/>
  <c r="O430" i="197" s="1"/>
  <c r="F430" i="197" s="1"/>
  <c r="G430" i="197" s="1"/>
  <c r="M430" i="197"/>
  <c r="N429" i="197"/>
  <c r="O429" i="197" s="1"/>
  <c r="F429" i="197" s="1"/>
  <c r="G429" i="197" s="1"/>
  <c r="M429" i="197"/>
  <c r="N428" i="197"/>
  <c r="O428" i="197" s="1"/>
  <c r="F428" i="197" s="1"/>
  <c r="G428" i="197" s="1"/>
  <c r="M428" i="197"/>
  <c r="N427" i="197"/>
  <c r="O427" i="197" s="1"/>
  <c r="F427" i="197" s="1"/>
  <c r="G427" i="197" s="1"/>
  <c r="M427" i="197"/>
  <c r="N426" i="197"/>
  <c r="O426" i="197" s="1"/>
  <c r="F426" i="197" s="1"/>
  <c r="G426" i="197" s="1"/>
  <c r="M426" i="197"/>
  <c r="N425" i="197"/>
  <c r="O425" i="197" s="1"/>
  <c r="F425" i="197" s="1"/>
  <c r="G425" i="197" s="1"/>
  <c r="M425" i="197"/>
  <c r="N424" i="197"/>
  <c r="O424" i="197" s="1"/>
  <c r="F424" i="197" s="1"/>
  <c r="G424" i="197" s="1"/>
  <c r="M424" i="197"/>
  <c r="N423" i="197"/>
  <c r="O423" i="197" s="1"/>
  <c r="F423" i="197" s="1"/>
  <c r="G423" i="197" s="1"/>
  <c r="M423" i="197"/>
  <c r="N422" i="197"/>
  <c r="O422" i="197" s="1"/>
  <c r="F422" i="197" s="1"/>
  <c r="G422" i="197" s="1"/>
  <c r="M422" i="197"/>
  <c r="N421" i="197"/>
  <c r="O421" i="197" s="1"/>
  <c r="F421" i="197" s="1"/>
  <c r="G421" i="197" s="1"/>
  <c r="M421" i="197"/>
  <c r="N420" i="197"/>
  <c r="O420" i="197" s="1"/>
  <c r="F420" i="197" s="1"/>
  <c r="G420" i="197" s="1"/>
  <c r="M420" i="197"/>
  <c r="N419" i="197"/>
  <c r="O419" i="197" s="1"/>
  <c r="F419" i="197" s="1"/>
  <c r="G419" i="197" s="1"/>
  <c r="M419" i="197"/>
  <c r="N418" i="197"/>
  <c r="O418" i="197" s="1"/>
  <c r="F418" i="197" s="1"/>
  <c r="G418" i="197" s="1"/>
  <c r="M418" i="197"/>
  <c r="N417" i="197"/>
  <c r="O417" i="197" s="1"/>
  <c r="F417" i="197" s="1"/>
  <c r="G417" i="197" s="1"/>
  <c r="M417" i="197"/>
  <c r="N416" i="197"/>
  <c r="O416" i="197" s="1"/>
  <c r="F416" i="197" s="1"/>
  <c r="G416" i="197" s="1"/>
  <c r="M416" i="197"/>
  <c r="O415" i="197"/>
  <c r="F415" i="197" s="1"/>
  <c r="G415" i="197" s="1"/>
  <c r="N415" i="197"/>
  <c r="M415" i="197"/>
  <c r="N414" i="197"/>
  <c r="O414" i="197" s="1"/>
  <c r="F414" i="197" s="1"/>
  <c r="G414" i="197" s="1"/>
  <c r="M414" i="197"/>
  <c r="N413" i="197"/>
  <c r="O413" i="197" s="1"/>
  <c r="F413" i="197" s="1"/>
  <c r="G413" i="197" s="1"/>
  <c r="M413" i="197"/>
  <c r="N412" i="197"/>
  <c r="O412" i="197" s="1"/>
  <c r="F412" i="197" s="1"/>
  <c r="G412" i="197" s="1"/>
  <c r="M412" i="197"/>
  <c r="N411" i="197"/>
  <c r="O411" i="197" s="1"/>
  <c r="F411" i="197" s="1"/>
  <c r="G411" i="197" s="1"/>
  <c r="M411" i="197"/>
  <c r="N410" i="197"/>
  <c r="O410" i="197" s="1"/>
  <c r="F410" i="197" s="1"/>
  <c r="G410" i="197" s="1"/>
  <c r="M410" i="197"/>
  <c r="N409" i="197"/>
  <c r="O409" i="197" s="1"/>
  <c r="F409" i="197" s="1"/>
  <c r="G409" i="197" s="1"/>
  <c r="M409" i="197"/>
  <c r="N408" i="197"/>
  <c r="O408" i="197" s="1"/>
  <c r="F408" i="197" s="1"/>
  <c r="G408" i="197" s="1"/>
  <c r="M408" i="197"/>
  <c r="N407" i="197"/>
  <c r="O407" i="197" s="1"/>
  <c r="F407" i="197" s="1"/>
  <c r="G407" i="197" s="1"/>
  <c r="M407" i="197"/>
  <c r="N406" i="197"/>
  <c r="O406" i="197" s="1"/>
  <c r="F406" i="197" s="1"/>
  <c r="G406" i="197" s="1"/>
  <c r="M406" i="197"/>
  <c r="N405" i="197"/>
  <c r="O405" i="197" s="1"/>
  <c r="F405" i="197" s="1"/>
  <c r="G405" i="197" s="1"/>
  <c r="M405" i="197"/>
  <c r="N404" i="197"/>
  <c r="O404" i="197" s="1"/>
  <c r="F404" i="197" s="1"/>
  <c r="G404" i="197" s="1"/>
  <c r="M404" i="197"/>
  <c r="N403" i="197"/>
  <c r="O403" i="197" s="1"/>
  <c r="F403" i="197" s="1"/>
  <c r="G403" i="197" s="1"/>
  <c r="M403" i="197"/>
  <c r="N402" i="197"/>
  <c r="O402" i="197" s="1"/>
  <c r="F402" i="197" s="1"/>
  <c r="G402" i="197" s="1"/>
  <c r="M402" i="197"/>
  <c r="N401" i="197"/>
  <c r="O401" i="197" s="1"/>
  <c r="F401" i="197" s="1"/>
  <c r="G401" i="197" s="1"/>
  <c r="M401" i="197"/>
  <c r="N400" i="197"/>
  <c r="O400" i="197" s="1"/>
  <c r="F400" i="197" s="1"/>
  <c r="G400" i="197" s="1"/>
  <c r="M400" i="197"/>
  <c r="N399" i="197"/>
  <c r="O399" i="197" s="1"/>
  <c r="F399" i="197" s="1"/>
  <c r="G399" i="197" s="1"/>
  <c r="M399" i="197"/>
  <c r="N398" i="197"/>
  <c r="O398" i="197" s="1"/>
  <c r="F398" i="197" s="1"/>
  <c r="G398" i="197" s="1"/>
  <c r="M398" i="197"/>
  <c r="N397" i="197"/>
  <c r="O397" i="197" s="1"/>
  <c r="F397" i="197" s="1"/>
  <c r="G397" i="197" s="1"/>
  <c r="H397" i="197" s="1"/>
  <c r="M397" i="197"/>
  <c r="N396" i="197"/>
  <c r="O396" i="197" s="1"/>
  <c r="F396" i="197" s="1"/>
  <c r="G396" i="197" s="1"/>
  <c r="M396" i="197"/>
  <c r="N395" i="197"/>
  <c r="O395" i="197" s="1"/>
  <c r="F395" i="197" s="1"/>
  <c r="G395" i="197" s="1"/>
  <c r="M395" i="197"/>
  <c r="N394" i="197"/>
  <c r="O394" i="197" s="1"/>
  <c r="F394" i="197" s="1"/>
  <c r="G394" i="197" s="1"/>
  <c r="M394" i="197"/>
  <c r="N393" i="197"/>
  <c r="O393" i="197" s="1"/>
  <c r="F393" i="197" s="1"/>
  <c r="G393" i="197" s="1"/>
  <c r="M393" i="197"/>
  <c r="N392" i="197"/>
  <c r="O392" i="197" s="1"/>
  <c r="F392" i="197" s="1"/>
  <c r="G392" i="197" s="1"/>
  <c r="M392" i="197"/>
  <c r="N391" i="197"/>
  <c r="O391" i="197" s="1"/>
  <c r="F391" i="197" s="1"/>
  <c r="G391" i="197" s="1"/>
  <c r="M391" i="197"/>
  <c r="N390" i="197"/>
  <c r="O390" i="197" s="1"/>
  <c r="F390" i="197" s="1"/>
  <c r="G390" i="197" s="1"/>
  <c r="M390" i="197"/>
  <c r="N389" i="197"/>
  <c r="O389" i="197" s="1"/>
  <c r="F389" i="197" s="1"/>
  <c r="G389" i="197" s="1"/>
  <c r="M389" i="197"/>
  <c r="N388" i="197"/>
  <c r="O388" i="197" s="1"/>
  <c r="F388" i="197" s="1"/>
  <c r="G388" i="197" s="1"/>
  <c r="M388" i="197"/>
  <c r="N387" i="197"/>
  <c r="O387" i="197" s="1"/>
  <c r="F387" i="197" s="1"/>
  <c r="G387" i="197" s="1"/>
  <c r="M387" i="197"/>
  <c r="N386" i="197"/>
  <c r="O386" i="197" s="1"/>
  <c r="F386" i="197" s="1"/>
  <c r="G386" i="197" s="1"/>
  <c r="M386" i="197"/>
  <c r="N385" i="197"/>
  <c r="O385" i="197" s="1"/>
  <c r="F385" i="197" s="1"/>
  <c r="G385" i="197" s="1"/>
  <c r="M385" i="197"/>
  <c r="N384" i="197"/>
  <c r="O384" i="197" s="1"/>
  <c r="F384" i="197" s="1"/>
  <c r="G384" i="197" s="1"/>
  <c r="M384" i="197"/>
  <c r="N383" i="197"/>
  <c r="O383" i="197" s="1"/>
  <c r="F383" i="197" s="1"/>
  <c r="G383" i="197" s="1"/>
  <c r="M383" i="197"/>
  <c r="N382" i="197"/>
  <c r="O382" i="197" s="1"/>
  <c r="F382" i="197" s="1"/>
  <c r="G382" i="197" s="1"/>
  <c r="M382" i="197"/>
  <c r="N381" i="197"/>
  <c r="O381" i="197" s="1"/>
  <c r="F381" i="197" s="1"/>
  <c r="G381" i="197" s="1"/>
  <c r="M381" i="197"/>
  <c r="N380" i="197"/>
  <c r="O380" i="197" s="1"/>
  <c r="F380" i="197" s="1"/>
  <c r="G380" i="197" s="1"/>
  <c r="M380" i="197"/>
  <c r="N379" i="197"/>
  <c r="O379" i="197" s="1"/>
  <c r="F379" i="197" s="1"/>
  <c r="G379" i="197" s="1"/>
  <c r="M379" i="197"/>
  <c r="N378" i="197"/>
  <c r="O378" i="197" s="1"/>
  <c r="N377" i="197"/>
  <c r="O377" i="197" s="1"/>
  <c r="F377" i="197" s="1"/>
  <c r="G377" i="197" s="1"/>
  <c r="M377" i="197"/>
  <c r="N376" i="197"/>
  <c r="O376" i="197" s="1"/>
  <c r="F376" i="197" s="1"/>
  <c r="G376" i="197" s="1"/>
  <c r="M376" i="197"/>
  <c r="N375" i="197"/>
  <c r="O375" i="197" s="1"/>
  <c r="F375" i="197" s="1"/>
  <c r="G375" i="197" s="1"/>
  <c r="M375" i="197"/>
  <c r="N374" i="197"/>
  <c r="O374" i="197" s="1"/>
  <c r="F374" i="197" s="1"/>
  <c r="G374" i="197" s="1"/>
  <c r="M374" i="197"/>
  <c r="N373" i="197"/>
  <c r="O373" i="197" s="1"/>
  <c r="F373" i="197" s="1"/>
  <c r="G373" i="197" s="1"/>
  <c r="M373" i="197"/>
  <c r="N372" i="197"/>
  <c r="O372" i="197" s="1"/>
  <c r="F372" i="197" s="1"/>
  <c r="G372" i="197" s="1"/>
  <c r="M372" i="197"/>
  <c r="N371" i="197"/>
  <c r="O371" i="197" s="1"/>
  <c r="F371" i="197" s="1"/>
  <c r="G371" i="197" s="1"/>
  <c r="M371" i="197"/>
  <c r="N370" i="197"/>
  <c r="O370" i="197" s="1"/>
  <c r="F370" i="197" s="1"/>
  <c r="G370" i="197" s="1"/>
  <c r="M370" i="197"/>
  <c r="N369" i="197"/>
  <c r="O369" i="197" s="1"/>
  <c r="F369" i="197" s="1"/>
  <c r="G369" i="197" s="1"/>
  <c r="M369" i="197"/>
  <c r="N368" i="197"/>
  <c r="O368" i="197" s="1"/>
  <c r="F368" i="197" s="1"/>
  <c r="G368" i="197" s="1"/>
  <c r="M368" i="197"/>
  <c r="N367" i="197"/>
  <c r="O367" i="197" s="1"/>
  <c r="F367" i="197" s="1"/>
  <c r="G367" i="197" s="1"/>
  <c r="M367" i="197"/>
  <c r="N366" i="197"/>
  <c r="O366" i="197" s="1"/>
  <c r="F366" i="197" s="1"/>
  <c r="G366" i="197" s="1"/>
  <c r="M366" i="197"/>
  <c r="N365" i="197"/>
  <c r="O365" i="197" s="1"/>
  <c r="F365" i="197" s="1"/>
  <c r="G365" i="197" s="1"/>
  <c r="M365" i="197"/>
  <c r="O364" i="197"/>
  <c r="F364" i="197" s="1"/>
  <c r="G364" i="197" s="1"/>
  <c r="N364" i="197"/>
  <c r="M364" i="197"/>
  <c r="N363" i="197"/>
  <c r="O363" i="197" s="1"/>
  <c r="F363" i="197" s="1"/>
  <c r="G363" i="197" s="1"/>
  <c r="M363" i="197"/>
  <c r="N362" i="197"/>
  <c r="O362" i="197" s="1"/>
  <c r="F362" i="197" s="1"/>
  <c r="G362" i="197" s="1"/>
  <c r="M362" i="197"/>
  <c r="N361" i="197"/>
  <c r="O361" i="197" s="1"/>
  <c r="F361" i="197" s="1"/>
  <c r="G361" i="197" s="1"/>
  <c r="M361" i="197"/>
  <c r="N360" i="197"/>
  <c r="O360" i="197" s="1"/>
  <c r="F360" i="197" s="1"/>
  <c r="G360" i="197" s="1"/>
  <c r="M360" i="197"/>
  <c r="N359" i="197"/>
  <c r="O359" i="197" s="1"/>
  <c r="F359" i="197" s="1"/>
  <c r="G359" i="197" s="1"/>
  <c r="M359" i="197"/>
  <c r="N358" i="197"/>
  <c r="O358" i="197" s="1"/>
  <c r="F358" i="197" s="1"/>
  <c r="G358" i="197" s="1"/>
  <c r="M358" i="197"/>
  <c r="N357" i="197"/>
  <c r="O357" i="197" s="1"/>
  <c r="F357" i="197" s="1"/>
  <c r="G357" i="197" s="1"/>
  <c r="M357" i="197"/>
  <c r="O356" i="197"/>
  <c r="F356" i="197" s="1"/>
  <c r="G356" i="197" s="1"/>
  <c r="N356" i="197"/>
  <c r="M356" i="197"/>
  <c r="N355" i="197"/>
  <c r="O355" i="197" s="1"/>
  <c r="F355" i="197" s="1"/>
  <c r="G355" i="197" s="1"/>
  <c r="M355" i="197"/>
  <c r="N354" i="197"/>
  <c r="O354" i="197" s="1"/>
  <c r="F354" i="197" s="1"/>
  <c r="G354" i="197" s="1"/>
  <c r="M354" i="197"/>
  <c r="N353" i="197"/>
  <c r="O353" i="197" s="1"/>
  <c r="F353" i="197" s="1"/>
  <c r="G353" i="197" s="1"/>
  <c r="M353" i="197"/>
  <c r="N352" i="197"/>
  <c r="O352" i="197" s="1"/>
  <c r="F352" i="197" s="1"/>
  <c r="G352" i="197" s="1"/>
  <c r="M352" i="197"/>
  <c r="N351" i="197"/>
  <c r="O351" i="197" s="1"/>
  <c r="F351" i="197" s="1"/>
  <c r="G351" i="197" s="1"/>
  <c r="M351" i="197"/>
  <c r="N350" i="197"/>
  <c r="O350" i="197" s="1"/>
  <c r="F350" i="197" s="1"/>
  <c r="G350" i="197" s="1"/>
  <c r="M350" i="197"/>
  <c r="O349" i="197"/>
  <c r="F349" i="197" s="1"/>
  <c r="G349" i="197" s="1"/>
  <c r="N349" i="197"/>
  <c r="M349" i="197"/>
  <c r="N348" i="197"/>
  <c r="O348" i="197" s="1"/>
  <c r="F348" i="197" s="1"/>
  <c r="G348" i="197" s="1"/>
  <c r="M348" i="197"/>
  <c r="N347" i="197"/>
  <c r="O347" i="197" s="1"/>
  <c r="F347" i="197" s="1"/>
  <c r="G347" i="197" s="1"/>
  <c r="M347" i="197"/>
  <c r="N346" i="197"/>
  <c r="O346" i="197" s="1"/>
  <c r="F346" i="197" s="1"/>
  <c r="G346" i="197" s="1"/>
  <c r="M346" i="197"/>
  <c r="N345" i="197"/>
  <c r="O345" i="197" s="1"/>
  <c r="F345" i="197" s="1"/>
  <c r="G345" i="197" s="1"/>
  <c r="M345" i="197"/>
  <c r="N344" i="197"/>
  <c r="O344" i="197" s="1"/>
  <c r="F344" i="197" s="1"/>
  <c r="G344" i="197" s="1"/>
  <c r="M344" i="197"/>
  <c r="N343" i="197"/>
  <c r="O343" i="197" s="1"/>
  <c r="F343" i="197" s="1"/>
  <c r="G343" i="197" s="1"/>
  <c r="M343" i="197"/>
  <c r="N342" i="197"/>
  <c r="O342" i="197" s="1"/>
  <c r="F342" i="197" s="1"/>
  <c r="G342" i="197" s="1"/>
  <c r="M342" i="197"/>
  <c r="N341" i="197"/>
  <c r="O341" i="197" s="1"/>
  <c r="F341" i="197" s="1"/>
  <c r="G341" i="197" s="1"/>
  <c r="M341" i="197"/>
  <c r="N340" i="197"/>
  <c r="O340" i="197" s="1"/>
  <c r="F340" i="197" s="1"/>
  <c r="G340" i="197" s="1"/>
  <c r="M340" i="197"/>
  <c r="N339" i="197"/>
  <c r="O339" i="197" s="1"/>
  <c r="F339" i="197" s="1"/>
  <c r="G339" i="197" s="1"/>
  <c r="M339" i="197"/>
  <c r="N338" i="197"/>
  <c r="O338" i="197" s="1"/>
  <c r="F338" i="197" s="1"/>
  <c r="G338" i="197" s="1"/>
  <c r="M338" i="197"/>
  <c r="N337" i="197"/>
  <c r="O337" i="197" s="1"/>
  <c r="F337" i="197" s="1"/>
  <c r="G337" i="197" s="1"/>
  <c r="M337" i="197"/>
  <c r="N336" i="197"/>
  <c r="O336" i="197" s="1"/>
  <c r="F336" i="197" s="1"/>
  <c r="G336" i="197" s="1"/>
  <c r="M336" i="197"/>
  <c r="N335" i="197"/>
  <c r="O335" i="197" s="1"/>
  <c r="F335" i="197" s="1"/>
  <c r="G335" i="197" s="1"/>
  <c r="M335" i="197"/>
  <c r="N334" i="197"/>
  <c r="O334" i="197" s="1"/>
  <c r="F334" i="197" s="1"/>
  <c r="M334" i="197"/>
  <c r="N333" i="197"/>
  <c r="M333" i="197"/>
  <c r="O333" i="197" s="1"/>
  <c r="F333" i="197" s="1"/>
  <c r="G333" i="197" s="1"/>
  <c r="N332" i="197"/>
  <c r="M332" i="197"/>
  <c r="O332" i="197" s="1"/>
  <c r="F332" i="197" s="1"/>
  <c r="G332" i="197" s="1"/>
  <c r="N331" i="197"/>
  <c r="M331" i="197"/>
  <c r="O331" i="197" s="1"/>
  <c r="F331" i="197" s="1"/>
  <c r="G331" i="197" s="1"/>
  <c r="N330" i="197"/>
  <c r="M330" i="197"/>
  <c r="O330" i="197" s="1"/>
  <c r="F330" i="197" s="1"/>
  <c r="G330" i="197" s="1"/>
  <c r="N329" i="197"/>
  <c r="M329" i="197"/>
  <c r="O329" i="197" s="1"/>
  <c r="F329" i="197" s="1"/>
  <c r="G329" i="197" s="1"/>
  <c r="N328" i="197"/>
  <c r="M328" i="197"/>
  <c r="O328" i="197" s="1"/>
  <c r="F328" i="197" s="1"/>
  <c r="G328" i="197" s="1"/>
  <c r="N327" i="197"/>
  <c r="M327" i="197"/>
  <c r="O327" i="197" s="1"/>
  <c r="F327" i="197" s="1"/>
  <c r="G327" i="197" s="1"/>
  <c r="N326" i="197"/>
  <c r="M326" i="197"/>
  <c r="O326" i="197" s="1"/>
  <c r="F326" i="197" s="1"/>
  <c r="G326" i="197" s="1"/>
  <c r="N325" i="197"/>
  <c r="M325" i="197"/>
  <c r="O325" i="197" s="1"/>
  <c r="F325" i="197" s="1"/>
  <c r="G325" i="197" s="1"/>
  <c r="N324" i="197"/>
  <c r="M324" i="197"/>
  <c r="O324" i="197" s="1"/>
  <c r="F324" i="197" s="1"/>
  <c r="G324" i="197" s="1"/>
  <c r="N323" i="197"/>
  <c r="M323" i="197"/>
  <c r="O323" i="197" s="1"/>
  <c r="F323" i="197" s="1"/>
  <c r="G323" i="197" s="1"/>
  <c r="N322" i="197"/>
  <c r="M322" i="197"/>
  <c r="O322" i="197" s="1"/>
  <c r="F322" i="197" s="1"/>
  <c r="G322" i="197" s="1"/>
  <c r="N321" i="197"/>
  <c r="M321" i="197"/>
  <c r="O321" i="197" s="1"/>
  <c r="F321" i="197" s="1"/>
  <c r="G321" i="197" s="1"/>
  <c r="N320" i="197"/>
  <c r="M320" i="197"/>
  <c r="O320" i="197" s="1"/>
  <c r="F320" i="197" s="1"/>
  <c r="G320" i="197" s="1"/>
  <c r="N319" i="197"/>
  <c r="M319" i="197"/>
  <c r="O319" i="197" s="1"/>
  <c r="F319" i="197" s="1"/>
  <c r="G319" i="197" s="1"/>
  <c r="N318" i="197"/>
  <c r="M318" i="197"/>
  <c r="O318" i="197" s="1"/>
  <c r="F318" i="197" s="1"/>
  <c r="G318" i="197" s="1"/>
  <c r="N317" i="197"/>
  <c r="M317" i="197"/>
  <c r="O317" i="197" s="1"/>
  <c r="F317" i="197" s="1"/>
  <c r="G317" i="197" s="1"/>
  <c r="N316" i="197"/>
  <c r="M316" i="197"/>
  <c r="O316" i="197" s="1"/>
  <c r="F316" i="197" s="1"/>
  <c r="G316" i="197" s="1"/>
  <c r="N315" i="197"/>
  <c r="M315" i="197"/>
  <c r="O315" i="197" s="1"/>
  <c r="F315" i="197" s="1"/>
  <c r="G315" i="197" s="1"/>
  <c r="N314" i="197"/>
  <c r="M314" i="197"/>
  <c r="O314" i="197" s="1"/>
  <c r="F314" i="197" s="1"/>
  <c r="G314" i="197" s="1"/>
  <c r="N313" i="197"/>
  <c r="M313" i="197"/>
  <c r="O313" i="197" s="1"/>
  <c r="F313" i="197" s="1"/>
  <c r="G313" i="197" s="1"/>
  <c r="N312" i="197"/>
  <c r="M312" i="197"/>
  <c r="O312" i="197" s="1"/>
  <c r="F312" i="197" s="1"/>
  <c r="G312" i="197" s="1"/>
  <c r="N311" i="197"/>
  <c r="M311" i="197"/>
  <c r="O311" i="197" s="1"/>
  <c r="F311" i="197" s="1"/>
  <c r="G311" i="197" s="1"/>
  <c r="N310" i="197"/>
  <c r="M310" i="197"/>
  <c r="O310" i="197" s="1"/>
  <c r="F310" i="197" s="1"/>
  <c r="G310" i="197" s="1"/>
  <c r="N309" i="197"/>
  <c r="M309" i="197"/>
  <c r="O309" i="197" s="1"/>
  <c r="F309" i="197" s="1"/>
  <c r="G309" i="197" s="1"/>
  <c r="N308" i="197"/>
  <c r="M308" i="197"/>
  <c r="O308" i="197" s="1"/>
  <c r="F308" i="197" s="1"/>
  <c r="G308" i="197" s="1"/>
  <c r="N307" i="197"/>
  <c r="M307" i="197"/>
  <c r="O307" i="197" s="1"/>
  <c r="F307" i="197" s="1"/>
  <c r="G307" i="197" s="1"/>
  <c r="N306" i="197"/>
  <c r="M306" i="197"/>
  <c r="O306" i="197" s="1"/>
  <c r="F306" i="197" s="1"/>
  <c r="G306" i="197" s="1"/>
  <c r="N305" i="197"/>
  <c r="M305" i="197"/>
  <c r="O305" i="197" s="1"/>
  <c r="F305" i="197" s="1"/>
  <c r="G305" i="197" s="1"/>
  <c r="N304" i="197"/>
  <c r="M304" i="197"/>
  <c r="O304" i="197" s="1"/>
  <c r="F304" i="197" s="1"/>
  <c r="G304" i="197" s="1"/>
  <c r="N303" i="197"/>
  <c r="M303" i="197"/>
  <c r="O303" i="197" s="1"/>
  <c r="F303" i="197" s="1"/>
  <c r="G303" i="197" s="1"/>
  <c r="N302" i="197"/>
  <c r="M302" i="197"/>
  <c r="O302" i="197" s="1"/>
  <c r="F302" i="197" s="1"/>
  <c r="G302" i="197" s="1"/>
  <c r="N301" i="197"/>
  <c r="M301" i="197"/>
  <c r="O301" i="197" s="1"/>
  <c r="F301" i="197" s="1"/>
  <c r="G301" i="197" s="1"/>
  <c r="N300" i="197"/>
  <c r="M300" i="197"/>
  <c r="O300" i="197" s="1"/>
  <c r="F300" i="197" s="1"/>
  <c r="G300" i="197" s="1"/>
  <c r="N299" i="197"/>
  <c r="M299" i="197"/>
  <c r="O299" i="197" s="1"/>
  <c r="F299" i="197" s="1"/>
  <c r="G299" i="197" s="1"/>
  <c r="N298" i="197"/>
  <c r="M298" i="197"/>
  <c r="O298" i="197" s="1"/>
  <c r="F298" i="197" s="1"/>
  <c r="G298" i="197" s="1"/>
  <c r="N297" i="197"/>
  <c r="M297" i="197"/>
  <c r="O297" i="197" s="1"/>
  <c r="F297" i="197" s="1"/>
  <c r="G297" i="197"/>
  <c r="N296" i="197"/>
  <c r="M296" i="197"/>
  <c r="O296" i="197" s="1"/>
  <c r="F296" i="197" s="1"/>
  <c r="G296" i="197" s="1"/>
  <c r="N295" i="197"/>
  <c r="M295" i="197"/>
  <c r="O295" i="197" s="1"/>
  <c r="F295" i="197"/>
  <c r="G295" i="197" s="1"/>
  <c r="N294" i="197"/>
  <c r="M294" i="197"/>
  <c r="O294" i="197" s="1"/>
  <c r="F294" i="197" s="1"/>
  <c r="G294" i="197" s="1"/>
  <c r="N293" i="197"/>
  <c r="M293" i="197"/>
  <c r="O293" i="197" s="1"/>
  <c r="F293" i="197" s="1"/>
  <c r="G293" i="197" s="1"/>
  <c r="N292" i="197"/>
  <c r="M292" i="197"/>
  <c r="O292" i="197" s="1"/>
  <c r="F292" i="197" s="1"/>
  <c r="G292" i="197" s="1"/>
  <c r="N291" i="197"/>
  <c r="M291" i="197"/>
  <c r="O291" i="197" s="1"/>
  <c r="F291" i="197" s="1"/>
  <c r="G291" i="197" s="1"/>
  <c r="N290" i="197"/>
  <c r="M290" i="197"/>
  <c r="O290" i="197" s="1"/>
  <c r="F290" i="197" s="1"/>
  <c r="G290" i="197" s="1"/>
  <c r="N289" i="197"/>
  <c r="M289" i="197"/>
  <c r="O289" i="197" s="1"/>
  <c r="F289" i="197" s="1"/>
  <c r="G289" i="197" s="1"/>
  <c r="N288" i="197"/>
  <c r="M288" i="197"/>
  <c r="O288" i="197" s="1"/>
  <c r="F288" i="197" s="1"/>
  <c r="G288" i="197" s="1"/>
  <c r="N287" i="197"/>
  <c r="M287" i="197"/>
  <c r="O287" i="197" s="1"/>
  <c r="F287" i="197" s="1"/>
  <c r="G287" i="197" s="1"/>
  <c r="N286" i="197"/>
  <c r="M286" i="197"/>
  <c r="O286" i="197" s="1"/>
  <c r="F286" i="197" s="1"/>
  <c r="G286" i="197" s="1"/>
  <c r="N285" i="197"/>
  <c r="M285" i="197"/>
  <c r="O285" i="197" s="1"/>
  <c r="F285" i="197" s="1"/>
  <c r="G285" i="197" s="1"/>
  <c r="N284" i="197"/>
  <c r="M284" i="197"/>
  <c r="O284" i="197" s="1"/>
  <c r="F284" i="197" s="1"/>
  <c r="G284" i="197" s="1"/>
  <c r="N283" i="197"/>
  <c r="M283" i="197"/>
  <c r="O283" i="197" s="1"/>
  <c r="F283" i="197" s="1"/>
  <c r="G283" i="197" s="1"/>
  <c r="N282" i="197"/>
  <c r="M282" i="197"/>
  <c r="O282" i="197" s="1"/>
  <c r="F282" i="197" s="1"/>
  <c r="G282" i="197" s="1"/>
  <c r="N281" i="197"/>
  <c r="M281" i="197"/>
  <c r="O281" i="197" s="1"/>
  <c r="F281" i="197" s="1"/>
  <c r="G281" i="197"/>
  <c r="N280" i="197"/>
  <c r="M280" i="197"/>
  <c r="O280" i="197" s="1"/>
  <c r="F280" i="197" s="1"/>
  <c r="G280" i="197" s="1"/>
  <c r="N279" i="197"/>
  <c r="M279" i="197"/>
  <c r="O279" i="197" s="1"/>
  <c r="F279" i="197" s="1"/>
  <c r="G279" i="197" s="1"/>
  <c r="N278" i="197"/>
  <c r="M278" i="197"/>
  <c r="O278" i="197" s="1"/>
  <c r="F278" i="197" s="1"/>
  <c r="G278" i="197" s="1"/>
  <c r="N277" i="197"/>
  <c r="M277" i="197"/>
  <c r="O277" i="197" s="1"/>
  <c r="F277" i="197" s="1"/>
  <c r="G277" i="197" s="1"/>
  <c r="N276" i="197"/>
  <c r="M276" i="197"/>
  <c r="O276" i="197" s="1"/>
  <c r="F276" i="197" s="1"/>
  <c r="G276" i="197" s="1"/>
  <c r="N275" i="197"/>
  <c r="M275" i="197"/>
  <c r="O275" i="197" s="1"/>
  <c r="F275" i="197" s="1"/>
  <c r="G275" i="197" s="1"/>
  <c r="N274" i="197"/>
  <c r="M274" i="197"/>
  <c r="O274" i="197" s="1"/>
  <c r="F274" i="197" s="1"/>
  <c r="G274" i="197" s="1"/>
  <c r="N273" i="197"/>
  <c r="M273" i="197"/>
  <c r="O273" i="197" s="1"/>
  <c r="F273" i="197" s="1"/>
  <c r="G273" i="197" s="1"/>
  <c r="N272" i="197"/>
  <c r="M272" i="197"/>
  <c r="O272" i="197" s="1"/>
  <c r="F272" i="197" s="1"/>
  <c r="G272" i="197" s="1"/>
  <c r="N271" i="197"/>
  <c r="M271" i="197"/>
  <c r="O271" i="197" s="1"/>
  <c r="F271" i="197" s="1"/>
  <c r="G271" i="197" s="1"/>
  <c r="N270" i="197"/>
  <c r="M270" i="197"/>
  <c r="O270" i="197" s="1"/>
  <c r="F270" i="197" s="1"/>
  <c r="G270" i="197" s="1"/>
  <c r="N269" i="197"/>
  <c r="M269" i="197"/>
  <c r="O269" i="197" s="1"/>
  <c r="F269" i="197" s="1"/>
  <c r="G269" i="197" s="1"/>
  <c r="N268" i="197"/>
  <c r="M268" i="197"/>
  <c r="O268" i="197" s="1"/>
  <c r="F268" i="197" s="1"/>
  <c r="G268" i="197" s="1"/>
  <c r="N267" i="197"/>
  <c r="M267" i="197"/>
  <c r="O267" i="197" s="1"/>
  <c r="F267" i="197" s="1"/>
  <c r="G267" i="197" s="1"/>
  <c r="N266" i="197"/>
  <c r="M266" i="197"/>
  <c r="O266" i="197" s="1"/>
  <c r="F266" i="197" s="1"/>
  <c r="G266" i="197" s="1"/>
  <c r="N265" i="197"/>
  <c r="M265" i="197"/>
  <c r="O265" i="197" s="1"/>
  <c r="F265" i="197" s="1"/>
  <c r="G265" i="197" s="1"/>
  <c r="N264" i="197"/>
  <c r="M264" i="197"/>
  <c r="O264" i="197" s="1"/>
  <c r="F264" i="197" s="1"/>
  <c r="G264" i="197" s="1"/>
  <c r="N263" i="197"/>
  <c r="M263" i="197"/>
  <c r="O263" i="197" s="1"/>
  <c r="F263" i="197" s="1"/>
  <c r="G263" i="197" s="1"/>
  <c r="N262" i="197"/>
  <c r="M262" i="197"/>
  <c r="O262" i="197" s="1"/>
  <c r="F262" i="197" s="1"/>
  <c r="G262" i="197" s="1"/>
  <c r="N261" i="197"/>
  <c r="M261" i="197"/>
  <c r="O261" i="197" s="1"/>
  <c r="F261" i="197" s="1"/>
  <c r="G261" i="197" s="1"/>
  <c r="N260" i="197"/>
  <c r="M260" i="197"/>
  <c r="O260" i="197" s="1"/>
  <c r="F260" i="197" s="1"/>
  <c r="G260" i="197" s="1"/>
  <c r="N259" i="197"/>
  <c r="M259" i="197"/>
  <c r="O259" i="197" s="1"/>
  <c r="F259" i="197" s="1"/>
  <c r="G259" i="197" s="1"/>
  <c r="N258" i="197"/>
  <c r="M258" i="197"/>
  <c r="O258" i="197" s="1"/>
  <c r="F258" i="197" s="1"/>
  <c r="G258" i="197" s="1"/>
  <c r="N257" i="197"/>
  <c r="M257" i="197"/>
  <c r="O257" i="197" s="1"/>
  <c r="F257" i="197" s="1"/>
  <c r="G257" i="197" s="1"/>
  <c r="N256" i="197"/>
  <c r="M256" i="197"/>
  <c r="O256" i="197" s="1"/>
  <c r="F256" i="197" s="1"/>
  <c r="G256" i="197" s="1"/>
  <c r="N255" i="197"/>
  <c r="M255" i="197"/>
  <c r="O255" i="197" s="1"/>
  <c r="F255" i="197" s="1"/>
  <c r="G255" i="197" s="1"/>
  <c r="N254" i="197"/>
  <c r="M254" i="197"/>
  <c r="O254" i="197" s="1"/>
  <c r="F254" i="197" s="1"/>
  <c r="G254" i="197" s="1"/>
  <c r="N253" i="197"/>
  <c r="M253" i="197"/>
  <c r="O253" i="197" s="1"/>
  <c r="F253" i="197" s="1"/>
  <c r="G253" i="197" s="1"/>
  <c r="N252" i="197"/>
  <c r="M252" i="197"/>
  <c r="O252" i="197" s="1"/>
  <c r="F252" i="197" s="1"/>
  <c r="G252" i="197" s="1"/>
  <c r="N251" i="197"/>
  <c r="M251" i="197"/>
  <c r="O251" i="197" s="1"/>
  <c r="F251" i="197" s="1"/>
  <c r="G251" i="197" s="1"/>
  <c r="N250" i="197"/>
  <c r="M250" i="197"/>
  <c r="O250" i="197" s="1"/>
  <c r="F250" i="197" s="1"/>
  <c r="G250" i="197" s="1"/>
  <c r="N249" i="197"/>
  <c r="M249" i="197"/>
  <c r="O249" i="197" s="1"/>
  <c r="F249" i="197" s="1"/>
  <c r="G249" i="197"/>
  <c r="N248" i="197"/>
  <c r="M248" i="197"/>
  <c r="O248" i="197" s="1"/>
  <c r="F248" i="197" s="1"/>
  <c r="G248" i="197" s="1"/>
  <c r="N247" i="197"/>
  <c r="M247" i="197"/>
  <c r="O247" i="197" s="1"/>
  <c r="F247" i="197" s="1"/>
  <c r="G247" i="197" s="1"/>
  <c r="N246" i="197"/>
  <c r="M246" i="197"/>
  <c r="O246" i="197" s="1"/>
  <c r="F246" i="197" s="1"/>
  <c r="G246" i="197" s="1"/>
  <c r="N245" i="197"/>
  <c r="M245" i="197"/>
  <c r="O245" i="197" s="1"/>
  <c r="F245" i="197" s="1"/>
  <c r="G245" i="197" s="1"/>
  <c r="N244" i="197"/>
  <c r="M244" i="197"/>
  <c r="O244" i="197" s="1"/>
  <c r="F244" i="197" s="1"/>
  <c r="G244" i="197" s="1"/>
  <c r="N243" i="197"/>
  <c r="M243" i="197"/>
  <c r="O243" i="197" s="1"/>
  <c r="F243" i="197" s="1"/>
  <c r="G243" i="197" s="1"/>
  <c r="N242" i="197"/>
  <c r="M242" i="197"/>
  <c r="O242" i="197" s="1"/>
  <c r="F242" i="197" s="1"/>
  <c r="G242" i="197" s="1"/>
  <c r="N241" i="197"/>
  <c r="M241" i="197"/>
  <c r="O241" i="197" s="1"/>
  <c r="F241" i="197" s="1"/>
  <c r="G241" i="197" s="1"/>
  <c r="N240" i="197"/>
  <c r="M240" i="197"/>
  <c r="O240" i="197" s="1"/>
  <c r="F240" i="197" s="1"/>
  <c r="G240" i="197" s="1"/>
  <c r="N239" i="197"/>
  <c r="M239" i="197"/>
  <c r="O239" i="197" s="1"/>
  <c r="F239" i="197" s="1"/>
  <c r="G239" i="197" s="1"/>
  <c r="N238" i="197"/>
  <c r="M238" i="197"/>
  <c r="O238" i="197" s="1"/>
  <c r="F238" i="197" s="1"/>
  <c r="G238" i="197" s="1"/>
  <c r="O237" i="197"/>
  <c r="F237" i="197" s="1"/>
  <c r="G237" i="197" s="1"/>
  <c r="N237" i="197"/>
  <c r="M237" i="197"/>
  <c r="N236" i="197"/>
  <c r="M236" i="197"/>
  <c r="O236" i="197" s="1"/>
  <c r="F236" i="197" s="1"/>
  <c r="G236" i="197" s="1"/>
  <c r="N235" i="197"/>
  <c r="M235" i="197"/>
  <c r="O235" i="197" s="1"/>
  <c r="F235" i="197" s="1"/>
  <c r="G235" i="197" s="1"/>
  <c r="N234" i="197"/>
  <c r="M234" i="197"/>
  <c r="O234" i="197" s="1"/>
  <c r="F234" i="197" s="1"/>
  <c r="G234" i="197" s="1"/>
  <c r="N233" i="197"/>
  <c r="M233" i="197"/>
  <c r="O233" i="197" s="1"/>
  <c r="F233" i="197" s="1"/>
  <c r="G233" i="197" s="1"/>
  <c r="N232" i="197"/>
  <c r="M232" i="197"/>
  <c r="O232" i="197" s="1"/>
  <c r="F232" i="197" s="1"/>
  <c r="G232" i="197" s="1"/>
  <c r="N231" i="197"/>
  <c r="M231" i="197"/>
  <c r="O231" i="197" s="1"/>
  <c r="F231" i="197" s="1"/>
  <c r="G231" i="197" s="1"/>
  <c r="N230" i="197"/>
  <c r="M230" i="197"/>
  <c r="O230" i="197" s="1"/>
  <c r="F230" i="197" s="1"/>
  <c r="G230" i="197" s="1"/>
  <c r="N229" i="197"/>
  <c r="M229" i="197"/>
  <c r="O229" i="197" s="1"/>
  <c r="F229" i="197" s="1"/>
  <c r="G229" i="197" s="1"/>
  <c r="N228" i="197"/>
  <c r="M228" i="197"/>
  <c r="O228" i="197" s="1"/>
  <c r="F228" i="197" s="1"/>
  <c r="G228" i="197" s="1"/>
  <c r="N227" i="197"/>
  <c r="M227" i="197"/>
  <c r="O227" i="197" s="1"/>
  <c r="F227" i="197" s="1"/>
  <c r="G227" i="197" s="1"/>
  <c r="N226" i="197"/>
  <c r="M226" i="197"/>
  <c r="O226" i="197" s="1"/>
  <c r="F226" i="197" s="1"/>
  <c r="G226" i="197" s="1"/>
  <c r="N225" i="197"/>
  <c r="M225" i="197"/>
  <c r="O225" i="197" s="1"/>
  <c r="F225" i="197" s="1"/>
  <c r="G225" i="197" s="1"/>
  <c r="N224" i="197"/>
  <c r="M224" i="197"/>
  <c r="O224" i="197" s="1"/>
  <c r="F224" i="197" s="1"/>
  <c r="G224" i="197" s="1"/>
  <c r="N223" i="197"/>
  <c r="M223" i="197"/>
  <c r="O223" i="197" s="1"/>
  <c r="F223" i="197" s="1"/>
  <c r="G223" i="197" s="1"/>
  <c r="N222" i="197"/>
  <c r="M222" i="197"/>
  <c r="O222" i="197" s="1"/>
  <c r="F222" i="197" s="1"/>
  <c r="G222" i="197" s="1"/>
  <c r="N221" i="197"/>
  <c r="M221" i="197"/>
  <c r="O221" i="197" s="1"/>
  <c r="F221" i="197" s="1"/>
  <c r="G221" i="197" s="1"/>
  <c r="N220" i="197"/>
  <c r="M220" i="197"/>
  <c r="O220" i="197" s="1"/>
  <c r="F220" i="197" s="1"/>
  <c r="G220" i="197" s="1"/>
  <c r="N219" i="197"/>
  <c r="M219" i="197"/>
  <c r="O219" i="197" s="1"/>
  <c r="F219" i="197" s="1"/>
  <c r="G219" i="197" s="1"/>
  <c r="N218" i="197"/>
  <c r="M218" i="197"/>
  <c r="O218" i="197" s="1"/>
  <c r="F218" i="197" s="1"/>
  <c r="G218" i="197" s="1"/>
  <c r="N217" i="197"/>
  <c r="M217" i="197"/>
  <c r="O217" i="197" s="1"/>
  <c r="F217" i="197" s="1"/>
  <c r="G217" i="197" s="1"/>
  <c r="N216" i="197"/>
  <c r="M216" i="197"/>
  <c r="O216" i="197" s="1"/>
  <c r="F216" i="197" s="1"/>
  <c r="G216" i="197" s="1"/>
  <c r="N215" i="197"/>
  <c r="M215" i="197"/>
  <c r="O215" i="197" s="1"/>
  <c r="F215" i="197" s="1"/>
  <c r="G215" i="197" s="1"/>
  <c r="N214" i="197"/>
  <c r="M214" i="197"/>
  <c r="O214" i="197" s="1"/>
  <c r="F214" i="197" s="1"/>
  <c r="G214" i="197" s="1"/>
  <c r="N213" i="197"/>
  <c r="M213" i="197"/>
  <c r="O213" i="197" s="1"/>
  <c r="F213" i="197" s="1"/>
  <c r="G213" i="197" s="1"/>
  <c r="N212" i="197"/>
  <c r="M212" i="197"/>
  <c r="O212" i="197" s="1"/>
  <c r="F212" i="197" s="1"/>
  <c r="G212" i="197" s="1"/>
  <c r="N211" i="197"/>
  <c r="M211" i="197"/>
  <c r="O211" i="197" s="1"/>
  <c r="F211" i="197" s="1"/>
  <c r="G211" i="197" s="1"/>
  <c r="N210" i="197"/>
  <c r="M210" i="197"/>
  <c r="O210" i="197" s="1"/>
  <c r="F210" i="197" s="1"/>
  <c r="G210" i="197" s="1"/>
  <c r="N209" i="197"/>
  <c r="M209" i="197"/>
  <c r="O209" i="197" s="1"/>
  <c r="F209" i="197" s="1"/>
  <c r="G209" i="197" s="1"/>
  <c r="N208" i="197"/>
  <c r="M208" i="197"/>
  <c r="O208" i="197" s="1"/>
  <c r="F208" i="197" s="1"/>
  <c r="G208" i="197" s="1"/>
  <c r="N207" i="197"/>
  <c r="M207" i="197"/>
  <c r="O207" i="197" s="1"/>
  <c r="F207" i="197" s="1"/>
  <c r="G207" i="197" s="1"/>
  <c r="N206" i="197"/>
  <c r="M206" i="197"/>
  <c r="O206" i="197" s="1"/>
  <c r="F206" i="197" s="1"/>
  <c r="G206" i="197" s="1"/>
  <c r="N205" i="197"/>
  <c r="M205" i="197"/>
  <c r="O205" i="197" s="1"/>
  <c r="F205" i="197" s="1"/>
  <c r="G205" i="197" s="1"/>
  <c r="N204" i="197"/>
  <c r="M204" i="197"/>
  <c r="O204" i="197" s="1"/>
  <c r="F204" i="197" s="1"/>
  <c r="G204" i="197" s="1"/>
  <c r="N203" i="197"/>
  <c r="M203" i="197"/>
  <c r="O203" i="197" s="1"/>
  <c r="F203" i="197" s="1"/>
  <c r="G203" i="197" s="1"/>
  <c r="N202" i="197"/>
  <c r="M202" i="197"/>
  <c r="O202" i="197" s="1"/>
  <c r="F202" i="197" s="1"/>
  <c r="G202" i="197" s="1"/>
  <c r="N201" i="197"/>
  <c r="M201" i="197"/>
  <c r="O201" i="197" s="1"/>
  <c r="F201" i="197" s="1"/>
  <c r="G201" i="197" s="1"/>
  <c r="N200" i="197"/>
  <c r="M200" i="197"/>
  <c r="O200" i="197" s="1"/>
  <c r="F200" i="197" s="1"/>
  <c r="G200" i="197" s="1"/>
  <c r="N199" i="197"/>
  <c r="M199" i="197"/>
  <c r="O199" i="197" s="1"/>
  <c r="F199" i="197" s="1"/>
  <c r="G199" i="197" s="1"/>
  <c r="N198" i="197"/>
  <c r="M198" i="197"/>
  <c r="O198" i="197" s="1"/>
  <c r="F198" i="197" s="1"/>
  <c r="G198" i="197" s="1"/>
  <c r="N197" i="197"/>
  <c r="M197" i="197"/>
  <c r="O197" i="197" s="1"/>
  <c r="F197" i="197" s="1"/>
  <c r="G197" i="197" s="1"/>
  <c r="N196" i="197"/>
  <c r="M196" i="197"/>
  <c r="O196" i="197" s="1"/>
  <c r="F196" i="197" s="1"/>
  <c r="G196" i="197" s="1"/>
  <c r="N195" i="197"/>
  <c r="M195" i="197"/>
  <c r="O195" i="197" s="1"/>
  <c r="F195" i="197" s="1"/>
  <c r="G195" i="197" s="1"/>
  <c r="N194" i="197"/>
  <c r="M194" i="197"/>
  <c r="O194" i="197" s="1"/>
  <c r="F194" i="197" s="1"/>
  <c r="G194" i="197" s="1"/>
  <c r="N193" i="197"/>
  <c r="M193" i="197"/>
  <c r="O193" i="197" s="1"/>
  <c r="F193" i="197" s="1"/>
  <c r="G193" i="197" s="1"/>
  <c r="N192" i="197"/>
  <c r="M192" i="197"/>
  <c r="O192" i="197" s="1"/>
  <c r="F192" i="197" s="1"/>
  <c r="G192" i="197" s="1"/>
  <c r="N191" i="197"/>
  <c r="M191" i="197"/>
  <c r="O191" i="197" s="1"/>
  <c r="F191" i="197" s="1"/>
  <c r="G191" i="197" s="1"/>
  <c r="N190" i="197"/>
  <c r="M190" i="197"/>
  <c r="O190" i="197" s="1"/>
  <c r="F190" i="197" s="1"/>
  <c r="G190" i="197" s="1"/>
  <c r="N189" i="197"/>
  <c r="M189" i="197"/>
  <c r="O189" i="197" s="1"/>
  <c r="F189" i="197" s="1"/>
  <c r="G189" i="197" s="1"/>
  <c r="N188" i="197"/>
  <c r="M188" i="197"/>
  <c r="O188" i="197" s="1"/>
  <c r="F188" i="197" s="1"/>
  <c r="G188" i="197" s="1"/>
  <c r="N187" i="197"/>
  <c r="M187" i="197"/>
  <c r="O187" i="197" s="1"/>
  <c r="F187" i="197" s="1"/>
  <c r="G187" i="197" s="1"/>
  <c r="N186" i="197"/>
  <c r="M186" i="197"/>
  <c r="O186" i="197" s="1"/>
  <c r="F186" i="197" s="1"/>
  <c r="G186" i="197" s="1"/>
  <c r="N185" i="197"/>
  <c r="M185" i="197"/>
  <c r="O185" i="197" s="1"/>
  <c r="F185" i="197" s="1"/>
  <c r="G185" i="197" s="1"/>
  <c r="N184" i="197"/>
  <c r="M184" i="197"/>
  <c r="O184" i="197" s="1"/>
  <c r="F184" i="197" s="1"/>
  <c r="G184" i="197" s="1"/>
  <c r="N183" i="197"/>
  <c r="M183" i="197"/>
  <c r="O183" i="197" s="1"/>
  <c r="F183" i="197" s="1"/>
  <c r="G183" i="197" s="1"/>
  <c r="N182" i="197"/>
  <c r="M182" i="197"/>
  <c r="O182" i="197" s="1"/>
  <c r="F182" i="197" s="1"/>
  <c r="G182" i="197" s="1"/>
  <c r="N181" i="197"/>
  <c r="M181" i="197"/>
  <c r="O181" i="197" s="1"/>
  <c r="F181" i="197" s="1"/>
  <c r="G181" i="197" s="1"/>
  <c r="N180" i="197"/>
  <c r="M180" i="197"/>
  <c r="O180" i="197" s="1"/>
  <c r="F180" i="197" s="1"/>
  <c r="G180" i="197" s="1"/>
  <c r="N179" i="197"/>
  <c r="M179" i="197"/>
  <c r="O179" i="197" s="1"/>
  <c r="F179" i="197" s="1"/>
  <c r="G179" i="197" s="1"/>
  <c r="N178" i="197"/>
  <c r="M178" i="197"/>
  <c r="O178" i="197" s="1"/>
  <c r="F178" i="197" s="1"/>
  <c r="G178" i="197" s="1"/>
  <c r="N177" i="197"/>
  <c r="M177" i="197"/>
  <c r="O177" i="197" s="1"/>
  <c r="F177" i="197" s="1"/>
  <c r="G177" i="197"/>
  <c r="N176" i="197"/>
  <c r="M176" i="197"/>
  <c r="O176" i="197" s="1"/>
  <c r="F176" i="197" s="1"/>
  <c r="G176" i="197" s="1"/>
  <c r="N175" i="197"/>
  <c r="M175" i="197"/>
  <c r="O175" i="197" s="1"/>
  <c r="F175" i="197" s="1"/>
  <c r="G175" i="197" s="1"/>
  <c r="N174" i="197"/>
  <c r="M174" i="197"/>
  <c r="O174" i="197" s="1"/>
  <c r="F174" i="197" s="1"/>
  <c r="G174" i="197" s="1"/>
  <c r="N173" i="197"/>
  <c r="M173" i="197"/>
  <c r="O173" i="197" s="1"/>
  <c r="F173" i="197" s="1"/>
  <c r="G173" i="197" s="1"/>
  <c r="N172" i="197"/>
  <c r="M172" i="197"/>
  <c r="O172" i="197" s="1"/>
  <c r="F172" i="197" s="1"/>
  <c r="G172" i="197" s="1"/>
  <c r="N171" i="197"/>
  <c r="M171" i="197"/>
  <c r="O171" i="197" s="1"/>
  <c r="F171" i="197" s="1"/>
  <c r="G171" i="197" s="1"/>
  <c r="N170" i="197"/>
  <c r="M170" i="197"/>
  <c r="O170" i="197" s="1"/>
  <c r="F170" i="197" s="1"/>
  <c r="G170" i="197" s="1"/>
  <c r="N169" i="197"/>
  <c r="M169" i="197"/>
  <c r="O169" i="197" s="1"/>
  <c r="F169" i="197" s="1"/>
  <c r="G169" i="197" s="1"/>
  <c r="N168" i="197"/>
  <c r="M168" i="197"/>
  <c r="O168" i="197" s="1"/>
  <c r="F168" i="197" s="1"/>
  <c r="G168" i="197" s="1"/>
  <c r="N167" i="197"/>
  <c r="M167" i="197"/>
  <c r="O167" i="197" s="1"/>
  <c r="F167" i="197" s="1"/>
  <c r="G167" i="197" s="1"/>
  <c r="N166" i="197"/>
  <c r="M166" i="197"/>
  <c r="O166" i="197" s="1"/>
  <c r="F166" i="197" s="1"/>
  <c r="G166" i="197" s="1"/>
  <c r="N165" i="197"/>
  <c r="M165" i="197"/>
  <c r="O165" i="197" s="1"/>
  <c r="F165" i="197" s="1"/>
  <c r="G165" i="197" s="1"/>
  <c r="N164" i="197"/>
  <c r="M164" i="197"/>
  <c r="O164" i="197" s="1"/>
  <c r="F164" i="197" s="1"/>
  <c r="G164" i="197" s="1"/>
  <c r="N163" i="197"/>
  <c r="M163" i="197"/>
  <c r="O163" i="197" s="1"/>
  <c r="F163" i="197" s="1"/>
  <c r="G163" i="197" s="1"/>
  <c r="N162" i="197"/>
  <c r="M162" i="197"/>
  <c r="O162" i="197" s="1"/>
  <c r="F162" i="197" s="1"/>
  <c r="G162" i="197" s="1"/>
  <c r="N161" i="197"/>
  <c r="M161" i="197"/>
  <c r="O161" i="197" s="1"/>
  <c r="F161" i="197" s="1"/>
  <c r="G161" i="197" s="1"/>
  <c r="N160" i="197"/>
  <c r="M160" i="197"/>
  <c r="O160" i="197" s="1"/>
  <c r="F160" i="197" s="1"/>
  <c r="G160" i="197" s="1"/>
  <c r="N159" i="197"/>
  <c r="M159" i="197"/>
  <c r="O159" i="197" s="1"/>
  <c r="F159" i="197" s="1"/>
  <c r="G159" i="197" s="1"/>
  <c r="N158" i="197"/>
  <c r="M158" i="197"/>
  <c r="O158" i="197" s="1"/>
  <c r="F158" i="197" s="1"/>
  <c r="G158" i="197" s="1"/>
  <c r="N157" i="197"/>
  <c r="M157" i="197"/>
  <c r="O157" i="197" s="1"/>
  <c r="F157" i="197" s="1"/>
  <c r="G157" i="197" s="1"/>
  <c r="N156" i="197"/>
  <c r="M156" i="197"/>
  <c r="O156" i="197" s="1"/>
  <c r="F156" i="197" s="1"/>
  <c r="G156" i="197" s="1"/>
  <c r="N155" i="197"/>
  <c r="M155" i="197"/>
  <c r="O155" i="197" s="1"/>
  <c r="F155" i="197" s="1"/>
  <c r="G155" i="197" s="1"/>
  <c r="N154" i="197"/>
  <c r="M154" i="197"/>
  <c r="O154" i="197" s="1"/>
  <c r="F154" i="197" s="1"/>
  <c r="G154" i="197" s="1"/>
  <c r="N153" i="197"/>
  <c r="M153" i="197"/>
  <c r="O153" i="197" s="1"/>
  <c r="F153" i="197" s="1"/>
  <c r="G153" i="197" s="1"/>
  <c r="N152" i="197"/>
  <c r="M152" i="197"/>
  <c r="O152" i="197" s="1"/>
  <c r="F152" i="197" s="1"/>
  <c r="G152" i="197" s="1"/>
  <c r="N151" i="197"/>
  <c r="M151" i="197"/>
  <c r="O151" i="197" s="1"/>
  <c r="F151" i="197" s="1"/>
  <c r="G151" i="197" s="1"/>
  <c r="N150" i="197"/>
  <c r="M150" i="197"/>
  <c r="O150" i="197" s="1"/>
  <c r="F150" i="197" s="1"/>
  <c r="G150" i="197" s="1"/>
  <c r="N149" i="197"/>
  <c r="M149" i="197"/>
  <c r="O149" i="197" s="1"/>
  <c r="F149" i="197" s="1"/>
  <c r="G149" i="197" s="1"/>
  <c r="N148" i="197"/>
  <c r="M148" i="197"/>
  <c r="O148" i="197" s="1"/>
  <c r="F148" i="197" s="1"/>
  <c r="G148" i="197" s="1"/>
  <c r="N147" i="197"/>
  <c r="M147" i="197"/>
  <c r="O147" i="197" s="1"/>
  <c r="F147" i="197" s="1"/>
  <c r="G147" i="197" s="1"/>
  <c r="N146" i="197"/>
  <c r="M146" i="197"/>
  <c r="O146" i="197" s="1"/>
  <c r="F146" i="197" s="1"/>
  <c r="G146" i="197" s="1"/>
  <c r="N145" i="197"/>
  <c r="M145" i="197"/>
  <c r="O145" i="197" s="1"/>
  <c r="F145" i="197" s="1"/>
  <c r="G145" i="197" s="1"/>
  <c r="N144" i="197"/>
  <c r="M144" i="197"/>
  <c r="O144" i="197" s="1"/>
  <c r="F144" i="197" s="1"/>
  <c r="G144" i="197" s="1"/>
  <c r="N143" i="197"/>
  <c r="M143" i="197"/>
  <c r="O143" i="197" s="1"/>
  <c r="F143" i="197" s="1"/>
  <c r="G143" i="197" s="1"/>
  <c r="N142" i="197"/>
  <c r="M142" i="197"/>
  <c r="O142" i="197" s="1"/>
  <c r="F142" i="197" s="1"/>
  <c r="G142" i="197" s="1"/>
  <c r="N141" i="197"/>
  <c r="M141" i="197"/>
  <c r="O141" i="197" s="1"/>
  <c r="F141" i="197" s="1"/>
  <c r="G141" i="197" s="1"/>
  <c r="N140" i="197"/>
  <c r="M140" i="197"/>
  <c r="O140" i="197" s="1"/>
  <c r="F140" i="197" s="1"/>
  <c r="G140" i="197" s="1"/>
  <c r="N139" i="197"/>
  <c r="M139" i="197"/>
  <c r="O139" i="197" s="1"/>
  <c r="F139" i="197" s="1"/>
  <c r="G139" i="197" s="1"/>
  <c r="N138" i="197"/>
  <c r="M138" i="197"/>
  <c r="O138" i="197" s="1"/>
  <c r="F138" i="197" s="1"/>
  <c r="G138" i="197" s="1"/>
  <c r="N137" i="197"/>
  <c r="M137" i="197"/>
  <c r="O137" i="197" s="1"/>
  <c r="F137" i="197"/>
  <c r="G137" i="197" s="1"/>
  <c r="N136" i="197"/>
  <c r="M136" i="197"/>
  <c r="O136" i="197" s="1"/>
  <c r="F136" i="197" s="1"/>
  <c r="G136" i="197" s="1"/>
  <c r="N135" i="197"/>
  <c r="M135" i="197"/>
  <c r="O135" i="197" s="1"/>
  <c r="F135" i="197" s="1"/>
  <c r="G135" i="197" s="1"/>
  <c r="H135" i="197" s="1"/>
  <c r="N134" i="197"/>
  <c r="M134" i="197"/>
  <c r="O134" i="197" s="1"/>
  <c r="F134" i="197" s="1"/>
  <c r="G134" i="197" s="1"/>
  <c r="N133" i="197"/>
  <c r="M133" i="197"/>
  <c r="O133" i="197" s="1"/>
  <c r="F133" i="197" s="1"/>
  <c r="G133" i="197" s="1"/>
  <c r="N132" i="197"/>
  <c r="M132" i="197"/>
  <c r="O132" i="197" s="1"/>
  <c r="F132" i="197" s="1"/>
  <c r="G132" i="197" s="1"/>
  <c r="N131" i="197"/>
  <c r="M131" i="197"/>
  <c r="O131" i="197" s="1"/>
  <c r="F131" i="197" s="1"/>
  <c r="G131" i="197" s="1"/>
  <c r="N130" i="197"/>
  <c r="M130" i="197"/>
  <c r="O130" i="197" s="1"/>
  <c r="F130" i="197" s="1"/>
  <c r="G130" i="197" s="1"/>
  <c r="N129" i="197"/>
  <c r="M129" i="197"/>
  <c r="O129" i="197" s="1"/>
  <c r="F129" i="197" s="1"/>
  <c r="G129" i="197" s="1"/>
  <c r="N128" i="197"/>
  <c r="M128" i="197"/>
  <c r="O128" i="197" s="1"/>
  <c r="F128" i="197" s="1"/>
  <c r="G128" i="197" s="1"/>
  <c r="N127" i="197"/>
  <c r="M127" i="197"/>
  <c r="O127" i="197" s="1"/>
  <c r="F127" i="197" s="1"/>
  <c r="G127" i="197" s="1"/>
  <c r="N126" i="197"/>
  <c r="M126" i="197"/>
  <c r="O126" i="197" s="1"/>
  <c r="F126" i="197" s="1"/>
  <c r="G126" i="197" s="1"/>
  <c r="N125" i="197"/>
  <c r="M125" i="197"/>
  <c r="O125" i="197" s="1"/>
  <c r="F125" i="197" s="1"/>
  <c r="G125" i="197" s="1"/>
  <c r="N124" i="197"/>
  <c r="M124" i="197"/>
  <c r="O124" i="197" s="1"/>
  <c r="F124" i="197" s="1"/>
  <c r="G124" i="197" s="1"/>
  <c r="N123" i="197"/>
  <c r="M123" i="197"/>
  <c r="O123" i="197" s="1"/>
  <c r="F123" i="197" s="1"/>
  <c r="G123" i="197" s="1"/>
  <c r="N122" i="197"/>
  <c r="M122" i="197"/>
  <c r="O122" i="197" s="1"/>
  <c r="F122" i="197" s="1"/>
  <c r="G122" i="197" s="1"/>
  <c r="N121" i="197"/>
  <c r="M121" i="197"/>
  <c r="O121" i="197" s="1"/>
  <c r="F121" i="197" s="1"/>
  <c r="G121" i="197" s="1"/>
  <c r="N120" i="197"/>
  <c r="M120" i="197"/>
  <c r="O120" i="197" s="1"/>
  <c r="F120" i="197" s="1"/>
  <c r="G120" i="197" s="1"/>
  <c r="N119" i="197"/>
  <c r="M119" i="197"/>
  <c r="O119" i="197" s="1"/>
  <c r="F119" i="197" s="1"/>
  <c r="G119" i="197" s="1"/>
  <c r="N118" i="197"/>
  <c r="M118" i="197"/>
  <c r="O118" i="197" s="1"/>
  <c r="F118" i="197" s="1"/>
  <c r="G118" i="197" s="1"/>
  <c r="N117" i="197"/>
  <c r="M117" i="197"/>
  <c r="O117" i="197" s="1"/>
  <c r="F117" i="197" s="1"/>
  <c r="G117" i="197" s="1"/>
  <c r="N116" i="197"/>
  <c r="M116" i="197"/>
  <c r="O116" i="197" s="1"/>
  <c r="F116" i="197" s="1"/>
  <c r="G116" i="197" s="1"/>
  <c r="N115" i="197"/>
  <c r="M115" i="197"/>
  <c r="O115" i="197" s="1"/>
  <c r="F115" i="197" s="1"/>
  <c r="G115" i="197" s="1"/>
  <c r="N114" i="197"/>
  <c r="M114" i="197"/>
  <c r="O114" i="197" s="1"/>
  <c r="F114" i="197" s="1"/>
  <c r="G114" i="197" s="1"/>
  <c r="N113" i="197"/>
  <c r="M113" i="197"/>
  <c r="O113" i="197" s="1"/>
  <c r="F113" i="197" s="1"/>
  <c r="G113" i="197" s="1"/>
  <c r="O112" i="197"/>
  <c r="F112" i="197" s="1"/>
  <c r="G112" i="197" s="1"/>
  <c r="N112" i="197"/>
  <c r="M112" i="197"/>
  <c r="N111" i="197"/>
  <c r="M111" i="197"/>
  <c r="O111" i="197" s="1"/>
  <c r="F111" i="197" s="1"/>
  <c r="G111" i="197" s="1"/>
  <c r="N110" i="197"/>
  <c r="M110" i="197"/>
  <c r="O110" i="197" s="1"/>
  <c r="F110" i="197" s="1"/>
  <c r="G110" i="197" s="1"/>
  <c r="N109" i="197"/>
  <c r="M109" i="197"/>
  <c r="O109" i="197" s="1"/>
  <c r="F109" i="197" s="1"/>
  <c r="G109" i="197" s="1"/>
  <c r="O108" i="197"/>
  <c r="G108" i="197"/>
  <c r="H108" i="197" s="1"/>
  <c r="N107" i="197"/>
  <c r="M107" i="197"/>
  <c r="O107" i="197" s="1"/>
  <c r="F107" i="197" s="1"/>
  <c r="G107" i="197" s="1"/>
  <c r="N106" i="197"/>
  <c r="M106" i="197"/>
  <c r="O106" i="197" s="1"/>
  <c r="F106" i="197" s="1"/>
  <c r="G106" i="197" s="1"/>
  <c r="N105" i="197"/>
  <c r="M105" i="197"/>
  <c r="O105" i="197" s="1"/>
  <c r="F105" i="197" s="1"/>
  <c r="G105" i="197" s="1"/>
  <c r="N104" i="197"/>
  <c r="M104" i="197"/>
  <c r="O104" i="197" s="1"/>
  <c r="F104" i="197" s="1"/>
  <c r="G104" i="197" s="1"/>
  <c r="N103" i="197"/>
  <c r="M103" i="197"/>
  <c r="O103" i="197" s="1"/>
  <c r="F103" i="197" s="1"/>
  <c r="G103" i="197" s="1"/>
  <c r="N102" i="197"/>
  <c r="M102" i="197"/>
  <c r="O102" i="197" s="1"/>
  <c r="F102" i="197" s="1"/>
  <c r="G102" i="197" s="1"/>
  <c r="N101" i="197"/>
  <c r="M101" i="197"/>
  <c r="O101" i="197" s="1"/>
  <c r="F101" i="197" s="1"/>
  <c r="G101" i="197" s="1"/>
  <c r="N100" i="197"/>
  <c r="M100" i="197"/>
  <c r="O100" i="197" s="1"/>
  <c r="F100" i="197" s="1"/>
  <c r="G100" i="197" s="1"/>
  <c r="N99" i="197"/>
  <c r="M99" i="197"/>
  <c r="O99" i="197" s="1"/>
  <c r="F99" i="197" s="1"/>
  <c r="G99" i="197" s="1"/>
  <c r="N98" i="197"/>
  <c r="M98" i="197"/>
  <c r="O98" i="197" s="1"/>
  <c r="F98" i="197" s="1"/>
  <c r="G98" i="197" s="1"/>
  <c r="N97" i="197"/>
  <c r="M97" i="197"/>
  <c r="O97" i="197" s="1"/>
  <c r="F97" i="197" s="1"/>
  <c r="G97" i="197" s="1"/>
  <c r="N96" i="197"/>
  <c r="M96" i="197"/>
  <c r="O96" i="197" s="1"/>
  <c r="F96" i="197" s="1"/>
  <c r="G96" i="197" s="1"/>
  <c r="N95" i="197"/>
  <c r="M95" i="197"/>
  <c r="O95" i="197" s="1"/>
  <c r="F95" i="197" s="1"/>
  <c r="G95" i="197" s="1"/>
  <c r="N94" i="197"/>
  <c r="M94" i="197"/>
  <c r="O94" i="197" s="1"/>
  <c r="F94" i="197" s="1"/>
  <c r="G94" i="197" s="1"/>
  <c r="N93" i="197"/>
  <c r="M93" i="197"/>
  <c r="O93" i="197" s="1"/>
  <c r="F93" i="197" s="1"/>
  <c r="G93" i="197" s="1"/>
  <c r="N92" i="197"/>
  <c r="M92" i="197"/>
  <c r="O92" i="197" s="1"/>
  <c r="F92" i="197" s="1"/>
  <c r="G92" i="197" s="1"/>
  <c r="N91" i="197"/>
  <c r="M91" i="197"/>
  <c r="O91" i="197" s="1"/>
  <c r="F91" i="197" s="1"/>
  <c r="G91" i="197" s="1"/>
  <c r="N90" i="197"/>
  <c r="M90" i="197"/>
  <c r="O90" i="197" s="1"/>
  <c r="F90" i="197" s="1"/>
  <c r="G90" i="197" s="1"/>
  <c r="N89" i="197"/>
  <c r="M89" i="197"/>
  <c r="O89" i="197" s="1"/>
  <c r="F89" i="197" s="1"/>
  <c r="G89" i="197" s="1"/>
  <c r="N88" i="197"/>
  <c r="M88" i="197"/>
  <c r="O88" i="197" s="1"/>
  <c r="F88" i="197" s="1"/>
  <c r="G88" i="197" s="1"/>
  <c r="N87" i="197"/>
  <c r="M87" i="197"/>
  <c r="O87" i="197" s="1"/>
  <c r="F87" i="197" s="1"/>
  <c r="G87" i="197" s="1"/>
  <c r="N86" i="197"/>
  <c r="M86" i="197"/>
  <c r="O86" i="197" s="1"/>
  <c r="F86" i="197" s="1"/>
  <c r="G86" i="197" s="1"/>
  <c r="N85" i="197"/>
  <c r="M85" i="197"/>
  <c r="O85" i="197" s="1"/>
  <c r="F85" i="197" s="1"/>
  <c r="G85" i="197" s="1"/>
  <c r="N84" i="197"/>
  <c r="M84" i="197"/>
  <c r="O84" i="197" s="1"/>
  <c r="F84" i="197" s="1"/>
  <c r="G84" i="197" s="1"/>
  <c r="N83" i="197"/>
  <c r="M83" i="197"/>
  <c r="O83" i="197" s="1"/>
  <c r="F83" i="197" s="1"/>
  <c r="G83" i="197" s="1"/>
  <c r="N82" i="197"/>
  <c r="M82" i="197"/>
  <c r="O82" i="197" s="1"/>
  <c r="F82" i="197" s="1"/>
  <c r="G82" i="197" s="1"/>
  <c r="N81" i="197"/>
  <c r="M81" i="197"/>
  <c r="O81" i="197" s="1"/>
  <c r="F81" i="197" s="1"/>
  <c r="G81" i="197" s="1"/>
  <c r="N80" i="197"/>
  <c r="M80" i="197"/>
  <c r="O80" i="197" s="1"/>
  <c r="F80" i="197" s="1"/>
  <c r="G80" i="197" s="1"/>
  <c r="N79" i="197"/>
  <c r="M79" i="197"/>
  <c r="O79" i="197" s="1"/>
  <c r="F79" i="197" s="1"/>
  <c r="G79" i="197" s="1"/>
  <c r="N78" i="197"/>
  <c r="M78" i="197"/>
  <c r="O78" i="197" s="1"/>
  <c r="F78" i="197" s="1"/>
  <c r="G78" i="197" s="1"/>
  <c r="N77" i="197"/>
  <c r="M77" i="197"/>
  <c r="O77" i="197" s="1"/>
  <c r="F77" i="197" s="1"/>
  <c r="G77" i="197" s="1"/>
  <c r="N76" i="197"/>
  <c r="M76" i="197"/>
  <c r="O76" i="197" s="1"/>
  <c r="F76" i="197" s="1"/>
  <c r="G76" i="197" s="1"/>
  <c r="N75" i="197"/>
  <c r="M75" i="197"/>
  <c r="O75" i="197" s="1"/>
  <c r="F75" i="197" s="1"/>
  <c r="G75" i="197" s="1"/>
  <c r="N74" i="197"/>
  <c r="M74" i="197"/>
  <c r="O74" i="197" s="1"/>
  <c r="F74" i="197" s="1"/>
  <c r="G74" i="197" s="1"/>
  <c r="N73" i="197"/>
  <c r="M73" i="197"/>
  <c r="O73" i="197" s="1"/>
  <c r="F73" i="197" s="1"/>
  <c r="G73" i="197" s="1"/>
  <c r="N72" i="197"/>
  <c r="M72" i="197"/>
  <c r="O72" i="197" s="1"/>
  <c r="F72" i="197" s="1"/>
  <c r="G72" i="197" s="1"/>
  <c r="N71" i="197"/>
  <c r="M71" i="197"/>
  <c r="O71" i="197" s="1"/>
  <c r="F71" i="197" s="1"/>
  <c r="G71" i="197" s="1"/>
  <c r="N70" i="197"/>
  <c r="M70" i="197"/>
  <c r="O70" i="197" s="1"/>
  <c r="F70" i="197" s="1"/>
  <c r="G70" i="197" s="1"/>
  <c r="N69" i="197"/>
  <c r="M69" i="197"/>
  <c r="O69" i="197" s="1"/>
  <c r="F69" i="197" s="1"/>
  <c r="G69" i="197" s="1"/>
  <c r="N68" i="197"/>
  <c r="M68" i="197"/>
  <c r="O68" i="197" s="1"/>
  <c r="F68" i="197" s="1"/>
  <c r="G68" i="197" s="1"/>
  <c r="N67" i="197"/>
  <c r="M67" i="197"/>
  <c r="O67" i="197" s="1"/>
  <c r="F67" i="197" s="1"/>
  <c r="G67" i="197" s="1"/>
  <c r="N66" i="197"/>
  <c r="M66" i="197"/>
  <c r="O66" i="197" s="1"/>
  <c r="F66" i="197" s="1"/>
  <c r="G66" i="197" s="1"/>
  <c r="N65" i="197"/>
  <c r="M65" i="197"/>
  <c r="O65" i="197" s="1"/>
  <c r="F65" i="197" s="1"/>
  <c r="G65" i="197" s="1"/>
  <c r="N64" i="197"/>
  <c r="M64" i="197"/>
  <c r="O64" i="197" s="1"/>
  <c r="F64" i="197" s="1"/>
  <c r="G64" i="197" s="1"/>
  <c r="N63" i="197"/>
  <c r="M63" i="197"/>
  <c r="O63" i="197" s="1"/>
  <c r="F63" i="197" s="1"/>
  <c r="G63" i="197" s="1"/>
  <c r="N62" i="197"/>
  <c r="M62" i="197"/>
  <c r="O62" i="197" s="1"/>
  <c r="F62" i="197" s="1"/>
  <c r="G62" i="197" s="1"/>
  <c r="N61" i="197"/>
  <c r="M61" i="197"/>
  <c r="O61" i="197" s="1"/>
  <c r="F61" i="197" s="1"/>
  <c r="G61" i="197" s="1"/>
  <c r="N60" i="197"/>
  <c r="M60" i="197"/>
  <c r="O60" i="197" s="1"/>
  <c r="F60" i="197" s="1"/>
  <c r="G60" i="197" s="1"/>
  <c r="N59" i="197"/>
  <c r="M59" i="197"/>
  <c r="O59" i="197" s="1"/>
  <c r="F59" i="197" s="1"/>
  <c r="G59" i="197" s="1"/>
  <c r="N58" i="197"/>
  <c r="M58" i="197"/>
  <c r="O58" i="197" s="1"/>
  <c r="F58" i="197" s="1"/>
  <c r="G58" i="197" s="1"/>
  <c r="N57" i="197"/>
  <c r="M57" i="197"/>
  <c r="O57" i="197" s="1"/>
  <c r="F57" i="197" s="1"/>
  <c r="G57" i="197" s="1"/>
  <c r="N56" i="197"/>
  <c r="M56" i="197"/>
  <c r="O56" i="197" s="1"/>
  <c r="F56" i="197" s="1"/>
  <c r="G56" i="197" s="1"/>
  <c r="N55" i="197"/>
  <c r="M55" i="197"/>
  <c r="O55" i="197" s="1"/>
  <c r="F55" i="197" s="1"/>
  <c r="G55" i="197" s="1"/>
  <c r="N54" i="197"/>
  <c r="M54" i="197"/>
  <c r="O54" i="197" s="1"/>
  <c r="F54" i="197" s="1"/>
  <c r="G54" i="197" s="1"/>
  <c r="N53" i="197"/>
  <c r="M53" i="197"/>
  <c r="O53" i="197" s="1"/>
  <c r="F53" i="197" s="1"/>
  <c r="G53" i="197" s="1"/>
  <c r="N52" i="197"/>
  <c r="M52" i="197"/>
  <c r="O52" i="197" s="1"/>
  <c r="F52" i="197" s="1"/>
  <c r="G52" i="197" s="1"/>
  <c r="N51" i="197"/>
  <c r="M51" i="197"/>
  <c r="O51" i="197" s="1"/>
  <c r="F51" i="197" s="1"/>
  <c r="G51" i="197" s="1"/>
  <c r="N50" i="197"/>
  <c r="M50" i="197"/>
  <c r="O50" i="197" s="1"/>
  <c r="F50" i="197" s="1"/>
  <c r="G50" i="197" s="1"/>
  <c r="N49" i="197"/>
  <c r="M49" i="197"/>
  <c r="O49" i="197" s="1"/>
  <c r="F49" i="197" s="1"/>
  <c r="G49" i="197" s="1"/>
  <c r="N48" i="197"/>
  <c r="M48" i="197"/>
  <c r="O48" i="197" s="1"/>
  <c r="F48" i="197" s="1"/>
  <c r="G48" i="197" s="1"/>
  <c r="N47" i="197"/>
  <c r="M47" i="197"/>
  <c r="O47" i="197" s="1"/>
  <c r="F47" i="197" s="1"/>
  <c r="G47" i="197" s="1"/>
  <c r="N46" i="197"/>
  <c r="M46" i="197"/>
  <c r="O46" i="197" s="1"/>
  <c r="F46" i="197" s="1"/>
  <c r="G46" i="197" s="1"/>
  <c r="N45" i="197"/>
  <c r="M45" i="197"/>
  <c r="O45" i="197" s="1"/>
  <c r="F45" i="197" s="1"/>
  <c r="G45" i="197" s="1"/>
  <c r="N44" i="197"/>
  <c r="M44" i="197"/>
  <c r="O44" i="197" s="1"/>
  <c r="F44" i="197" s="1"/>
  <c r="G44" i="197" s="1"/>
  <c r="O43" i="197"/>
  <c r="F43" i="197" s="1"/>
  <c r="G43" i="197" s="1"/>
  <c r="N43" i="197"/>
  <c r="M43" i="197"/>
  <c r="N42" i="197"/>
  <c r="M42" i="197"/>
  <c r="O42" i="197" s="1"/>
  <c r="F42" i="197" s="1"/>
  <c r="G42" i="197" s="1"/>
  <c r="N41" i="197"/>
  <c r="M41" i="197"/>
  <c r="O41" i="197" s="1"/>
  <c r="F41" i="197" s="1"/>
  <c r="G41" i="197" s="1"/>
  <c r="N40" i="197"/>
  <c r="M40" i="197"/>
  <c r="O40" i="197" s="1"/>
  <c r="F40" i="197" s="1"/>
  <c r="G40" i="197" s="1"/>
  <c r="N39" i="197"/>
  <c r="M39" i="197"/>
  <c r="O39" i="197" s="1"/>
  <c r="F39" i="197" s="1"/>
  <c r="G39" i="197" s="1"/>
  <c r="N38" i="197"/>
  <c r="M38" i="197"/>
  <c r="O38" i="197" s="1"/>
  <c r="F38" i="197" s="1"/>
  <c r="G38" i="197" s="1"/>
  <c r="N37" i="197"/>
  <c r="M37" i="197"/>
  <c r="O37" i="197" s="1"/>
  <c r="F37" i="197" s="1"/>
  <c r="G37" i="197" s="1"/>
  <c r="N36" i="197"/>
  <c r="M36" i="197"/>
  <c r="O36" i="197" s="1"/>
  <c r="F36" i="197" s="1"/>
  <c r="G36" i="197" s="1"/>
  <c r="N35" i="197"/>
  <c r="M35" i="197"/>
  <c r="O35" i="197" s="1"/>
  <c r="F35" i="197" s="1"/>
  <c r="G35" i="197" s="1"/>
  <c r="N34" i="197"/>
  <c r="M34" i="197"/>
  <c r="O34" i="197" s="1"/>
  <c r="F34" i="197" s="1"/>
  <c r="G34" i="197" s="1"/>
  <c r="N33" i="197"/>
  <c r="M33" i="197"/>
  <c r="O33" i="197" s="1"/>
  <c r="F33" i="197" s="1"/>
  <c r="G33" i="197" s="1"/>
  <c r="N32" i="197"/>
  <c r="M32" i="197"/>
  <c r="O32" i="197" s="1"/>
  <c r="F32" i="197" s="1"/>
  <c r="G32" i="197" s="1"/>
  <c r="N31" i="197"/>
  <c r="M31" i="197"/>
  <c r="O31" i="197" s="1"/>
  <c r="F31" i="197" s="1"/>
  <c r="G31" i="197" s="1"/>
  <c r="N30" i="197"/>
  <c r="M30" i="197"/>
  <c r="O30" i="197" s="1"/>
  <c r="F30" i="197" s="1"/>
  <c r="G30" i="197" s="1"/>
  <c r="N29" i="197"/>
  <c r="M29" i="197"/>
  <c r="O29" i="197" s="1"/>
  <c r="F29" i="197" s="1"/>
  <c r="G29" i="197" s="1"/>
  <c r="N28" i="197"/>
  <c r="M28" i="197"/>
  <c r="O28" i="197" s="1"/>
  <c r="F28" i="197" s="1"/>
  <c r="G28" i="197" s="1"/>
  <c r="N27" i="197"/>
  <c r="M27" i="197"/>
  <c r="O27" i="197" s="1"/>
  <c r="F27" i="197" s="1"/>
  <c r="G27" i="197" s="1"/>
  <c r="N26" i="197"/>
  <c r="M26" i="197"/>
  <c r="O26" i="197" s="1"/>
  <c r="F26" i="197" s="1"/>
  <c r="G26" i="197" s="1"/>
  <c r="N25" i="197"/>
  <c r="M25" i="197"/>
  <c r="O25" i="197" s="1"/>
  <c r="F25" i="197" s="1"/>
  <c r="G25" i="197" s="1"/>
  <c r="J15" i="197"/>
  <c r="E15" i="197"/>
  <c r="E14" i="197"/>
  <c r="E13" i="197"/>
  <c r="J12" i="197"/>
  <c r="J9" i="197"/>
  <c r="L8" i="197"/>
  <c r="M8" i="197" s="1"/>
  <c r="L7" i="197"/>
  <c r="M7" i="197" s="1"/>
  <c r="L6" i="197"/>
  <c r="M6" i="197" s="1"/>
  <c r="L5" i="197"/>
  <c r="M5" i="197" s="1"/>
  <c r="L4" i="197"/>
  <c r="M4" i="197" s="1"/>
  <c r="L3" i="197"/>
  <c r="M3" i="197" s="1"/>
  <c r="M9" i="197" s="1"/>
  <c r="G735" i="197" l="1"/>
  <c r="L9" i="197"/>
  <c r="L10" i="197" s="1"/>
  <c r="G24" i="197"/>
  <c r="G334" i="197"/>
  <c r="G692" i="197"/>
  <c r="G793" i="197"/>
  <c r="G725" i="197"/>
  <c r="G719" i="197"/>
  <c r="G777" i="197"/>
  <c r="G788" i="197"/>
  <c r="H788" i="197" s="1"/>
  <c r="G739" i="197"/>
  <c r="G752" i="197"/>
  <c r="G674" i="197"/>
  <c r="G678" i="197"/>
  <c r="G813" i="197"/>
  <c r="G783" i="197" l="1"/>
  <c r="G734" i="197"/>
  <c r="G673" i="197"/>
  <c r="G23" i="197" s="1"/>
  <c r="F43" i="196" l="1"/>
  <c r="F42" i="196"/>
  <c r="F40" i="196"/>
  <c r="F39" i="196"/>
  <c r="F37" i="196"/>
  <c r="F36" i="196"/>
  <c r="F34" i="196"/>
  <c r="F33" i="196"/>
  <c r="F31" i="196"/>
  <c r="F30" i="196"/>
  <c r="F28" i="196"/>
  <c r="F26" i="196"/>
  <c r="F25" i="196"/>
  <c r="F24" i="196"/>
  <c r="F23" i="196"/>
  <c r="F21" i="196"/>
  <c r="F20" i="196"/>
  <c r="F18" i="196"/>
  <c r="B18" i="196"/>
  <c r="A18" i="196"/>
  <c r="F17" i="196"/>
  <c r="B17" i="196"/>
  <c r="A17" i="196"/>
  <c r="F16" i="196"/>
  <c r="B16" i="196"/>
  <c r="A16" i="196"/>
  <c r="F15" i="196"/>
  <c r="B15" i="196"/>
  <c r="A15" i="196"/>
  <c r="A13" i="196"/>
  <c r="N294" i="195"/>
  <c r="O294" i="195" s="1"/>
  <c r="F294" i="195" s="1"/>
  <c r="G294" i="195" s="1"/>
  <c r="M294" i="195"/>
  <c r="N293" i="195"/>
  <c r="O293" i="195" s="1"/>
  <c r="F293" i="195" s="1"/>
  <c r="G293" i="195" s="1"/>
  <c r="M293" i="195"/>
  <c r="N292" i="195"/>
  <c r="O292" i="195" s="1"/>
  <c r="F292" i="195" s="1"/>
  <c r="G292" i="195" s="1"/>
  <c r="M292" i="195"/>
  <c r="N291" i="195"/>
  <c r="O291" i="195" s="1"/>
  <c r="F291" i="195" s="1"/>
  <c r="G291" i="195" s="1"/>
  <c r="M291" i="195"/>
  <c r="N290" i="195"/>
  <c r="O290" i="195" s="1"/>
  <c r="F290" i="195" s="1"/>
  <c r="G290" i="195" s="1"/>
  <c r="M290" i="195"/>
  <c r="N289" i="195"/>
  <c r="O289" i="195" s="1"/>
  <c r="F289" i="195" s="1"/>
  <c r="G289" i="195" s="1"/>
  <c r="M289" i="195"/>
  <c r="N288" i="195"/>
  <c r="O288" i="195" s="1"/>
  <c r="F288" i="195" s="1"/>
  <c r="G288" i="195" s="1"/>
  <c r="M288" i="195"/>
  <c r="N287" i="195"/>
  <c r="O287" i="195" s="1"/>
  <c r="M287" i="195"/>
  <c r="N286" i="195"/>
  <c r="M286" i="195"/>
  <c r="O286" i="195" s="1"/>
  <c r="F286" i="195" s="1"/>
  <c r="G286" i="195" s="1"/>
  <c r="N285" i="195"/>
  <c r="M285" i="195"/>
  <c r="O285" i="195" s="1"/>
  <c r="F285" i="195" s="1"/>
  <c r="G285" i="195" s="1"/>
  <c r="N284" i="195"/>
  <c r="M284" i="195"/>
  <c r="O284" i="195" s="1"/>
  <c r="F284" i="195" s="1"/>
  <c r="G284" i="195" s="1"/>
  <c r="N283" i="195"/>
  <c r="M283" i="195"/>
  <c r="O283" i="195" s="1"/>
  <c r="F283" i="195" s="1"/>
  <c r="G283" i="195" s="1"/>
  <c r="N282" i="195"/>
  <c r="M282" i="195"/>
  <c r="O282" i="195" s="1"/>
  <c r="F282" i="195" s="1"/>
  <c r="G282" i="195" s="1"/>
  <c r="N281" i="195"/>
  <c r="M281" i="195"/>
  <c r="O281" i="195" s="1"/>
  <c r="F281" i="195" s="1"/>
  <c r="G281" i="195" s="1"/>
  <c r="N280" i="195"/>
  <c r="O280" i="195" s="1"/>
  <c r="M280" i="195"/>
  <c r="N279" i="195"/>
  <c r="O279" i="195" s="1"/>
  <c r="M279" i="195"/>
  <c r="N278" i="195"/>
  <c r="O278" i="195" s="1"/>
  <c r="F278" i="195" s="1"/>
  <c r="G278" i="195" s="1"/>
  <c r="M278" i="195"/>
  <c r="N277" i="195"/>
  <c r="O277" i="195" s="1"/>
  <c r="F277" i="195" s="1"/>
  <c r="G277" i="195" s="1"/>
  <c r="M277" i="195"/>
  <c r="N276" i="195"/>
  <c r="O276" i="195" s="1"/>
  <c r="M276" i="195"/>
  <c r="N275" i="195"/>
  <c r="M275" i="195"/>
  <c r="O275" i="195" s="1"/>
  <c r="F275" i="195" s="1"/>
  <c r="G275" i="195" s="1"/>
  <c r="N274" i="195"/>
  <c r="M274" i="195"/>
  <c r="O274" i="195" s="1"/>
  <c r="F274" i="195" s="1"/>
  <c r="G274" i="195" s="1"/>
  <c r="N273" i="195"/>
  <c r="M273" i="195"/>
  <c r="O273" i="195" s="1"/>
  <c r="F273" i="195" s="1"/>
  <c r="G273" i="195" s="1"/>
  <c r="N272" i="195"/>
  <c r="O272" i="195" s="1"/>
  <c r="M272" i="195"/>
  <c r="N271" i="195"/>
  <c r="O271" i="195" s="1"/>
  <c r="M271" i="195"/>
  <c r="N270" i="195"/>
  <c r="O270" i="195" s="1"/>
  <c r="F270" i="195" s="1"/>
  <c r="G270" i="195" s="1"/>
  <c r="M270" i="195"/>
  <c r="N269" i="195"/>
  <c r="O269" i="195" s="1"/>
  <c r="F269" i="195" s="1"/>
  <c r="G269" i="195" s="1"/>
  <c r="M269" i="195"/>
  <c r="N268" i="195"/>
  <c r="O268" i="195" s="1"/>
  <c r="F268" i="195" s="1"/>
  <c r="G268" i="195" s="1"/>
  <c r="M268" i="195"/>
  <c r="N267" i="195"/>
  <c r="O267" i="195" s="1"/>
  <c r="F267" i="195" s="1"/>
  <c r="G267" i="195" s="1"/>
  <c r="M267" i="195"/>
  <c r="N266" i="195"/>
  <c r="O266" i="195" s="1"/>
  <c r="F266" i="195" s="1"/>
  <c r="G266" i="195" s="1"/>
  <c r="M266" i="195"/>
  <c r="N265" i="195"/>
  <c r="O265" i="195" s="1"/>
  <c r="F265" i="195" s="1"/>
  <c r="G265" i="195" s="1"/>
  <c r="M265" i="195"/>
  <c r="N264" i="195"/>
  <c r="O264" i="195" s="1"/>
  <c r="F264" i="195" s="1"/>
  <c r="G264" i="195" s="1"/>
  <c r="M264" i="195"/>
  <c r="N263" i="195"/>
  <c r="O263" i="195" s="1"/>
  <c r="F263" i="195" s="1"/>
  <c r="G263" i="195" s="1"/>
  <c r="M263" i="195"/>
  <c r="N262" i="195"/>
  <c r="O262" i="195" s="1"/>
  <c r="F262" i="195" s="1"/>
  <c r="G262" i="195" s="1"/>
  <c r="M262" i="195"/>
  <c r="N261" i="195"/>
  <c r="O261" i="195" s="1"/>
  <c r="F261" i="195" s="1"/>
  <c r="G261" i="195" s="1"/>
  <c r="M261" i="195"/>
  <c r="N260" i="195"/>
  <c r="O260" i="195" s="1"/>
  <c r="F260" i="195" s="1"/>
  <c r="G260" i="195" s="1"/>
  <c r="M260" i="195"/>
  <c r="N259" i="195"/>
  <c r="O259" i="195" s="1"/>
  <c r="F259" i="195" s="1"/>
  <c r="G259" i="195" s="1"/>
  <c r="M259" i="195"/>
  <c r="N258" i="195"/>
  <c r="O258" i="195" s="1"/>
  <c r="F258" i="195" s="1"/>
  <c r="G258" i="195" s="1"/>
  <c r="M258" i="195"/>
  <c r="N257" i="195"/>
  <c r="O257" i="195" s="1"/>
  <c r="F257" i="195" s="1"/>
  <c r="G257" i="195" s="1"/>
  <c r="M257" i="195"/>
  <c r="N256" i="195"/>
  <c r="O256" i="195" s="1"/>
  <c r="M256" i="195"/>
  <c r="N255" i="195"/>
  <c r="M255" i="195"/>
  <c r="O255" i="195" s="1"/>
  <c r="F255" i="195" s="1"/>
  <c r="G255" i="195" s="1"/>
  <c r="O254" i="195"/>
  <c r="F254" i="195" s="1"/>
  <c r="G254" i="195" s="1"/>
  <c r="N254" i="195"/>
  <c r="M254" i="195"/>
  <c r="N253" i="195"/>
  <c r="M253" i="195"/>
  <c r="O253" i="195" s="1"/>
  <c r="F253" i="195" s="1"/>
  <c r="G253" i="195" s="1"/>
  <c r="N252" i="195"/>
  <c r="M252" i="195"/>
  <c r="O252" i="195" s="1"/>
  <c r="F252" i="195" s="1"/>
  <c r="G252" i="195" s="1"/>
  <c r="N251" i="195"/>
  <c r="M251" i="195"/>
  <c r="O251" i="195" s="1"/>
  <c r="F251" i="195" s="1"/>
  <c r="G251" i="195" s="1"/>
  <c r="N250" i="195"/>
  <c r="M250" i="195"/>
  <c r="O250" i="195" s="1"/>
  <c r="F250" i="195" s="1"/>
  <c r="G250" i="195" s="1"/>
  <c r="N249" i="195"/>
  <c r="M249" i="195"/>
  <c r="O249" i="195" s="1"/>
  <c r="F249" i="195" s="1"/>
  <c r="G249" i="195" s="1"/>
  <c r="N248" i="195"/>
  <c r="M248" i="195"/>
  <c r="O248" i="195" s="1"/>
  <c r="F248" i="195" s="1"/>
  <c r="G248" i="195" s="1"/>
  <c r="N247" i="195"/>
  <c r="M247" i="195"/>
  <c r="O247" i="195" s="1"/>
  <c r="F247" i="195" s="1"/>
  <c r="G247" i="195" s="1"/>
  <c r="N246" i="195"/>
  <c r="M246" i="195"/>
  <c r="O246" i="195" s="1"/>
  <c r="F246" i="195" s="1"/>
  <c r="G246" i="195" s="1"/>
  <c r="N245" i="195"/>
  <c r="M245" i="195"/>
  <c r="O245" i="195" s="1"/>
  <c r="F245" i="195" s="1"/>
  <c r="G245" i="195" s="1"/>
  <c r="N244" i="195"/>
  <c r="M244" i="195"/>
  <c r="O244" i="195" s="1"/>
  <c r="F244" i="195" s="1"/>
  <c r="G244" i="195" s="1"/>
  <c r="O243" i="195"/>
  <c r="F243" i="195" s="1"/>
  <c r="G243" i="195" s="1"/>
  <c r="N243" i="195"/>
  <c r="M243" i="195"/>
  <c r="N242" i="195"/>
  <c r="M242" i="195"/>
  <c r="O242" i="195" s="1"/>
  <c r="F242" i="195" s="1"/>
  <c r="G242" i="195" s="1"/>
  <c r="N241" i="195"/>
  <c r="M241" i="195"/>
  <c r="O241" i="195" s="1"/>
  <c r="F241" i="195" s="1"/>
  <c r="G241" i="195" s="1"/>
  <c r="N240" i="195"/>
  <c r="M240" i="195"/>
  <c r="O240" i="195" s="1"/>
  <c r="F240" i="195" s="1"/>
  <c r="G240" i="195" s="1"/>
  <c r="N239" i="195"/>
  <c r="M239" i="195"/>
  <c r="O239" i="195" s="1"/>
  <c r="F239" i="195" s="1"/>
  <c r="G239" i="195" s="1"/>
  <c r="N238" i="195"/>
  <c r="M238" i="195"/>
  <c r="O238" i="195" s="1"/>
  <c r="F238" i="195" s="1"/>
  <c r="G238" i="195" s="1"/>
  <c r="N237" i="195"/>
  <c r="M237" i="195"/>
  <c r="O237" i="195" s="1"/>
  <c r="F237" i="195" s="1"/>
  <c r="G237" i="195" s="1"/>
  <c r="O236" i="195"/>
  <c r="F236" i="195" s="1"/>
  <c r="G236" i="195" s="1"/>
  <c r="N236" i="195"/>
  <c r="M236" i="195"/>
  <c r="N235" i="195"/>
  <c r="M235" i="195"/>
  <c r="O235" i="195" s="1"/>
  <c r="F235" i="195" s="1"/>
  <c r="G235" i="195" s="1"/>
  <c r="N234" i="195"/>
  <c r="M234" i="195"/>
  <c r="O234" i="195" s="1"/>
  <c r="F234" i="195" s="1"/>
  <c r="G234" i="195" s="1"/>
  <c r="N233" i="195"/>
  <c r="M233" i="195"/>
  <c r="O233" i="195" s="1"/>
  <c r="F233" i="195" s="1"/>
  <c r="G233" i="195" s="1"/>
  <c r="N232" i="195"/>
  <c r="O232" i="195" s="1"/>
  <c r="M232" i="195"/>
  <c r="N231" i="195"/>
  <c r="O231" i="195" s="1"/>
  <c r="M231" i="195"/>
  <c r="N230" i="195"/>
  <c r="O230" i="195" s="1"/>
  <c r="F230" i="195" s="1"/>
  <c r="G230" i="195" s="1"/>
  <c r="M230" i="195"/>
  <c r="N229" i="195"/>
  <c r="O229" i="195" s="1"/>
  <c r="F229" i="195" s="1"/>
  <c r="G229" i="195" s="1"/>
  <c r="M229" i="195"/>
  <c r="N228" i="195"/>
  <c r="O228" i="195" s="1"/>
  <c r="F228" i="195" s="1"/>
  <c r="G228" i="195" s="1"/>
  <c r="M228" i="195"/>
  <c r="N227" i="195"/>
  <c r="O227" i="195" s="1"/>
  <c r="F227" i="195" s="1"/>
  <c r="G227" i="195" s="1"/>
  <c r="M227" i="195"/>
  <c r="N226" i="195"/>
  <c r="O226" i="195" s="1"/>
  <c r="F226" i="195" s="1"/>
  <c r="G226" i="195" s="1"/>
  <c r="M226" i="195"/>
  <c r="N225" i="195"/>
  <c r="O225" i="195" s="1"/>
  <c r="F225" i="195" s="1"/>
  <c r="G225" i="195" s="1"/>
  <c r="M225" i="195"/>
  <c r="N224" i="195"/>
  <c r="O224" i="195" s="1"/>
  <c r="F224" i="195" s="1"/>
  <c r="G224" i="195" s="1"/>
  <c r="M224" i="195"/>
  <c r="N223" i="195"/>
  <c r="O223" i="195" s="1"/>
  <c r="F223" i="195" s="1"/>
  <c r="G223" i="195" s="1"/>
  <c r="M223" i="195"/>
  <c r="N222" i="195"/>
  <c r="O222" i="195" s="1"/>
  <c r="F222" i="195" s="1"/>
  <c r="G222" i="195" s="1"/>
  <c r="M222" i="195"/>
  <c r="N221" i="195"/>
  <c r="O221" i="195" s="1"/>
  <c r="F221" i="195" s="1"/>
  <c r="G221" i="195" s="1"/>
  <c r="M221" i="195"/>
  <c r="N220" i="195"/>
  <c r="O220" i="195" s="1"/>
  <c r="F220" i="195" s="1"/>
  <c r="G220" i="195" s="1"/>
  <c r="M220" i="195"/>
  <c r="O219" i="195"/>
  <c r="F219" i="195" s="1"/>
  <c r="G219" i="195" s="1"/>
  <c r="N219" i="195"/>
  <c r="M219" i="195"/>
  <c r="N218" i="195"/>
  <c r="O218" i="195" s="1"/>
  <c r="M218" i="195"/>
  <c r="N217" i="195"/>
  <c r="M217" i="195"/>
  <c r="O217" i="195" s="1"/>
  <c r="F217" i="195" s="1"/>
  <c r="G217" i="195" s="1"/>
  <c r="N216" i="195"/>
  <c r="M216" i="195"/>
  <c r="O216" i="195" s="1"/>
  <c r="F216" i="195" s="1"/>
  <c r="G216" i="195" s="1"/>
  <c r="N215" i="195"/>
  <c r="M215" i="195"/>
  <c r="O215" i="195" s="1"/>
  <c r="F215" i="195" s="1"/>
  <c r="G215" i="195" s="1"/>
  <c r="N214" i="195"/>
  <c r="M214" i="195"/>
  <c r="O214" i="195" s="1"/>
  <c r="F214" i="195" s="1"/>
  <c r="G214" i="195" s="1"/>
  <c r="N213" i="195"/>
  <c r="M213" i="195"/>
  <c r="O213" i="195" s="1"/>
  <c r="F213" i="195" s="1"/>
  <c r="G213" i="195" s="1"/>
  <c r="O212" i="195"/>
  <c r="F212" i="195" s="1"/>
  <c r="G212" i="195" s="1"/>
  <c r="N212" i="195"/>
  <c r="M212" i="195"/>
  <c r="N211" i="195"/>
  <c r="M211" i="195"/>
  <c r="O211" i="195" s="1"/>
  <c r="F211" i="195" s="1"/>
  <c r="G211" i="195" s="1"/>
  <c r="N210" i="195"/>
  <c r="M210" i="195"/>
  <c r="O210" i="195" s="1"/>
  <c r="F210" i="195" s="1"/>
  <c r="G210" i="195" s="1"/>
  <c r="N209" i="195"/>
  <c r="M209" i="195"/>
  <c r="O209" i="195" s="1"/>
  <c r="F209" i="195" s="1"/>
  <c r="G209" i="195" s="1"/>
  <c r="N208" i="195"/>
  <c r="M208" i="195"/>
  <c r="O208" i="195" s="1"/>
  <c r="F208" i="195" s="1"/>
  <c r="G208" i="195" s="1"/>
  <c r="N207" i="195"/>
  <c r="M207" i="195"/>
  <c r="O207" i="195" s="1"/>
  <c r="F207" i="195" s="1"/>
  <c r="G207" i="195" s="1"/>
  <c r="N206" i="195"/>
  <c r="M206" i="195"/>
  <c r="O206" i="195" s="1"/>
  <c r="F206" i="195" s="1"/>
  <c r="G206" i="195" s="1"/>
  <c r="N205" i="195"/>
  <c r="M205" i="195"/>
  <c r="O205" i="195" s="1"/>
  <c r="F205" i="195" s="1"/>
  <c r="G205" i="195" s="1"/>
  <c r="N204" i="195"/>
  <c r="O204" i="195" s="1"/>
  <c r="M204" i="195"/>
  <c r="N203" i="195"/>
  <c r="O203" i="195" s="1"/>
  <c r="M203" i="195"/>
  <c r="N202" i="195"/>
  <c r="O202" i="195" s="1"/>
  <c r="F202" i="195" s="1"/>
  <c r="G202" i="195" s="1"/>
  <c r="M202" i="195"/>
  <c r="N201" i="195"/>
  <c r="O201" i="195" s="1"/>
  <c r="F201" i="195" s="1"/>
  <c r="G201" i="195" s="1"/>
  <c r="M201" i="195"/>
  <c r="N200" i="195"/>
  <c r="O200" i="195" s="1"/>
  <c r="F200" i="195" s="1"/>
  <c r="G200" i="195" s="1"/>
  <c r="M200" i="195"/>
  <c r="N199" i="195"/>
  <c r="O199" i="195" s="1"/>
  <c r="F199" i="195" s="1"/>
  <c r="G199" i="195" s="1"/>
  <c r="M199" i="195"/>
  <c r="N198" i="195"/>
  <c r="O198" i="195" s="1"/>
  <c r="F198" i="195" s="1"/>
  <c r="G198" i="195" s="1"/>
  <c r="M198" i="195"/>
  <c r="N197" i="195"/>
  <c r="O197" i="195" s="1"/>
  <c r="F197" i="195" s="1"/>
  <c r="G197" i="195" s="1"/>
  <c r="M197" i="195"/>
  <c r="N196" i="195"/>
  <c r="O196" i="195" s="1"/>
  <c r="M196" i="195"/>
  <c r="N195" i="195"/>
  <c r="M195" i="195"/>
  <c r="O195" i="195" s="1"/>
  <c r="F195" i="195" s="1"/>
  <c r="G195" i="195" s="1"/>
  <c r="N194" i="195"/>
  <c r="M194" i="195"/>
  <c r="O194" i="195" s="1"/>
  <c r="F194" i="195" s="1"/>
  <c r="G194" i="195" s="1"/>
  <c r="N193" i="195"/>
  <c r="M193" i="195"/>
  <c r="O193" i="195" s="1"/>
  <c r="F193" i="195" s="1"/>
  <c r="G193" i="195" s="1"/>
  <c r="N192" i="195"/>
  <c r="M192" i="195"/>
  <c r="O192" i="195" s="1"/>
  <c r="F192" i="195" s="1"/>
  <c r="G192" i="195" s="1"/>
  <c r="N191" i="195"/>
  <c r="M191" i="195"/>
  <c r="O191" i="195" s="1"/>
  <c r="F191" i="195" s="1"/>
  <c r="G191" i="195" s="1"/>
  <c r="N190" i="195"/>
  <c r="M190" i="195"/>
  <c r="O190" i="195" s="1"/>
  <c r="F190" i="195" s="1"/>
  <c r="G190" i="195" s="1"/>
  <c r="N189" i="195"/>
  <c r="M189" i="195"/>
  <c r="O189" i="195" s="1"/>
  <c r="F189" i="195" s="1"/>
  <c r="G189" i="195" s="1"/>
  <c r="N188" i="195"/>
  <c r="M188" i="195"/>
  <c r="O188" i="195" s="1"/>
  <c r="F188" i="195" s="1"/>
  <c r="G188" i="195" s="1"/>
  <c r="N187" i="195"/>
  <c r="M187" i="195"/>
  <c r="O187" i="195" s="1"/>
  <c r="F187" i="195" s="1"/>
  <c r="G187" i="195" s="1"/>
  <c r="N186" i="195"/>
  <c r="M186" i="195"/>
  <c r="O186" i="195" s="1"/>
  <c r="F186" i="195" s="1"/>
  <c r="G186" i="195" s="1"/>
  <c r="N185" i="195"/>
  <c r="M185" i="195"/>
  <c r="O185" i="195" s="1"/>
  <c r="F185" i="195" s="1"/>
  <c r="G185" i="195" s="1"/>
  <c r="N184" i="195"/>
  <c r="M184" i="195"/>
  <c r="O184" i="195" s="1"/>
  <c r="F184" i="195" s="1"/>
  <c r="G184" i="195" s="1"/>
  <c r="N183" i="195"/>
  <c r="M183" i="195"/>
  <c r="O183" i="195" s="1"/>
  <c r="F183" i="195" s="1"/>
  <c r="G183" i="195" s="1"/>
  <c r="N182" i="195"/>
  <c r="M182" i="195"/>
  <c r="O182" i="195" s="1"/>
  <c r="F182" i="195" s="1"/>
  <c r="G182" i="195" s="1"/>
  <c r="N181" i="195"/>
  <c r="M181" i="195"/>
  <c r="O181" i="195" s="1"/>
  <c r="F181" i="195" s="1"/>
  <c r="G181" i="195" s="1"/>
  <c r="N180" i="195"/>
  <c r="M180" i="195"/>
  <c r="O180" i="195" s="1"/>
  <c r="F180" i="195" s="1"/>
  <c r="G180" i="195" s="1"/>
  <c r="N179" i="195"/>
  <c r="O179" i="195" s="1"/>
  <c r="M179" i="195"/>
  <c r="N178" i="195"/>
  <c r="O178" i="195" s="1"/>
  <c r="M178" i="195"/>
  <c r="N177" i="195"/>
  <c r="M177" i="195"/>
  <c r="O177" i="195" s="1"/>
  <c r="F177" i="195" s="1"/>
  <c r="G177" i="195" s="1"/>
  <c r="N176" i="195"/>
  <c r="M176" i="195"/>
  <c r="O176" i="195" s="1"/>
  <c r="F176" i="195" s="1"/>
  <c r="G176" i="195" s="1"/>
  <c r="N175" i="195"/>
  <c r="M175" i="195"/>
  <c r="O175" i="195" s="1"/>
  <c r="F175" i="195" s="1"/>
  <c r="G175" i="195" s="1"/>
  <c r="N174" i="195"/>
  <c r="M174" i="195"/>
  <c r="O174" i="195" s="1"/>
  <c r="F174" i="195" s="1"/>
  <c r="G174" i="195" s="1"/>
  <c r="N173" i="195"/>
  <c r="M173" i="195"/>
  <c r="O173" i="195" s="1"/>
  <c r="F173" i="195" s="1"/>
  <c r="G173" i="195" s="1"/>
  <c r="N172" i="195"/>
  <c r="M172" i="195"/>
  <c r="O172" i="195" s="1"/>
  <c r="F172" i="195" s="1"/>
  <c r="G172" i="195" s="1"/>
  <c r="N171" i="195"/>
  <c r="M171" i="195"/>
  <c r="O171" i="195" s="1"/>
  <c r="F171" i="195" s="1"/>
  <c r="G171" i="195" s="1"/>
  <c r="O170" i="195"/>
  <c r="F170" i="195" s="1"/>
  <c r="G170" i="195" s="1"/>
  <c r="N170" i="195"/>
  <c r="M170" i="195"/>
  <c r="N169" i="195"/>
  <c r="M169" i="195"/>
  <c r="O169" i="195" s="1"/>
  <c r="F169" i="195" s="1"/>
  <c r="G169" i="195" s="1"/>
  <c r="O168" i="195"/>
  <c r="F168" i="195" s="1"/>
  <c r="G168" i="195" s="1"/>
  <c r="N168" i="195"/>
  <c r="M168" i="195"/>
  <c r="O167" i="195"/>
  <c r="F167" i="195" s="1"/>
  <c r="G167" i="195" s="1"/>
  <c r="N167" i="195"/>
  <c r="M167" i="195"/>
  <c r="N166" i="195"/>
  <c r="M166" i="195"/>
  <c r="O166" i="195" s="1"/>
  <c r="F166" i="195" s="1"/>
  <c r="G166" i="195" s="1"/>
  <c r="N165" i="195"/>
  <c r="M165" i="195"/>
  <c r="O165" i="195" s="1"/>
  <c r="F165" i="195" s="1"/>
  <c r="G165" i="195" s="1"/>
  <c r="N164" i="195"/>
  <c r="M164" i="195"/>
  <c r="O164" i="195" s="1"/>
  <c r="F164" i="195" s="1"/>
  <c r="G164" i="195" s="1"/>
  <c r="N163" i="195"/>
  <c r="M163" i="195"/>
  <c r="O163" i="195" s="1"/>
  <c r="F163" i="195" s="1"/>
  <c r="G163" i="195" s="1"/>
  <c r="N162" i="195"/>
  <c r="M162" i="195"/>
  <c r="O162" i="195" s="1"/>
  <c r="F162" i="195" s="1"/>
  <c r="G162" i="195" s="1"/>
  <c r="N161" i="195"/>
  <c r="M161" i="195"/>
  <c r="O161" i="195" s="1"/>
  <c r="F161" i="195" s="1"/>
  <c r="G161" i="195" s="1"/>
  <c r="N160" i="195"/>
  <c r="M160" i="195"/>
  <c r="O160" i="195" s="1"/>
  <c r="F160" i="195" s="1"/>
  <c r="G160" i="195" s="1"/>
  <c r="N159" i="195"/>
  <c r="O159" i="195" s="1"/>
  <c r="M159" i="195"/>
  <c r="N158" i="195"/>
  <c r="O158" i="195" s="1"/>
  <c r="M158" i="195"/>
  <c r="N157" i="195"/>
  <c r="O157" i="195" s="1"/>
  <c r="F157" i="195" s="1"/>
  <c r="G157" i="195" s="1"/>
  <c r="M157" i="195"/>
  <c r="N156" i="195"/>
  <c r="O156" i="195" s="1"/>
  <c r="F156" i="195" s="1"/>
  <c r="G156" i="195" s="1"/>
  <c r="M156" i="195"/>
  <c r="N155" i="195"/>
  <c r="O155" i="195" s="1"/>
  <c r="F155" i="195" s="1"/>
  <c r="G155" i="195" s="1"/>
  <c r="M155" i="195"/>
  <c r="N154" i="195"/>
  <c r="O154" i="195" s="1"/>
  <c r="M154" i="195"/>
  <c r="N153" i="195"/>
  <c r="M153" i="195"/>
  <c r="O153" i="195" s="1"/>
  <c r="F153" i="195" s="1"/>
  <c r="G153" i="195" s="1"/>
  <c r="N152" i="195"/>
  <c r="M152" i="195"/>
  <c r="O152" i="195" s="1"/>
  <c r="F152" i="195" s="1"/>
  <c r="G152" i="195" s="1"/>
  <c r="N151" i="195"/>
  <c r="M151" i="195"/>
  <c r="O151" i="195" s="1"/>
  <c r="F151" i="195" s="1"/>
  <c r="G151" i="195" s="1"/>
  <c r="N150" i="195"/>
  <c r="M150" i="195"/>
  <c r="O150" i="195" s="1"/>
  <c r="F150" i="195" s="1"/>
  <c r="G150" i="195" s="1"/>
  <c r="N149" i="195"/>
  <c r="M149" i="195"/>
  <c r="O149" i="195" s="1"/>
  <c r="F149" i="195" s="1"/>
  <c r="G149" i="195" s="1"/>
  <c r="N148" i="195"/>
  <c r="M148" i="195"/>
  <c r="O148" i="195" s="1"/>
  <c r="F148" i="195" s="1"/>
  <c r="G148" i="195" s="1"/>
  <c r="N147" i="195"/>
  <c r="M147" i="195"/>
  <c r="O147" i="195" s="1"/>
  <c r="F147" i="195" s="1"/>
  <c r="G147" i="195" s="1"/>
  <c r="N146" i="195"/>
  <c r="M146" i="195"/>
  <c r="O146" i="195" s="1"/>
  <c r="F146" i="195" s="1"/>
  <c r="G146" i="195" s="1"/>
  <c r="N145" i="195"/>
  <c r="M145" i="195"/>
  <c r="O145" i="195" s="1"/>
  <c r="F145" i="195" s="1"/>
  <c r="G145" i="195" s="1"/>
  <c r="O144" i="195"/>
  <c r="F144" i="195" s="1"/>
  <c r="G144" i="195" s="1"/>
  <c r="N144" i="195"/>
  <c r="M144" i="195"/>
  <c r="N143" i="195"/>
  <c r="O143" i="195" s="1"/>
  <c r="M143" i="195"/>
  <c r="N142" i="195"/>
  <c r="O142" i="195" s="1"/>
  <c r="F142" i="195" s="1"/>
  <c r="G142" i="195" s="1"/>
  <c r="M142" i="195"/>
  <c r="N141" i="195"/>
  <c r="O141" i="195" s="1"/>
  <c r="F141" i="195" s="1"/>
  <c r="G141" i="195" s="1"/>
  <c r="M141" i="195"/>
  <c r="N140" i="195"/>
  <c r="O140" i="195" s="1"/>
  <c r="F140" i="195" s="1"/>
  <c r="G140" i="195" s="1"/>
  <c r="M140" i="195"/>
  <c r="N139" i="195"/>
  <c r="O139" i="195" s="1"/>
  <c r="F139" i="195" s="1"/>
  <c r="G139" i="195" s="1"/>
  <c r="M139" i="195"/>
  <c r="N138" i="195"/>
  <c r="O138" i="195" s="1"/>
  <c r="F138" i="195" s="1"/>
  <c r="G138" i="195" s="1"/>
  <c r="M138" i="195"/>
  <c r="N137" i="195"/>
  <c r="O137" i="195" s="1"/>
  <c r="F137" i="195" s="1"/>
  <c r="G137" i="195" s="1"/>
  <c r="M137" i="195"/>
  <c r="N136" i="195"/>
  <c r="O136" i="195" s="1"/>
  <c r="F136" i="195" s="1"/>
  <c r="G136" i="195" s="1"/>
  <c r="M136" i="195"/>
  <c r="N135" i="195"/>
  <c r="O135" i="195" s="1"/>
  <c r="F135" i="195" s="1"/>
  <c r="G135" i="195" s="1"/>
  <c r="M135" i="195"/>
  <c r="N134" i="195"/>
  <c r="O134" i="195" s="1"/>
  <c r="F134" i="195" s="1"/>
  <c r="G134" i="195" s="1"/>
  <c r="M134" i="195"/>
  <c r="N133" i="195"/>
  <c r="O133" i="195" s="1"/>
  <c r="F133" i="195" s="1"/>
  <c r="G133" i="195" s="1"/>
  <c r="M133" i="195"/>
  <c r="N132" i="195"/>
  <c r="O132" i="195" s="1"/>
  <c r="M132" i="195"/>
  <c r="N131" i="195"/>
  <c r="M131" i="195"/>
  <c r="O131" i="195" s="1"/>
  <c r="F131" i="195" s="1"/>
  <c r="G131" i="195" s="1"/>
  <c r="N130" i="195"/>
  <c r="M130" i="195"/>
  <c r="O130" i="195" s="1"/>
  <c r="F130" i="195" s="1"/>
  <c r="G130" i="195" s="1"/>
  <c r="N129" i="195"/>
  <c r="M129" i="195"/>
  <c r="O129" i="195" s="1"/>
  <c r="F129" i="195" s="1"/>
  <c r="G129" i="195" s="1"/>
  <c r="N128" i="195"/>
  <c r="M128" i="195"/>
  <c r="O128" i="195" s="1"/>
  <c r="F128" i="195" s="1"/>
  <c r="G128" i="195" s="1"/>
  <c r="N127" i="195"/>
  <c r="M127" i="195"/>
  <c r="O127" i="195" s="1"/>
  <c r="F127" i="195" s="1"/>
  <c r="G127" i="195" s="1"/>
  <c r="N126" i="195"/>
  <c r="M126" i="195"/>
  <c r="O126" i="195" s="1"/>
  <c r="F126" i="195" s="1"/>
  <c r="G126" i="195" s="1"/>
  <c r="N125" i="195"/>
  <c r="M125" i="195"/>
  <c r="O125" i="195" s="1"/>
  <c r="F125" i="195" s="1"/>
  <c r="G125" i="195" s="1"/>
  <c r="N124" i="195"/>
  <c r="M124" i="195"/>
  <c r="O124" i="195" s="1"/>
  <c r="F124" i="195" s="1"/>
  <c r="G124" i="195" s="1"/>
  <c r="N123" i="195"/>
  <c r="M123" i="195"/>
  <c r="O123" i="195" s="1"/>
  <c r="F123" i="195" s="1"/>
  <c r="G123" i="195" s="1"/>
  <c r="N122" i="195"/>
  <c r="M122" i="195"/>
  <c r="O122" i="195" s="1"/>
  <c r="F122" i="195"/>
  <c r="G122" i="195" s="1"/>
  <c r="N121" i="195"/>
  <c r="M121" i="195"/>
  <c r="O121" i="195" s="1"/>
  <c r="F121" i="195" s="1"/>
  <c r="G121" i="195" s="1"/>
  <c r="N120" i="195"/>
  <c r="M120" i="195"/>
  <c r="O120" i="195" s="1"/>
  <c r="F120" i="195" s="1"/>
  <c r="G120" i="195" s="1"/>
  <c r="N119" i="195"/>
  <c r="M119" i="195"/>
  <c r="O119" i="195" s="1"/>
  <c r="F119" i="195" s="1"/>
  <c r="G119" i="195" s="1"/>
  <c r="N118" i="195"/>
  <c r="M118" i="195"/>
  <c r="O118" i="195" s="1"/>
  <c r="F118" i="195" s="1"/>
  <c r="G118" i="195" s="1"/>
  <c r="N117" i="195"/>
  <c r="M117" i="195"/>
  <c r="O117" i="195" s="1"/>
  <c r="F117" i="195" s="1"/>
  <c r="G117" i="195" s="1"/>
  <c r="N116" i="195"/>
  <c r="M116" i="195"/>
  <c r="O116" i="195" s="1"/>
  <c r="F116" i="195" s="1"/>
  <c r="G116" i="195" s="1"/>
  <c r="N115" i="195"/>
  <c r="M115" i="195"/>
  <c r="O115" i="195" s="1"/>
  <c r="F115" i="195" s="1"/>
  <c r="G115" i="195" s="1"/>
  <c r="N114" i="195"/>
  <c r="M114" i="195"/>
  <c r="O114" i="195" s="1"/>
  <c r="F114" i="195" s="1"/>
  <c r="G114" i="195" s="1"/>
  <c r="N113" i="195"/>
  <c r="M113" i="195"/>
  <c r="O113" i="195" s="1"/>
  <c r="F113" i="195" s="1"/>
  <c r="G113" i="195" s="1"/>
  <c r="N112" i="195"/>
  <c r="M112" i="195"/>
  <c r="O112" i="195" s="1"/>
  <c r="F112" i="195" s="1"/>
  <c r="G112" i="195" s="1"/>
  <c r="N111" i="195"/>
  <c r="M111" i="195"/>
  <c r="O111" i="195" s="1"/>
  <c r="F111" i="195" s="1"/>
  <c r="G111" i="195" s="1"/>
  <c r="N110" i="195"/>
  <c r="M110" i="195"/>
  <c r="O110" i="195" s="1"/>
  <c r="F110" i="195" s="1"/>
  <c r="G110" i="195" s="1"/>
  <c r="N109" i="195"/>
  <c r="M109" i="195"/>
  <c r="O109" i="195" s="1"/>
  <c r="F109" i="195" s="1"/>
  <c r="G109" i="195" s="1"/>
  <c r="N108" i="195"/>
  <c r="M108" i="195"/>
  <c r="O108" i="195" s="1"/>
  <c r="F108" i="195" s="1"/>
  <c r="G108" i="195" s="1"/>
  <c r="N107" i="195"/>
  <c r="M107" i="195"/>
  <c r="O107" i="195" s="1"/>
  <c r="F107" i="195" s="1"/>
  <c r="G107" i="195" s="1"/>
  <c r="N106" i="195"/>
  <c r="M106" i="195"/>
  <c r="O106" i="195" s="1"/>
  <c r="F106" i="195" s="1"/>
  <c r="G106" i="195" s="1"/>
  <c r="N105" i="195"/>
  <c r="M105" i="195"/>
  <c r="O105" i="195" s="1"/>
  <c r="F105" i="195" s="1"/>
  <c r="G105" i="195" s="1"/>
  <c r="N104" i="195"/>
  <c r="M104" i="195"/>
  <c r="O104" i="195" s="1"/>
  <c r="F104" i="195" s="1"/>
  <c r="G104" i="195" s="1"/>
  <c r="N103" i="195"/>
  <c r="M103" i="195"/>
  <c r="O103" i="195" s="1"/>
  <c r="F103" i="195" s="1"/>
  <c r="G103" i="195" s="1"/>
  <c r="N102" i="195"/>
  <c r="M102" i="195"/>
  <c r="O102" i="195" s="1"/>
  <c r="F102" i="195" s="1"/>
  <c r="G102" i="195" s="1"/>
  <c r="N101" i="195"/>
  <c r="M101" i="195"/>
  <c r="O101" i="195" s="1"/>
  <c r="F101" i="195" s="1"/>
  <c r="G101" i="195" s="1"/>
  <c r="N100" i="195"/>
  <c r="M100" i="195"/>
  <c r="O100" i="195" s="1"/>
  <c r="F100" i="195" s="1"/>
  <c r="G100" i="195" s="1"/>
  <c r="N99" i="195"/>
  <c r="M99" i="195"/>
  <c r="O99" i="195" s="1"/>
  <c r="F99" i="195" s="1"/>
  <c r="G99" i="195" s="1"/>
  <c r="N98" i="195"/>
  <c r="O98" i="195" s="1"/>
  <c r="M98" i="195"/>
  <c r="N97" i="195"/>
  <c r="O97" i="195" s="1"/>
  <c r="M97" i="195"/>
  <c r="N96" i="195"/>
  <c r="O96" i="195" s="1"/>
  <c r="F96" i="195" s="1"/>
  <c r="G96" i="195" s="1"/>
  <c r="M96" i="195"/>
  <c r="N95" i="195"/>
  <c r="O95" i="195" s="1"/>
  <c r="F95" i="195" s="1"/>
  <c r="G95" i="195" s="1"/>
  <c r="M95" i="195"/>
  <c r="N94" i="195"/>
  <c r="O94" i="195" s="1"/>
  <c r="F94" i="195" s="1"/>
  <c r="G94" i="195" s="1"/>
  <c r="M94" i="195"/>
  <c r="N93" i="195"/>
  <c r="O93" i="195" s="1"/>
  <c r="F93" i="195" s="1"/>
  <c r="G93" i="195" s="1"/>
  <c r="M93" i="195"/>
  <c r="N92" i="195"/>
  <c r="O92" i="195" s="1"/>
  <c r="F92" i="195" s="1"/>
  <c r="G92" i="195" s="1"/>
  <c r="M92" i="195"/>
  <c r="N91" i="195"/>
  <c r="O91" i="195" s="1"/>
  <c r="M91" i="195"/>
  <c r="N90" i="195"/>
  <c r="M90" i="195"/>
  <c r="O90" i="195" s="1"/>
  <c r="F90" i="195" s="1"/>
  <c r="G90" i="195" s="1"/>
  <c r="N89" i="195"/>
  <c r="M89" i="195"/>
  <c r="O89" i="195" s="1"/>
  <c r="F89" i="195" s="1"/>
  <c r="G89" i="195" s="1"/>
  <c r="N88" i="195"/>
  <c r="M88" i="195"/>
  <c r="O88" i="195" s="1"/>
  <c r="F88" i="195" s="1"/>
  <c r="G88" i="195" s="1"/>
  <c r="N87" i="195"/>
  <c r="M87" i="195"/>
  <c r="O87" i="195" s="1"/>
  <c r="F87" i="195" s="1"/>
  <c r="G87" i="195" s="1"/>
  <c r="N86" i="195"/>
  <c r="M86" i="195"/>
  <c r="O86" i="195" s="1"/>
  <c r="F86" i="195" s="1"/>
  <c r="G86" i="195" s="1"/>
  <c r="N85" i="195"/>
  <c r="M85" i="195"/>
  <c r="O85" i="195" s="1"/>
  <c r="F85" i="195" s="1"/>
  <c r="G85" i="195" s="1"/>
  <c r="N84" i="195"/>
  <c r="M84" i="195"/>
  <c r="O84" i="195" s="1"/>
  <c r="F84" i="195" s="1"/>
  <c r="G84" i="195" s="1"/>
  <c r="N83" i="195"/>
  <c r="M83" i="195"/>
  <c r="O83" i="195" s="1"/>
  <c r="F83" i="195" s="1"/>
  <c r="G83" i="195" s="1"/>
  <c r="N82" i="195"/>
  <c r="M82" i="195"/>
  <c r="O82" i="195" s="1"/>
  <c r="F82" i="195" s="1"/>
  <c r="G82" i="195" s="1"/>
  <c r="N81" i="195"/>
  <c r="M81" i="195"/>
  <c r="O81" i="195" s="1"/>
  <c r="F81" i="195" s="1"/>
  <c r="G81" i="195" s="1"/>
  <c r="N80" i="195"/>
  <c r="M80" i="195"/>
  <c r="O80" i="195" s="1"/>
  <c r="F80" i="195" s="1"/>
  <c r="G80" i="195" s="1"/>
  <c r="N79" i="195"/>
  <c r="M79" i="195"/>
  <c r="O79" i="195" s="1"/>
  <c r="F79" i="195" s="1"/>
  <c r="G79" i="195" s="1"/>
  <c r="N78" i="195"/>
  <c r="M78" i="195"/>
  <c r="O78" i="195" s="1"/>
  <c r="F78" i="195" s="1"/>
  <c r="G78" i="195" s="1"/>
  <c r="N77" i="195"/>
  <c r="M77" i="195"/>
  <c r="O77" i="195" s="1"/>
  <c r="F77" i="195" s="1"/>
  <c r="G77" i="195" s="1"/>
  <c r="N76" i="195"/>
  <c r="M76" i="195"/>
  <c r="O76" i="195" s="1"/>
  <c r="F76" i="195" s="1"/>
  <c r="G76" i="195" s="1"/>
  <c r="N75" i="195"/>
  <c r="M75" i="195"/>
  <c r="O75" i="195" s="1"/>
  <c r="F75" i="195" s="1"/>
  <c r="G75" i="195" s="1"/>
  <c r="N74" i="195"/>
  <c r="M74" i="195"/>
  <c r="O74" i="195" s="1"/>
  <c r="F74" i="195" s="1"/>
  <c r="G74" i="195" s="1"/>
  <c r="N73" i="195"/>
  <c r="M73" i="195"/>
  <c r="O73" i="195" s="1"/>
  <c r="F73" i="195" s="1"/>
  <c r="G73" i="195" s="1"/>
  <c r="N72" i="195"/>
  <c r="M72" i="195"/>
  <c r="O72" i="195" s="1"/>
  <c r="F72" i="195" s="1"/>
  <c r="G72" i="195" s="1"/>
  <c r="N71" i="195"/>
  <c r="M71" i="195"/>
  <c r="O71" i="195" s="1"/>
  <c r="F71" i="195" s="1"/>
  <c r="G71" i="195" s="1"/>
  <c r="N70" i="195"/>
  <c r="M70" i="195"/>
  <c r="O70" i="195" s="1"/>
  <c r="F70" i="195" s="1"/>
  <c r="G70" i="195" s="1"/>
  <c r="N69" i="195"/>
  <c r="O69" i="195" s="1"/>
  <c r="M69" i="195"/>
  <c r="N68" i="195"/>
  <c r="O68" i="195" s="1"/>
  <c r="M68" i="195"/>
  <c r="N67" i="195"/>
  <c r="M67" i="195"/>
  <c r="O67" i="195" s="1"/>
  <c r="F67" i="195" s="1"/>
  <c r="G67" i="195" s="1"/>
  <c r="N66" i="195"/>
  <c r="M66" i="195"/>
  <c r="O66" i="195" s="1"/>
  <c r="F66" i="195" s="1"/>
  <c r="G66" i="195" s="1"/>
  <c r="N65" i="195"/>
  <c r="M65" i="195"/>
  <c r="O65" i="195" s="1"/>
  <c r="F65" i="195" s="1"/>
  <c r="G65" i="195" s="1"/>
  <c r="N64" i="195"/>
  <c r="M64" i="195"/>
  <c r="O64" i="195" s="1"/>
  <c r="F64" i="195" s="1"/>
  <c r="G64" i="195" s="1"/>
  <c r="N63" i="195"/>
  <c r="M63" i="195"/>
  <c r="O63" i="195" s="1"/>
  <c r="F63" i="195" s="1"/>
  <c r="G63" i="195" s="1"/>
  <c r="N62" i="195"/>
  <c r="M62" i="195"/>
  <c r="O62" i="195" s="1"/>
  <c r="F62" i="195" s="1"/>
  <c r="G62" i="195" s="1"/>
  <c r="N61" i="195"/>
  <c r="M61" i="195"/>
  <c r="O61" i="195" s="1"/>
  <c r="F61" i="195" s="1"/>
  <c r="G61" i="195" s="1"/>
  <c r="N60" i="195"/>
  <c r="O60" i="195" s="1"/>
  <c r="M60" i="195"/>
  <c r="N59" i="195"/>
  <c r="M59" i="195"/>
  <c r="O59" i="195" s="1"/>
  <c r="F59" i="195" s="1"/>
  <c r="G59" i="195" s="1"/>
  <c r="N58" i="195"/>
  <c r="M58" i="195"/>
  <c r="O58" i="195" s="1"/>
  <c r="F58" i="195" s="1"/>
  <c r="G58" i="195" s="1"/>
  <c r="N57" i="195"/>
  <c r="M57" i="195"/>
  <c r="O57" i="195" s="1"/>
  <c r="F57" i="195" s="1"/>
  <c r="G57" i="195" s="1"/>
  <c r="N56" i="195"/>
  <c r="M56" i="195"/>
  <c r="O56" i="195" s="1"/>
  <c r="F56" i="195" s="1"/>
  <c r="G56" i="195" s="1"/>
  <c r="N55" i="195"/>
  <c r="M55" i="195"/>
  <c r="O55" i="195" s="1"/>
  <c r="F55" i="195" s="1"/>
  <c r="G55" i="195" s="1"/>
  <c r="N54" i="195"/>
  <c r="M54" i="195"/>
  <c r="O54" i="195" s="1"/>
  <c r="F54" i="195" s="1"/>
  <c r="G54" i="195" s="1"/>
  <c r="N53" i="195"/>
  <c r="M53" i="195"/>
  <c r="O53" i="195" s="1"/>
  <c r="F53" i="195" s="1"/>
  <c r="G53" i="195" s="1"/>
  <c r="N52" i="195"/>
  <c r="M52" i="195"/>
  <c r="O52" i="195" s="1"/>
  <c r="F52" i="195" s="1"/>
  <c r="G52" i="195" s="1"/>
  <c r="N51" i="195"/>
  <c r="M51" i="195"/>
  <c r="O51" i="195" s="1"/>
  <c r="F51" i="195" s="1"/>
  <c r="G51" i="195" s="1"/>
  <c r="N50" i="195"/>
  <c r="O50" i="195" s="1"/>
  <c r="M50" i="195"/>
  <c r="N49" i="195"/>
  <c r="M49" i="195"/>
  <c r="O49" i="195" s="1"/>
  <c r="F49" i="195" s="1"/>
  <c r="G49" i="195" s="1"/>
  <c r="N48" i="195"/>
  <c r="M48" i="195"/>
  <c r="O48" i="195" s="1"/>
  <c r="F48" i="195" s="1"/>
  <c r="G48" i="195" s="1"/>
  <c r="N47" i="195"/>
  <c r="M47" i="195"/>
  <c r="O47" i="195" s="1"/>
  <c r="F47" i="195" s="1"/>
  <c r="G47" i="195" s="1"/>
  <c r="N46" i="195"/>
  <c r="M46" i="195"/>
  <c r="O46" i="195" s="1"/>
  <c r="F46" i="195" s="1"/>
  <c r="G46" i="195" s="1"/>
  <c r="N45" i="195"/>
  <c r="O45" i="195" s="1"/>
  <c r="M45" i="195"/>
  <c r="N44" i="195"/>
  <c r="M44" i="195"/>
  <c r="O44" i="195" s="1"/>
  <c r="F44" i="195" s="1"/>
  <c r="G44" i="195" s="1"/>
  <c r="N43" i="195"/>
  <c r="M43" i="195"/>
  <c r="O43" i="195" s="1"/>
  <c r="F43" i="195" s="1"/>
  <c r="G43" i="195" s="1"/>
  <c r="N42" i="195"/>
  <c r="M42" i="195"/>
  <c r="O42" i="195" s="1"/>
  <c r="F42" i="195" s="1"/>
  <c r="G42" i="195" s="1"/>
  <c r="N41" i="195"/>
  <c r="M41" i="195"/>
  <c r="O41" i="195" s="1"/>
  <c r="F41" i="195" s="1"/>
  <c r="G41" i="195" s="1"/>
  <c r="N40" i="195"/>
  <c r="M40" i="195"/>
  <c r="O40" i="195" s="1"/>
  <c r="F40" i="195" s="1"/>
  <c r="G40" i="195" s="1"/>
  <c r="N39" i="195"/>
  <c r="M39" i="195"/>
  <c r="O39" i="195" s="1"/>
  <c r="F39" i="195" s="1"/>
  <c r="G39" i="195" s="1"/>
  <c r="N38" i="195"/>
  <c r="M38" i="195"/>
  <c r="O38" i="195" s="1"/>
  <c r="F38" i="195" s="1"/>
  <c r="G38" i="195" s="1"/>
  <c r="N37" i="195"/>
  <c r="M37" i="195"/>
  <c r="O37" i="195" s="1"/>
  <c r="F37" i="195" s="1"/>
  <c r="G37" i="195" s="1"/>
  <c r="O36" i="195"/>
  <c r="F36" i="195" s="1"/>
  <c r="G36" i="195" s="1"/>
  <c r="N36" i="195"/>
  <c r="M36" i="195"/>
  <c r="N35" i="195"/>
  <c r="M35" i="195"/>
  <c r="O35" i="195" s="1"/>
  <c r="F35" i="195" s="1"/>
  <c r="G35" i="195" s="1"/>
  <c r="N34" i="195"/>
  <c r="M34" i="195"/>
  <c r="O34" i="195" s="1"/>
  <c r="F34" i="195" s="1"/>
  <c r="G34" i="195" s="1"/>
  <c r="N33" i="195"/>
  <c r="M33" i="195"/>
  <c r="O33" i="195" s="1"/>
  <c r="F33" i="195" s="1"/>
  <c r="G33" i="195" s="1"/>
  <c r="N32" i="195"/>
  <c r="M32" i="195"/>
  <c r="O32" i="195" s="1"/>
  <c r="F32" i="195" s="1"/>
  <c r="G32" i="195" s="1"/>
  <c r="N31" i="195"/>
  <c r="M31" i="195"/>
  <c r="O31" i="195" s="1"/>
  <c r="F31" i="195" s="1"/>
  <c r="G31" i="195" s="1"/>
  <c r="N30" i="195"/>
  <c r="M30" i="195"/>
  <c r="O30" i="195" s="1"/>
  <c r="F30" i="195" s="1"/>
  <c r="G30" i="195" s="1"/>
  <c r="N29" i="195"/>
  <c r="M29" i="195"/>
  <c r="O29" i="195" s="1"/>
  <c r="F29" i="195" s="1"/>
  <c r="G29" i="195" s="1"/>
  <c r="N28" i="195"/>
  <c r="M28" i="195"/>
  <c r="O28" i="195" s="1"/>
  <c r="F28" i="195" s="1"/>
  <c r="G28" i="195" s="1"/>
  <c r="N27" i="195"/>
  <c r="M27" i="195"/>
  <c r="O27" i="195" s="1"/>
  <c r="F27" i="195" s="1"/>
  <c r="G27" i="195" s="1"/>
  <c r="N26" i="195"/>
  <c r="M26" i="195"/>
  <c r="O26" i="195" s="1"/>
  <c r="F26" i="195" s="1"/>
  <c r="G26" i="195" s="1"/>
  <c r="E24" i="195"/>
  <c r="J15" i="195"/>
  <c r="E15" i="195"/>
  <c r="E14" i="195"/>
  <c r="E13" i="195"/>
  <c r="J12" i="195"/>
  <c r="J9" i="195"/>
  <c r="L8" i="195"/>
  <c r="L7" i="195"/>
  <c r="L6" i="195"/>
  <c r="L5" i="195"/>
  <c r="L4" i="195"/>
  <c r="L3" i="195"/>
  <c r="L9" i="195" s="1"/>
  <c r="G60" i="195" l="1"/>
  <c r="G45" i="195"/>
  <c r="G69" i="195"/>
  <c r="G132" i="195"/>
  <c r="G179" i="195"/>
  <c r="G50" i="195"/>
  <c r="G218" i="195"/>
  <c r="G154" i="195"/>
  <c r="G196" i="195"/>
  <c r="G232" i="195"/>
  <c r="G25" i="195"/>
  <c r="G91" i="195"/>
  <c r="G98" i="195"/>
  <c r="G159" i="195"/>
  <c r="G158" i="195" s="1"/>
  <c r="G143" i="195"/>
  <c r="G204" i="195"/>
  <c r="G203" i="195" s="1"/>
  <c r="G287" i="195"/>
  <c r="G276" i="195"/>
  <c r="G272" i="195"/>
  <c r="G280" i="195"/>
  <c r="G279" i="195" s="1"/>
  <c r="G256" i="195"/>
  <c r="G271" i="195" l="1"/>
  <c r="G231" i="195"/>
  <c r="G24" i="195"/>
  <c r="G68" i="195"/>
  <c r="G178" i="195"/>
  <c r="G97" i="195"/>
  <c r="G23" i="195" s="1"/>
  <c r="F42" i="194" l="1"/>
  <c r="F41" i="194"/>
  <c r="F40" i="194"/>
  <c r="F39" i="194"/>
  <c r="F34" i="194"/>
  <c r="F33" i="194"/>
  <c r="F29" i="194"/>
  <c r="F28" i="194"/>
  <c r="F27" i="194"/>
  <c r="F26" i="194"/>
  <c r="F24" i="194"/>
  <c r="F23" i="194"/>
  <c r="F16" i="194"/>
  <c r="F46" i="194" l="1"/>
  <c r="F45" i="194"/>
  <c r="F44" i="194"/>
  <c r="F37" i="194"/>
  <c r="F36" i="194"/>
  <c r="F31" i="194"/>
  <c r="F22" i="194"/>
  <c r="F19" i="194"/>
  <c r="F17" i="194"/>
  <c r="F15" i="194"/>
  <c r="N53" i="193"/>
  <c r="O53" i="193" s="1"/>
  <c r="E53" i="193" s="1"/>
  <c r="M53" i="193"/>
  <c r="N52" i="193"/>
  <c r="O52" i="193" s="1"/>
  <c r="E52" i="193" s="1"/>
  <c r="M52" i="193"/>
  <c r="N51" i="193"/>
  <c r="O51" i="193" s="1"/>
  <c r="E51" i="193" s="1"/>
  <c r="M51" i="193"/>
  <c r="N48" i="193"/>
  <c r="O48" i="193" s="1"/>
  <c r="E48" i="193" s="1"/>
  <c r="M48" i="193"/>
  <c r="N47" i="193"/>
  <c r="O47" i="193" s="1"/>
  <c r="E47" i="193" s="1"/>
  <c r="M47" i="193"/>
  <c r="N46" i="193"/>
  <c r="O46" i="193" s="1"/>
  <c r="E46" i="193" s="1"/>
  <c r="M46" i="193"/>
  <c r="N45" i="193"/>
  <c r="O45" i="193" s="1"/>
  <c r="E45" i="193" s="1"/>
  <c r="M45" i="193"/>
  <c r="N43" i="193"/>
  <c r="O43" i="193" s="1"/>
  <c r="E43" i="193" s="1"/>
  <c r="M43" i="193"/>
  <c r="N42" i="193"/>
  <c r="O42" i="193" s="1"/>
  <c r="E42" i="193" s="1"/>
  <c r="M42" i="193"/>
  <c r="N39" i="193"/>
  <c r="O39" i="193" s="1"/>
  <c r="E39" i="193" s="1"/>
  <c r="M39" i="193"/>
  <c r="N38" i="193"/>
  <c r="O38" i="193" s="1"/>
  <c r="E38" i="193" s="1"/>
  <c r="M38" i="193"/>
  <c r="N36" i="193"/>
  <c r="O36" i="193" s="1"/>
  <c r="E36" i="193" s="1"/>
  <c r="M36" i="193"/>
  <c r="O33" i="193"/>
  <c r="E33" i="193" s="1"/>
  <c r="N33" i="193"/>
  <c r="M33" i="193"/>
  <c r="N32" i="193"/>
  <c r="O32" i="193" s="1"/>
  <c r="E32" i="193" s="1"/>
  <c r="M32" i="193"/>
  <c r="N31" i="193"/>
  <c r="O31" i="193" s="1"/>
  <c r="E31" i="193" s="1"/>
  <c r="M31" i="193"/>
  <c r="N30" i="193"/>
  <c r="O30" i="193" s="1"/>
  <c r="E30" i="193" s="1"/>
  <c r="M30" i="193"/>
  <c r="N28" i="193"/>
  <c r="O28" i="193" s="1"/>
  <c r="E28" i="193" s="1"/>
  <c r="M28" i="193"/>
  <c r="N27" i="193"/>
  <c r="O27" i="193" s="1"/>
  <c r="E27" i="193" s="1"/>
  <c r="M27" i="193"/>
  <c r="N26" i="193"/>
  <c r="M26" i="193"/>
  <c r="O26" i="193" s="1"/>
  <c r="E26" i="193" s="1"/>
  <c r="N21" i="193"/>
  <c r="O21" i="193" s="1"/>
  <c r="E21" i="193" s="1"/>
  <c r="M21" i="193"/>
  <c r="N20" i="193"/>
  <c r="O20" i="193" s="1"/>
  <c r="E20" i="193" s="1"/>
  <c r="M20" i="193"/>
  <c r="N18" i="193"/>
  <c r="O18" i="193" s="1"/>
  <c r="E18" i="193" s="1"/>
  <c r="M18" i="193"/>
  <c r="N15" i="193"/>
  <c r="O15" i="193" s="1"/>
  <c r="E15" i="193" s="1"/>
  <c r="M15" i="193"/>
  <c r="N14" i="193"/>
  <c r="O14" i="193" s="1"/>
  <c r="E14" i="193" s="1"/>
  <c r="M14" i="193"/>
  <c r="N13" i="193"/>
  <c r="O13" i="193" s="1"/>
  <c r="E13" i="193" s="1"/>
  <c r="M13" i="193"/>
  <c r="N12" i="193"/>
  <c r="O12" i="193" s="1"/>
  <c r="E12" i="193" s="1"/>
  <c r="M12" i="193"/>
  <c r="N10" i="193"/>
  <c r="O10" i="193" s="1"/>
  <c r="E10" i="193" s="1"/>
  <c r="M10" i="193"/>
  <c r="N9" i="193"/>
  <c r="O9" i="193" s="1"/>
  <c r="E9" i="193" s="1"/>
  <c r="M9" i="193"/>
  <c r="N7" i="193"/>
  <c r="M7" i="193"/>
  <c r="O7" i="193" s="1"/>
  <c r="E8" i="193" l="1"/>
  <c r="E19" i="193"/>
  <c r="E17" i="193" s="1"/>
  <c r="E25" i="193"/>
  <c r="E50" i="193"/>
  <c r="E44" i="193"/>
  <c r="E41" i="193" s="1"/>
  <c r="E37" i="193"/>
  <c r="E35" i="193" s="1"/>
  <c r="E11" i="193"/>
  <c r="E29" i="193"/>
  <c r="E24" i="193" s="1"/>
  <c r="E7" i="193" l="1"/>
  <c r="E6" i="193" s="1"/>
  <c r="K108" i="185" l="1"/>
  <c r="K104" i="185"/>
  <c r="K103" i="185"/>
  <c r="K97" i="185"/>
  <c r="K98" i="185"/>
  <c r="K99" i="185"/>
  <c r="K96" i="185"/>
  <c r="K93" i="185"/>
  <c r="K92" i="185"/>
  <c r="K88" i="185"/>
  <c r="K87" i="185"/>
  <c r="K86" i="185" s="1"/>
  <c r="K83" i="185"/>
  <c r="K82" i="185"/>
  <c r="K79" i="185"/>
  <c r="K78" i="185"/>
  <c r="K74" i="185"/>
  <c r="K73" i="185"/>
  <c r="K72" i="185"/>
  <c r="K71" i="185"/>
  <c r="K68" i="185"/>
  <c r="K67" i="185"/>
  <c r="K63" i="185"/>
  <c r="K62" i="185"/>
  <c r="K70" i="185" l="1"/>
  <c r="K102" i="185"/>
  <c r="K91" i="185"/>
  <c r="K66" i="185"/>
  <c r="K95" i="185"/>
  <c r="K77" i="185"/>
  <c r="K61" i="185"/>
  <c r="K81" i="185"/>
  <c r="F40" i="190" l="1"/>
  <c r="F41" i="190"/>
  <c r="F42" i="190"/>
  <c r="F43" i="190"/>
  <c r="F44" i="190"/>
  <c r="F45" i="190"/>
  <c r="F48" i="190"/>
  <c r="F39" i="190"/>
  <c r="E32" i="190"/>
  <c r="F32" i="190" s="1"/>
  <c r="I32" i="190" s="1"/>
  <c r="E29" i="190"/>
  <c r="F29" i="190" s="1"/>
  <c r="E27" i="190" s="1"/>
  <c r="F23" i="190"/>
  <c r="E24" i="190" s="1"/>
  <c r="F24" i="190" s="1"/>
  <c r="F21" i="190"/>
  <c r="E22" i="190" s="1"/>
  <c r="F22" i="190" s="1"/>
  <c r="F36" i="190" l="1"/>
  <c r="I36" i="190" s="1"/>
  <c r="E25" i="190"/>
  <c r="F25" i="190" s="1"/>
  <c r="E19" i="190" s="1"/>
  <c r="F19" i="190" s="1"/>
  <c r="J23" i="188"/>
  <c r="M23" i="188" s="1"/>
  <c r="F47" i="188"/>
  <c r="C47" i="188"/>
  <c r="F41" i="188"/>
  <c r="C41" i="188"/>
  <c r="H28" i="188"/>
  <c r="H32" i="188"/>
  <c r="J20" i="188"/>
  <c r="M20" i="188" s="1"/>
  <c r="J14" i="188"/>
  <c r="C14" i="188"/>
  <c r="D13" i="188"/>
  <c r="J11" i="188"/>
  <c r="G179" i="191"/>
  <c r="G37" i="184"/>
  <c r="E16" i="190"/>
  <c r="F16" i="190" s="1"/>
  <c r="F15" i="190"/>
  <c r="K56" i="185"/>
  <c r="G239" i="184" s="1"/>
  <c r="G209" i="191" s="1"/>
  <c r="K55" i="185"/>
  <c r="K54" i="185"/>
  <c r="D51" i="185"/>
  <c r="K51" i="185" s="1"/>
  <c r="K50" i="185"/>
  <c r="K44" i="185"/>
  <c r="G213" i="184" s="1"/>
  <c r="K43" i="185"/>
  <c r="G212" i="184" s="1"/>
  <c r="G183" i="191" s="1"/>
  <c r="K42" i="185"/>
  <c r="K36" i="185"/>
  <c r="K37" i="185" s="1"/>
  <c r="K38" i="185" s="1"/>
  <c r="M31" i="185"/>
  <c r="E31" i="185"/>
  <c r="K31" i="185" s="1"/>
  <c r="M30" i="185"/>
  <c r="E30" i="185"/>
  <c r="K30" i="185" s="1"/>
  <c r="K25" i="185"/>
  <c r="K24" i="185"/>
  <c r="K19" i="185"/>
  <c r="K18" i="185"/>
  <c r="K17" i="185"/>
  <c r="E17" i="185"/>
  <c r="E18" i="185" s="1"/>
  <c r="E19" i="185" s="1"/>
  <c r="K16" i="185"/>
  <c r="K15" i="185"/>
  <c r="K7" i="185"/>
  <c r="G6" i="191" s="1"/>
  <c r="I6" i="191" s="1"/>
  <c r="F7" i="185"/>
  <c r="E203" i="191"/>
  <c r="D203" i="191"/>
  <c r="E202" i="191"/>
  <c r="D202" i="191"/>
  <c r="E201" i="191"/>
  <c r="D201" i="191"/>
  <c r="E200" i="191"/>
  <c r="D200" i="191"/>
  <c r="J192" i="191"/>
  <c r="K185" i="191"/>
  <c r="K184" i="191"/>
  <c r="K183" i="191"/>
  <c r="K182" i="191"/>
  <c r="K178" i="191"/>
  <c r="K177" i="191"/>
  <c r="K176" i="191"/>
  <c r="F173" i="191"/>
  <c r="F171" i="191"/>
  <c r="F169" i="191"/>
  <c r="F167" i="191"/>
  <c r="F165" i="191"/>
  <c r="J163" i="191"/>
  <c r="H163" i="191"/>
  <c r="K163" i="191" s="1"/>
  <c r="K161" i="191"/>
  <c r="K160" i="191" s="1"/>
  <c r="J161" i="191"/>
  <c r="J160" i="191" s="1"/>
  <c r="I160" i="191"/>
  <c r="H160" i="191"/>
  <c r="F158" i="191"/>
  <c r="F131" i="191"/>
  <c r="K126" i="191"/>
  <c r="J126" i="191"/>
  <c r="K123" i="191"/>
  <c r="K117" i="191"/>
  <c r="K115" i="191"/>
  <c r="K114" i="191"/>
  <c r="K113" i="191"/>
  <c r="K105" i="191"/>
  <c r="K104" i="191"/>
  <c r="K103" i="191"/>
  <c r="K102" i="191"/>
  <c r="K101" i="191"/>
  <c r="K99" i="191"/>
  <c r="K98" i="191"/>
  <c r="K97" i="191"/>
  <c r="K96" i="191"/>
  <c r="K95" i="191"/>
  <c r="K73" i="191"/>
  <c r="K65" i="191"/>
  <c r="K64" i="191"/>
  <c r="K63" i="191"/>
  <c r="K58" i="191"/>
  <c r="I58" i="191"/>
  <c r="K53" i="191"/>
  <c r="K49" i="191" s="1"/>
  <c r="I53" i="191"/>
  <c r="K45" i="191"/>
  <c r="K42" i="191"/>
  <c r="K37" i="191"/>
  <c r="I37" i="191"/>
  <c r="K28" i="191"/>
  <c r="I28" i="191"/>
  <c r="K27" i="191"/>
  <c r="O23" i="191"/>
  <c r="O22" i="191"/>
  <c r="I19" i="191"/>
  <c r="H11" i="191"/>
  <c r="N9" i="191"/>
  <c r="O9" i="191" s="1"/>
  <c r="O8" i="191"/>
  <c r="O7" i="191"/>
  <c r="O6" i="191"/>
  <c r="K6" i="191"/>
  <c r="F5" i="191"/>
  <c r="E50" i="186"/>
  <c r="E49" i="186"/>
  <c r="E48" i="186"/>
  <c r="E47" i="186"/>
  <c r="D47" i="186"/>
  <c r="E46" i="186"/>
  <c r="E45" i="186"/>
  <c r="E44" i="186"/>
  <c r="E43" i="186"/>
  <c r="E42" i="186"/>
  <c r="M41" i="186"/>
  <c r="F41" i="186" s="1"/>
  <c r="E41" i="186"/>
  <c r="M40" i="186"/>
  <c r="F40" i="186" s="1"/>
  <c r="E40" i="186"/>
  <c r="M39" i="186"/>
  <c r="F39" i="186" s="1"/>
  <c r="E39" i="186"/>
  <c r="M38" i="186"/>
  <c r="F38" i="186" s="1"/>
  <c r="E38" i="186"/>
  <c r="M37" i="186"/>
  <c r="F37" i="186" s="1"/>
  <c r="E37" i="186"/>
  <c r="M36" i="186"/>
  <c r="F36" i="186" s="1"/>
  <c r="E36" i="186"/>
  <c r="M35" i="186"/>
  <c r="F35" i="186" s="1"/>
  <c r="E35" i="186"/>
  <c r="M34" i="186"/>
  <c r="F34" i="186" s="1"/>
  <c r="E34" i="186"/>
  <c r="M33" i="186"/>
  <c r="F33" i="186" s="1"/>
  <c r="E33" i="186"/>
  <c r="M32" i="186"/>
  <c r="F32" i="186" s="1"/>
  <c r="G32" i="186" s="1"/>
  <c r="E32" i="186"/>
  <c r="M31" i="186"/>
  <c r="F31" i="186" s="1"/>
  <c r="E31" i="186"/>
  <c r="M30" i="186"/>
  <c r="F30" i="186" s="1"/>
  <c r="E30" i="186"/>
  <c r="M29" i="186"/>
  <c r="F29" i="186" s="1"/>
  <c r="E29" i="186"/>
  <c r="M28" i="186"/>
  <c r="F28" i="186" s="1"/>
  <c r="E28" i="186"/>
  <c r="M27" i="186"/>
  <c r="F27" i="186" s="1"/>
  <c r="E27" i="186"/>
  <c r="M26" i="186"/>
  <c r="F26" i="186" s="1"/>
  <c r="E26" i="186"/>
  <c r="M25" i="186"/>
  <c r="F25" i="186" s="1"/>
  <c r="E25" i="186"/>
  <c r="M24" i="186"/>
  <c r="F24" i="186" s="1"/>
  <c r="E24" i="186"/>
  <c r="M23" i="186"/>
  <c r="F23" i="186" s="1"/>
  <c r="E23" i="186"/>
  <c r="M22" i="186"/>
  <c r="F22" i="186" s="1"/>
  <c r="E22" i="186"/>
  <c r="M21" i="186"/>
  <c r="F21" i="186" s="1"/>
  <c r="E21" i="186"/>
  <c r="M20" i="186"/>
  <c r="F20" i="186" s="1"/>
  <c r="E20" i="186"/>
  <c r="M19" i="186"/>
  <c r="F19" i="186" s="1"/>
  <c r="E19" i="186"/>
  <c r="M18" i="186"/>
  <c r="F18" i="186" s="1"/>
  <c r="E18" i="186"/>
  <c r="M17" i="186"/>
  <c r="F17" i="186" s="1"/>
  <c r="E17" i="186"/>
  <c r="M16" i="186"/>
  <c r="F16" i="186" s="1"/>
  <c r="E16" i="186"/>
  <c r="M15" i="186"/>
  <c r="F15" i="186" s="1"/>
  <c r="E15" i="186"/>
  <c r="M14" i="186"/>
  <c r="F14" i="186" s="1"/>
  <c r="E14" i="186"/>
  <c r="M13" i="186"/>
  <c r="F13" i="186" s="1"/>
  <c r="E13" i="186"/>
  <c r="M12" i="186"/>
  <c r="F12" i="186" s="1"/>
  <c r="E12" i="186"/>
  <c r="M11" i="186"/>
  <c r="F11" i="186" s="1"/>
  <c r="E11" i="186"/>
  <c r="M10" i="186"/>
  <c r="F10" i="186" s="1"/>
  <c r="E10" i="186"/>
  <c r="M9" i="186"/>
  <c r="F9" i="186" s="1"/>
  <c r="G9" i="186" s="1"/>
  <c r="E9" i="186"/>
  <c r="M8" i="186"/>
  <c r="F8" i="186" s="1"/>
  <c r="E8" i="186"/>
  <c r="M7" i="186"/>
  <c r="F7" i="186" s="1"/>
  <c r="E7" i="186"/>
  <c r="M6" i="186"/>
  <c r="F6" i="186" s="1"/>
  <c r="E6" i="186"/>
  <c r="E232" i="184"/>
  <c r="D232" i="184"/>
  <c r="E231" i="184"/>
  <c r="D231" i="184"/>
  <c r="E230" i="184"/>
  <c r="D230" i="184"/>
  <c r="E229" i="184"/>
  <c r="D229" i="184"/>
  <c r="E79" i="190"/>
  <c r="G208" i="184"/>
  <c r="G207" i="184"/>
  <c r="F200" i="184"/>
  <c r="F196" i="184"/>
  <c r="F192" i="184"/>
  <c r="F188" i="184"/>
  <c r="F184" i="184"/>
  <c r="H182" i="184"/>
  <c r="H179" i="184"/>
  <c r="D45" i="186"/>
  <c r="F177" i="184"/>
  <c r="H29" i="184"/>
  <c r="G24" i="184"/>
  <c r="D33" i="186" s="1"/>
  <c r="F23" i="184"/>
  <c r="K26" i="185" l="1"/>
  <c r="P7" i="191"/>
  <c r="G206" i="184"/>
  <c r="G177" i="191" s="1"/>
  <c r="I177" i="191" s="1"/>
  <c r="J177" i="191" s="1"/>
  <c r="H179" i="191"/>
  <c r="G178" i="191"/>
  <c r="I178" i="191" s="1"/>
  <c r="I183" i="191"/>
  <c r="J43" i="203"/>
  <c r="H43" i="203" s="1"/>
  <c r="J34" i="203"/>
  <c r="H34" i="203" s="1"/>
  <c r="J25" i="201"/>
  <c r="H25" i="201" s="1"/>
  <c r="J44" i="203"/>
  <c r="H44" i="203" s="1"/>
  <c r="W27" i="205"/>
  <c r="J31" i="203"/>
  <c r="H31" i="203" s="1"/>
  <c r="J30" i="201"/>
  <c r="H30" i="201" s="1"/>
  <c r="W26" i="205"/>
  <c r="J47" i="203"/>
  <c r="H47" i="203" s="1"/>
  <c r="J26" i="201"/>
  <c r="H26" i="201" s="1"/>
  <c r="J46" i="203"/>
  <c r="H46" i="203" s="1"/>
  <c r="J45" i="203"/>
  <c r="H45" i="203" s="1"/>
  <c r="J27" i="201"/>
  <c r="H27" i="201" s="1"/>
  <c r="J119" i="199"/>
  <c r="J66" i="199"/>
  <c r="J90" i="199"/>
  <c r="J64" i="199"/>
  <c r="J105" i="199"/>
  <c r="J36" i="199"/>
  <c r="J323" i="197"/>
  <c r="H323" i="197" s="1"/>
  <c r="J57" i="197"/>
  <c r="H57" i="197" s="1"/>
  <c r="J49" i="197"/>
  <c r="H49" i="197" s="1"/>
  <c r="J41" i="197"/>
  <c r="H41" i="197" s="1"/>
  <c r="J25" i="197"/>
  <c r="H25" i="197" s="1"/>
  <c r="J244" i="195"/>
  <c r="H244" i="195" s="1"/>
  <c r="J322" i="197"/>
  <c r="H322" i="197" s="1"/>
  <c r="J64" i="197"/>
  <c r="H64" i="197" s="1"/>
  <c r="J56" i="197"/>
  <c r="H56" i="197" s="1"/>
  <c r="J48" i="197"/>
  <c r="H48" i="197" s="1"/>
  <c r="J40" i="197"/>
  <c r="H40" i="197" s="1"/>
  <c r="J243" i="195"/>
  <c r="H243" i="195" s="1"/>
  <c r="J216" i="195"/>
  <c r="H216" i="195" s="1"/>
  <c r="J63" i="197"/>
  <c r="H63" i="197" s="1"/>
  <c r="J55" i="197"/>
  <c r="H55" i="197" s="1"/>
  <c r="J47" i="197"/>
  <c r="H47" i="197" s="1"/>
  <c r="J39" i="197"/>
  <c r="H39" i="197" s="1"/>
  <c r="J242" i="195"/>
  <c r="H242" i="195" s="1"/>
  <c r="J328" i="197"/>
  <c r="H328" i="197" s="1"/>
  <c r="J62" i="197"/>
  <c r="H62" i="197" s="1"/>
  <c r="J54" i="197"/>
  <c r="H54" i="197" s="1"/>
  <c r="J46" i="197"/>
  <c r="H46" i="197" s="1"/>
  <c r="J38" i="197"/>
  <c r="H38" i="197" s="1"/>
  <c r="J241" i="195"/>
  <c r="H241" i="195" s="1"/>
  <c r="J214" i="195"/>
  <c r="H214" i="195" s="1"/>
  <c r="J318" i="197"/>
  <c r="H318" i="197" s="1"/>
  <c r="J60" i="197"/>
  <c r="H60" i="197" s="1"/>
  <c r="J52" i="197"/>
  <c r="H52" i="197" s="1"/>
  <c r="J44" i="197"/>
  <c r="H44" i="197" s="1"/>
  <c r="J247" i="195"/>
  <c r="H247" i="195" s="1"/>
  <c r="J239" i="195"/>
  <c r="H239" i="195" s="1"/>
  <c r="J317" i="197"/>
  <c r="H317" i="197" s="1"/>
  <c r="J293" i="197"/>
  <c r="H293" i="197" s="1"/>
  <c r="J59" i="197"/>
  <c r="H59" i="197" s="1"/>
  <c r="J51" i="197"/>
  <c r="H51" i="197" s="1"/>
  <c r="J43" i="197"/>
  <c r="H43" i="197" s="1"/>
  <c r="J246" i="195"/>
  <c r="H246" i="195" s="1"/>
  <c r="J327" i="197"/>
  <c r="H327" i="197" s="1"/>
  <c r="J190" i="195"/>
  <c r="H190" i="195" s="1"/>
  <c r="J111" i="195"/>
  <c r="H111" i="195" s="1"/>
  <c r="J66" i="195"/>
  <c r="H66" i="195" s="1"/>
  <c r="J48" i="195"/>
  <c r="H48" i="195" s="1"/>
  <c r="J39" i="195"/>
  <c r="H39" i="195" s="1"/>
  <c r="J53" i="197"/>
  <c r="H53" i="197" s="1"/>
  <c r="J248" i="195"/>
  <c r="H248" i="195" s="1"/>
  <c r="J186" i="195"/>
  <c r="H186" i="195" s="1"/>
  <c r="J123" i="195"/>
  <c r="H123" i="195" s="1"/>
  <c r="J43" i="195"/>
  <c r="H43" i="195" s="1"/>
  <c r="J292" i="197"/>
  <c r="H292" i="197" s="1"/>
  <c r="J189" i="195"/>
  <c r="H189" i="195" s="1"/>
  <c r="J171" i="195"/>
  <c r="H171" i="195" s="1"/>
  <c r="J126" i="195"/>
  <c r="H126" i="195" s="1"/>
  <c r="J110" i="195"/>
  <c r="H110" i="195" s="1"/>
  <c r="J65" i="195"/>
  <c r="H65" i="195" s="1"/>
  <c r="J38" i="195"/>
  <c r="H38" i="195" s="1"/>
  <c r="J213" i="195"/>
  <c r="H213" i="195" s="1"/>
  <c r="J115" i="195"/>
  <c r="H115" i="195" s="1"/>
  <c r="J319" i="197"/>
  <c r="H319" i="197" s="1"/>
  <c r="J61" i="197"/>
  <c r="H61" i="197" s="1"/>
  <c r="J188" i="195"/>
  <c r="H188" i="195" s="1"/>
  <c r="J170" i="195"/>
  <c r="H170" i="195" s="1"/>
  <c r="J125" i="195"/>
  <c r="H125" i="195" s="1"/>
  <c r="J109" i="195"/>
  <c r="H109" i="195" s="1"/>
  <c r="J37" i="195"/>
  <c r="H37" i="195" s="1"/>
  <c r="J63" i="199"/>
  <c r="J194" i="195"/>
  <c r="H194" i="195" s="1"/>
  <c r="J168" i="195"/>
  <c r="H168" i="195" s="1"/>
  <c r="J107" i="195"/>
  <c r="H107" i="195" s="1"/>
  <c r="J112" i="195"/>
  <c r="H112" i="195" s="1"/>
  <c r="J58" i="195"/>
  <c r="H58" i="195" s="1"/>
  <c r="J316" i="197"/>
  <c r="H316" i="197" s="1"/>
  <c r="J58" i="197"/>
  <c r="H58" i="197" s="1"/>
  <c r="J195" i="195"/>
  <c r="H195" i="195" s="1"/>
  <c r="J187" i="195"/>
  <c r="H187" i="195" s="1"/>
  <c r="J169" i="195"/>
  <c r="H169" i="195" s="1"/>
  <c r="J124" i="195"/>
  <c r="H124" i="195" s="1"/>
  <c r="J116" i="195"/>
  <c r="H116" i="195" s="1"/>
  <c r="J108" i="195"/>
  <c r="H108" i="195" s="1"/>
  <c r="J36" i="195"/>
  <c r="H36" i="195" s="1"/>
  <c r="J50" i="197"/>
  <c r="H50" i="197" s="1"/>
  <c r="J245" i="195"/>
  <c r="H245" i="195" s="1"/>
  <c r="J193" i="195"/>
  <c r="H193" i="195" s="1"/>
  <c r="J167" i="195"/>
  <c r="H167" i="195" s="1"/>
  <c r="J122" i="195"/>
  <c r="H122" i="195" s="1"/>
  <c r="J114" i="195"/>
  <c r="H114" i="195" s="1"/>
  <c r="J42" i="195"/>
  <c r="H42" i="195" s="1"/>
  <c r="J191" i="195"/>
  <c r="H191" i="195" s="1"/>
  <c r="J120" i="195"/>
  <c r="H120" i="195" s="1"/>
  <c r="J30" i="199"/>
  <c r="J45" i="197"/>
  <c r="H45" i="197" s="1"/>
  <c r="J240" i="195"/>
  <c r="H240" i="195" s="1"/>
  <c r="J192" i="195"/>
  <c r="H192" i="195" s="1"/>
  <c r="J166" i="195"/>
  <c r="H166" i="195" s="1"/>
  <c r="J121" i="195"/>
  <c r="H121" i="195" s="1"/>
  <c r="J113" i="195"/>
  <c r="H113" i="195" s="1"/>
  <c r="J41" i="195"/>
  <c r="H41" i="195" s="1"/>
  <c r="J42" i="197"/>
  <c r="H42" i="197" s="1"/>
  <c r="J165" i="195"/>
  <c r="H165" i="195" s="1"/>
  <c r="J40" i="195"/>
  <c r="H40" i="195" s="1"/>
  <c r="G184" i="191"/>
  <c r="I184" i="191" s="1"/>
  <c r="I19" i="190"/>
  <c r="G32" i="184" s="1"/>
  <c r="H32" i="184" s="1"/>
  <c r="G237" i="184"/>
  <c r="G207" i="191" s="1"/>
  <c r="H207" i="191" s="1"/>
  <c r="K20" i="185"/>
  <c r="K14" i="185" s="1"/>
  <c r="F35" i="191"/>
  <c r="F95" i="191"/>
  <c r="F23" i="191"/>
  <c r="F40" i="191"/>
  <c r="J25" i="188"/>
  <c r="M25" i="188" s="1"/>
  <c r="F72" i="191"/>
  <c r="F118" i="184"/>
  <c r="K131" i="191"/>
  <c r="F142" i="191"/>
  <c r="F127" i="184"/>
  <c r="F150" i="191"/>
  <c r="F169" i="184"/>
  <c r="F149" i="191"/>
  <c r="I20" i="191"/>
  <c r="H195" i="191"/>
  <c r="K195" i="191" s="1"/>
  <c r="H224" i="184"/>
  <c r="H260" i="184" s="1"/>
  <c r="G224" i="184"/>
  <c r="G33" i="186"/>
  <c r="K46" i="185"/>
  <c r="H208" i="184"/>
  <c r="H204" i="184" s="1"/>
  <c r="G205" i="184"/>
  <c r="G211" i="184"/>
  <c r="E32" i="185"/>
  <c r="K32" i="185" s="1"/>
  <c r="K33" i="185" s="1"/>
  <c r="G238" i="184"/>
  <c r="K39" i="185"/>
  <c r="K48" i="185"/>
  <c r="G23" i="184"/>
  <c r="G5" i="191"/>
  <c r="H37" i="184"/>
  <c r="H34" i="184" s="1"/>
  <c r="G21" i="191"/>
  <c r="F10" i="190"/>
  <c r="I10" i="190" s="1"/>
  <c r="F42" i="191"/>
  <c r="F200" i="191"/>
  <c r="F229" i="184"/>
  <c r="F201" i="191"/>
  <c r="F230" i="184"/>
  <c r="F202" i="191"/>
  <c r="F231" i="184"/>
  <c r="F203" i="191"/>
  <c r="F232" i="184"/>
  <c r="F24" i="191"/>
  <c r="F25" i="191"/>
  <c r="F43" i="184"/>
  <c r="F26" i="191"/>
  <c r="F44" i="184"/>
  <c r="F27" i="191"/>
  <c r="F45" i="184"/>
  <c r="F31" i="191"/>
  <c r="F51" i="184"/>
  <c r="F32" i="191"/>
  <c r="F52" i="184"/>
  <c r="F34" i="191"/>
  <c r="F54" i="184"/>
  <c r="F36" i="191"/>
  <c r="F55" i="184"/>
  <c r="F88" i="191"/>
  <c r="F56" i="191"/>
  <c r="F77" i="184"/>
  <c r="F48" i="191"/>
  <c r="F70" i="184"/>
  <c r="F51" i="191"/>
  <c r="F52" i="191"/>
  <c r="F73" i="184"/>
  <c r="F92" i="191"/>
  <c r="F112" i="184"/>
  <c r="F66" i="191"/>
  <c r="F87" i="184"/>
  <c r="F67" i="191"/>
  <c r="F88" i="184"/>
  <c r="F89" i="184"/>
  <c r="F68" i="191"/>
  <c r="F73" i="191"/>
  <c r="F94" i="184"/>
  <c r="F87" i="191"/>
  <c r="F107" i="191"/>
  <c r="F99" i="191"/>
  <c r="F119" i="184"/>
  <c r="F101" i="191"/>
  <c r="F121" i="184"/>
  <c r="F102" i="191"/>
  <c r="F122" i="184"/>
  <c r="F111" i="191"/>
  <c r="F131" i="184"/>
  <c r="F124" i="184"/>
  <c r="F104" i="191"/>
  <c r="F113" i="191"/>
  <c r="F133" i="184"/>
  <c r="F114" i="191"/>
  <c r="F134" i="184"/>
  <c r="F115" i="191"/>
  <c r="F135" i="184"/>
  <c r="J131" i="191"/>
  <c r="F130" i="191"/>
  <c r="F129" i="191" s="1"/>
  <c r="F128" i="191" s="1"/>
  <c r="F150" i="184"/>
  <c r="F149" i="184" s="1"/>
  <c r="F148" i="184" s="1"/>
  <c r="F161" i="184"/>
  <c r="F140" i="191"/>
  <c r="F159" i="184"/>
  <c r="F160" i="191"/>
  <c r="F179" i="184"/>
  <c r="F161" i="191"/>
  <c r="F180" i="184"/>
  <c r="H239" i="184"/>
  <c r="F146" i="191"/>
  <c r="F165" i="184"/>
  <c r="F147" i="191"/>
  <c r="F166" i="184"/>
  <c r="Q8" i="191"/>
  <c r="P6" i="191"/>
  <c r="J6" i="191"/>
  <c r="J5" i="191" s="1"/>
  <c r="H209" i="191"/>
  <c r="K209" i="191" s="1"/>
  <c r="F79" i="190"/>
  <c r="I79" i="190" s="1"/>
  <c r="K23" i="185"/>
  <c r="K45" i="185"/>
  <c r="J22" i="188"/>
  <c r="M22" i="188" s="1"/>
  <c r="K35" i="185"/>
  <c r="H30" i="188"/>
  <c r="J21" i="188"/>
  <c r="M21" i="188" s="1"/>
  <c r="J24" i="188"/>
  <c r="M24" i="188" s="1"/>
  <c r="J36" i="190"/>
  <c r="G221" i="184" l="1"/>
  <c r="G192" i="191"/>
  <c r="H192" i="191" s="1"/>
  <c r="G182" i="191"/>
  <c r="I182" i="191" s="1"/>
  <c r="I207" i="191"/>
  <c r="J207" i="191" s="1"/>
  <c r="G14" i="191"/>
  <c r="H237" i="184"/>
  <c r="K41" i="185"/>
  <c r="O30" i="199"/>
  <c r="H30" i="199"/>
  <c r="H63" i="199"/>
  <c r="O63" i="199"/>
  <c r="K179" i="191"/>
  <c r="K175" i="191" s="1"/>
  <c r="H175" i="191"/>
  <c r="O36" i="199"/>
  <c r="H36" i="199"/>
  <c r="I179" i="191"/>
  <c r="J179" i="191" s="1"/>
  <c r="H238" i="184"/>
  <c r="G208" i="191"/>
  <c r="O105" i="199"/>
  <c r="H105" i="199"/>
  <c r="X26" i="206"/>
  <c r="J26" i="203"/>
  <c r="H26" i="203" s="1"/>
  <c r="J50" i="203"/>
  <c r="H50" i="203" s="1"/>
  <c r="J25" i="203"/>
  <c r="H25" i="203" s="1"/>
  <c r="J49" i="203"/>
  <c r="H49" i="203" s="1"/>
  <c r="J29" i="201"/>
  <c r="H29" i="201" s="1"/>
  <c r="J38" i="203"/>
  <c r="H38" i="203" s="1"/>
  <c r="J28" i="201"/>
  <c r="H28" i="201" s="1"/>
  <c r="J35" i="203"/>
  <c r="H35" i="203" s="1"/>
  <c r="J37" i="203"/>
  <c r="H37" i="203" s="1"/>
  <c r="J28" i="203"/>
  <c r="H28" i="203" s="1"/>
  <c r="J27" i="203"/>
  <c r="H27" i="203" s="1"/>
  <c r="J67" i="199"/>
  <c r="J26" i="199"/>
  <c r="J25" i="199"/>
  <c r="J72" i="199"/>
  <c r="J29" i="199"/>
  <c r="J69" i="199"/>
  <c r="J28" i="199"/>
  <c r="J282" i="195"/>
  <c r="H282" i="195" s="1"/>
  <c r="J32" i="197"/>
  <c r="H32" i="197" s="1"/>
  <c r="J281" i="195"/>
  <c r="H281" i="195" s="1"/>
  <c r="J208" i="195"/>
  <c r="H208" i="195" s="1"/>
  <c r="J321" i="197"/>
  <c r="H321" i="197" s="1"/>
  <c r="J31" i="197"/>
  <c r="H31" i="197" s="1"/>
  <c r="J234" i="195"/>
  <c r="H234" i="195" s="1"/>
  <c r="J207" i="195"/>
  <c r="H207" i="195" s="1"/>
  <c r="J68" i="199"/>
  <c r="J320" i="197"/>
  <c r="H320" i="197" s="1"/>
  <c r="J30" i="197"/>
  <c r="H30" i="197" s="1"/>
  <c r="H51" i="193"/>
  <c r="I51" i="193" s="1"/>
  <c r="J233" i="195"/>
  <c r="H233" i="195" s="1"/>
  <c r="J206" i="195"/>
  <c r="H206" i="195" s="1"/>
  <c r="J27" i="199"/>
  <c r="J28" i="197"/>
  <c r="H28" i="197" s="1"/>
  <c r="J27" i="197"/>
  <c r="H27" i="197" s="1"/>
  <c r="H18" i="193"/>
  <c r="I18" i="193" s="1"/>
  <c r="J172" i="195"/>
  <c r="H172" i="195" s="1"/>
  <c r="J145" i="195"/>
  <c r="H145" i="195" s="1"/>
  <c r="J119" i="195"/>
  <c r="H119" i="195" s="1"/>
  <c r="J31" i="195"/>
  <c r="H31" i="195" s="1"/>
  <c r="J160" i="195"/>
  <c r="H160" i="195" s="1"/>
  <c r="J99" i="195"/>
  <c r="H99" i="195" s="1"/>
  <c r="J72" i="195"/>
  <c r="H72" i="195" s="1"/>
  <c r="J49" i="195"/>
  <c r="H49" i="195" s="1"/>
  <c r="J181" i="195"/>
  <c r="H181" i="195" s="1"/>
  <c r="J144" i="195"/>
  <c r="H144" i="195" s="1"/>
  <c r="J102" i="195"/>
  <c r="H102" i="195" s="1"/>
  <c r="J47" i="195"/>
  <c r="H47" i="195" s="1"/>
  <c r="J30" i="195"/>
  <c r="H30" i="195" s="1"/>
  <c r="J88" i="195"/>
  <c r="H88" i="195" s="1"/>
  <c r="J35" i="195"/>
  <c r="H35" i="195" s="1"/>
  <c r="J29" i="197"/>
  <c r="H29" i="197" s="1"/>
  <c r="J180" i="195"/>
  <c r="H180" i="195" s="1"/>
  <c r="J101" i="195"/>
  <c r="H101" i="195" s="1"/>
  <c r="J46" i="195"/>
  <c r="H46" i="195" s="1"/>
  <c r="J29" i="195"/>
  <c r="H29" i="195" s="1"/>
  <c r="J53" i="195"/>
  <c r="H53" i="195" s="1"/>
  <c r="J27" i="195"/>
  <c r="H27" i="195" s="1"/>
  <c r="J77" i="195"/>
  <c r="H77" i="195" s="1"/>
  <c r="J26" i="197"/>
  <c r="H26" i="197" s="1"/>
  <c r="J100" i="195"/>
  <c r="H100" i="195" s="1"/>
  <c r="J89" i="195"/>
  <c r="H89" i="195" s="1"/>
  <c r="J54" i="195"/>
  <c r="H54" i="195" s="1"/>
  <c r="J28" i="195"/>
  <c r="H28" i="195" s="1"/>
  <c r="J283" i="195"/>
  <c r="H283" i="195" s="1"/>
  <c r="J79" i="195"/>
  <c r="H79" i="195" s="1"/>
  <c r="J71" i="195"/>
  <c r="H71" i="195" s="1"/>
  <c r="J52" i="195"/>
  <c r="H52" i="195" s="1"/>
  <c r="J34" i="195"/>
  <c r="H34" i="195" s="1"/>
  <c r="J26" i="195"/>
  <c r="H26" i="195" s="1"/>
  <c r="J173" i="195"/>
  <c r="H173" i="195" s="1"/>
  <c r="H36" i="193"/>
  <c r="I36" i="193" s="1"/>
  <c r="J174" i="195"/>
  <c r="H174" i="195" s="1"/>
  <c r="J78" i="195"/>
  <c r="H78" i="195" s="1"/>
  <c r="J70" i="195"/>
  <c r="H70" i="195" s="1"/>
  <c r="J59" i="195"/>
  <c r="H59" i="195" s="1"/>
  <c r="J51" i="195"/>
  <c r="H51" i="195" s="1"/>
  <c r="J33" i="195"/>
  <c r="H33" i="195" s="1"/>
  <c r="J205" i="195"/>
  <c r="H205" i="195" s="1"/>
  <c r="J32" i="195"/>
  <c r="H32" i="195" s="1"/>
  <c r="J51" i="203"/>
  <c r="H51" i="203" s="1"/>
  <c r="J42" i="203"/>
  <c r="H42" i="203" s="1"/>
  <c r="J33" i="203"/>
  <c r="H33" i="203" s="1"/>
  <c r="J41" i="203"/>
  <c r="H41" i="203" s="1"/>
  <c r="J32" i="203"/>
  <c r="H32" i="203" s="1"/>
  <c r="J48" i="203"/>
  <c r="H48" i="203" s="1"/>
  <c r="J40" i="203"/>
  <c r="H40" i="203" s="1"/>
  <c r="J39" i="203"/>
  <c r="H39" i="203" s="1"/>
  <c r="J30" i="203"/>
  <c r="H30" i="203" s="1"/>
  <c r="J52" i="203"/>
  <c r="H52" i="203" s="1"/>
  <c r="J29" i="203"/>
  <c r="H29" i="203" s="1"/>
  <c r="J34" i="199"/>
  <c r="J33" i="199"/>
  <c r="J32" i="199"/>
  <c r="J31" i="199"/>
  <c r="J62" i="199"/>
  <c r="J33" i="197"/>
  <c r="H33" i="197" s="1"/>
  <c r="J236" i="195"/>
  <c r="H236" i="195" s="1"/>
  <c r="H42" i="193"/>
  <c r="I42" i="193" s="1"/>
  <c r="E36" i="194" s="1"/>
  <c r="J235" i="195"/>
  <c r="H235" i="195" s="1"/>
  <c r="J35" i="199"/>
  <c r="H26" i="193"/>
  <c r="I26" i="193" s="1"/>
  <c r="J294" i="197"/>
  <c r="H294" i="197" s="1"/>
  <c r="J36" i="197"/>
  <c r="H36" i="197" s="1"/>
  <c r="J212" i="195"/>
  <c r="H212" i="195" s="1"/>
  <c r="J35" i="197"/>
  <c r="H35" i="197" s="1"/>
  <c r="J238" i="195"/>
  <c r="H238" i="195" s="1"/>
  <c r="J211" i="195"/>
  <c r="H211" i="195" s="1"/>
  <c r="J37" i="197"/>
  <c r="H37" i="197" s="1"/>
  <c r="J182" i="195"/>
  <c r="H182" i="195" s="1"/>
  <c r="J164" i="195"/>
  <c r="H164" i="195" s="1"/>
  <c r="J103" i="195"/>
  <c r="H103" i="195" s="1"/>
  <c r="J76" i="195"/>
  <c r="H76" i="195" s="1"/>
  <c r="J57" i="195"/>
  <c r="H57" i="195" s="1"/>
  <c r="J146" i="195"/>
  <c r="H146" i="195" s="1"/>
  <c r="J34" i="197"/>
  <c r="H34" i="197" s="1"/>
  <c r="J163" i="195"/>
  <c r="H163" i="195" s="1"/>
  <c r="J118" i="195"/>
  <c r="H118" i="195" s="1"/>
  <c r="J75" i="195"/>
  <c r="H75" i="195" s="1"/>
  <c r="J56" i="195"/>
  <c r="H56" i="195" s="1"/>
  <c r="J176" i="195"/>
  <c r="H176" i="195" s="1"/>
  <c r="J62" i="195"/>
  <c r="H62" i="195" s="1"/>
  <c r="J104" i="195"/>
  <c r="H104" i="195" s="1"/>
  <c r="H9" i="193"/>
  <c r="I9" i="193" s="1"/>
  <c r="J162" i="195"/>
  <c r="H162" i="195" s="1"/>
  <c r="J74" i="195"/>
  <c r="H74" i="195" s="1"/>
  <c r="J64" i="195"/>
  <c r="H64" i="195" s="1"/>
  <c r="J55" i="195"/>
  <c r="H55" i="195" s="1"/>
  <c r="J149" i="195"/>
  <c r="H149" i="195" s="1"/>
  <c r="J131" i="195"/>
  <c r="H131" i="195" s="1"/>
  <c r="J177" i="195"/>
  <c r="H177" i="195" s="1"/>
  <c r="J161" i="195"/>
  <c r="H161" i="195" s="1"/>
  <c r="J150" i="195"/>
  <c r="H150" i="195" s="1"/>
  <c r="J73" i="195"/>
  <c r="H73" i="195" s="1"/>
  <c r="J63" i="195"/>
  <c r="H63" i="195" s="1"/>
  <c r="J44" i="195"/>
  <c r="H44" i="195" s="1"/>
  <c r="J210" i="195"/>
  <c r="H210" i="195" s="1"/>
  <c r="J185" i="195"/>
  <c r="H185" i="195" s="1"/>
  <c r="J148" i="195"/>
  <c r="H148" i="195" s="1"/>
  <c r="J130" i="195"/>
  <c r="H130" i="195" s="1"/>
  <c r="J106" i="195"/>
  <c r="H106" i="195" s="1"/>
  <c r="J61" i="195"/>
  <c r="H61" i="195" s="1"/>
  <c r="J237" i="195"/>
  <c r="H237" i="195" s="1"/>
  <c r="J275" i="195"/>
  <c r="H275" i="195" s="1"/>
  <c r="J209" i="195"/>
  <c r="H209" i="195" s="1"/>
  <c r="J184" i="195"/>
  <c r="H184" i="195" s="1"/>
  <c r="J147" i="195"/>
  <c r="H147" i="195" s="1"/>
  <c r="J105" i="195"/>
  <c r="H105" i="195" s="1"/>
  <c r="J183" i="195"/>
  <c r="H183" i="195" s="1"/>
  <c r="O90" i="199"/>
  <c r="H90" i="199"/>
  <c r="G26" i="205"/>
  <c r="AE26" i="205" s="1"/>
  <c r="AF26" i="205" s="1"/>
  <c r="X26" i="205"/>
  <c r="AC26" i="205"/>
  <c r="H64" i="199"/>
  <c r="O64" i="199"/>
  <c r="H66" i="199"/>
  <c r="O66" i="199"/>
  <c r="G25" i="184"/>
  <c r="H25" i="184"/>
  <c r="G204" i="184"/>
  <c r="G176" i="191"/>
  <c r="H119" i="199"/>
  <c r="O119" i="199"/>
  <c r="D46" i="186"/>
  <c r="G195" i="191"/>
  <c r="G27" i="205"/>
  <c r="AE27" i="205" s="1"/>
  <c r="AF27" i="205" s="1"/>
  <c r="X27" i="205"/>
  <c r="AC27" i="205"/>
  <c r="D49" i="186"/>
  <c r="H264" i="184"/>
  <c r="E78" i="190"/>
  <c r="J19" i="191"/>
  <c r="F115" i="184"/>
  <c r="F98" i="191"/>
  <c r="F60" i="184"/>
  <c r="J184" i="191"/>
  <c r="F41" i="191"/>
  <c r="F59" i="184"/>
  <c r="F33" i="191"/>
  <c r="F53" i="184"/>
  <c r="F168" i="184"/>
  <c r="F170" i="184"/>
  <c r="F199" i="191"/>
  <c r="F151" i="191"/>
  <c r="F93" i="184"/>
  <c r="P10" i="191"/>
  <c r="H21" i="191"/>
  <c r="I21" i="191" s="1"/>
  <c r="F39" i="184"/>
  <c r="K207" i="191"/>
  <c r="H221" i="184"/>
  <c r="G7" i="191"/>
  <c r="F145" i="191"/>
  <c r="F164" i="184"/>
  <c r="F138" i="191"/>
  <c r="F157" i="184"/>
  <c r="J19" i="188"/>
  <c r="M19" i="188" s="1"/>
  <c r="I11" i="188"/>
  <c r="I12" i="188"/>
  <c r="I13" i="188" s="1"/>
  <c r="I209" i="191"/>
  <c r="J178" i="191"/>
  <c r="F116" i="191"/>
  <c r="F136" i="184"/>
  <c r="J10" i="185"/>
  <c r="K10" i="185" s="1"/>
  <c r="J8" i="185"/>
  <c r="K8" i="185" s="1"/>
  <c r="J9" i="185"/>
  <c r="K9" i="185" s="1"/>
  <c r="J11" i="185"/>
  <c r="K11" i="185" s="1"/>
  <c r="F143" i="191"/>
  <c r="F162" i="184"/>
  <c r="F137" i="191"/>
  <c r="F156" i="184"/>
  <c r="F141" i="191"/>
  <c r="F160" i="184"/>
  <c r="F163" i="191"/>
  <c r="F182" i="184"/>
  <c r="F163" i="184"/>
  <c r="F144" i="191"/>
  <c r="F158" i="184"/>
  <c r="F139" i="191"/>
  <c r="F126" i="191"/>
  <c r="F146" i="184"/>
  <c r="F50" i="191"/>
  <c r="F72" i="184"/>
  <c r="J182" i="191"/>
  <c r="G214" i="184"/>
  <c r="G185" i="191" s="1"/>
  <c r="F124" i="191"/>
  <c r="F125" i="191"/>
  <c r="F145" i="184"/>
  <c r="F144" i="184"/>
  <c r="F96" i="191"/>
  <c r="F116" i="184"/>
  <c r="F57" i="191"/>
  <c r="F78" i="184"/>
  <c r="F85" i="191"/>
  <c r="K27" i="185"/>
  <c r="F155" i="191"/>
  <c r="F174" i="184"/>
  <c r="F134" i="191"/>
  <c r="F153" i="184"/>
  <c r="F117" i="191"/>
  <c r="F137" i="184"/>
  <c r="F92" i="184"/>
  <c r="F71" i="191"/>
  <c r="K29" i="185"/>
  <c r="J186" i="191"/>
  <c r="J183" i="191"/>
  <c r="J20" i="191"/>
  <c r="F155" i="184"/>
  <c r="F136" i="191"/>
  <c r="F106" i="191"/>
  <c r="F126" i="184"/>
  <c r="F103" i="191"/>
  <c r="F123" i="184"/>
  <c r="F86" i="191"/>
  <c r="F83" i="191"/>
  <c r="F77" i="191"/>
  <c r="F80" i="191"/>
  <c r="F43" i="191"/>
  <c r="F61" i="184"/>
  <c r="F97" i="191"/>
  <c r="F117" i="184"/>
  <c r="F75" i="191"/>
  <c r="F64" i="191"/>
  <c r="F85" i="184"/>
  <c r="F122" i="191"/>
  <c r="F142" i="184"/>
  <c r="F65" i="191"/>
  <c r="F86" i="184"/>
  <c r="F62" i="191"/>
  <c r="F83" i="184"/>
  <c r="F93" i="191"/>
  <c r="F113" i="184"/>
  <c r="F123" i="191"/>
  <c r="F143" i="184"/>
  <c r="F81" i="191"/>
  <c r="F63" i="191"/>
  <c r="F84" i="184"/>
  <c r="F70" i="191"/>
  <c r="F91" i="184"/>
  <c r="F78" i="191"/>
  <c r="F228" i="184"/>
  <c r="H28" i="184"/>
  <c r="H27" i="184" s="1"/>
  <c r="G188" i="191"/>
  <c r="H23" i="184" l="1"/>
  <c r="G210" i="184"/>
  <c r="H14" i="191"/>
  <c r="I14" i="191" s="1"/>
  <c r="I195" i="191"/>
  <c r="J195" i="191" s="1"/>
  <c r="H33" i="199"/>
  <c r="O33" i="199"/>
  <c r="I176" i="191"/>
  <c r="G175" i="191"/>
  <c r="E15" i="194"/>
  <c r="G15" i="194" s="1"/>
  <c r="G29" i="184" s="1"/>
  <c r="O34" i="199"/>
  <c r="H34" i="199"/>
  <c r="H45" i="195"/>
  <c r="E16" i="196" s="1"/>
  <c r="G16" i="196" s="1"/>
  <c r="G84" i="184" s="1"/>
  <c r="G63" i="191" s="1"/>
  <c r="O72" i="199"/>
  <c r="H72" i="199"/>
  <c r="O35" i="199"/>
  <c r="H35" i="199"/>
  <c r="E31" i="194"/>
  <c r="O29" i="199"/>
  <c r="H29" i="199"/>
  <c r="H16" i="191"/>
  <c r="G36" i="194"/>
  <c r="H25" i="195"/>
  <c r="E44" i="194"/>
  <c r="P6" i="199"/>
  <c r="Q6" i="199" s="1"/>
  <c r="O6" i="199"/>
  <c r="P8" i="199"/>
  <c r="Q8" i="199" s="1"/>
  <c r="O8" i="199"/>
  <c r="O25" i="199"/>
  <c r="P3" i="199"/>
  <c r="O3" i="199"/>
  <c r="H25" i="199"/>
  <c r="H26" i="199"/>
  <c r="O26" i="199"/>
  <c r="E19" i="194"/>
  <c r="H67" i="199"/>
  <c r="O67" i="199"/>
  <c r="H50" i="195"/>
  <c r="E17" i="196" s="1"/>
  <c r="G17" i="196" s="1"/>
  <c r="G85" i="184" s="1"/>
  <c r="G64" i="191" s="1"/>
  <c r="H62" i="199"/>
  <c r="O62" i="199"/>
  <c r="O68" i="199"/>
  <c r="H68" i="199"/>
  <c r="H24" i="203"/>
  <c r="J189" i="201"/>
  <c r="H189" i="201" s="1"/>
  <c r="J181" i="201"/>
  <c r="H181" i="201" s="1"/>
  <c r="J172" i="201"/>
  <c r="H172" i="201" s="1"/>
  <c r="J163" i="201"/>
  <c r="H163" i="201" s="1"/>
  <c r="J155" i="201"/>
  <c r="H155" i="201" s="1"/>
  <c r="J146" i="201"/>
  <c r="H146" i="201" s="1"/>
  <c r="J137" i="201"/>
  <c r="H137" i="201" s="1"/>
  <c r="J129" i="201"/>
  <c r="H129" i="201" s="1"/>
  <c r="J119" i="201"/>
  <c r="H119" i="201" s="1"/>
  <c r="J110" i="201"/>
  <c r="H110" i="201" s="1"/>
  <c r="J101" i="201"/>
  <c r="H101" i="201" s="1"/>
  <c r="J93" i="201"/>
  <c r="H93" i="201" s="1"/>
  <c r="J85" i="201"/>
  <c r="H85" i="201" s="1"/>
  <c r="J75" i="201"/>
  <c r="H75" i="201" s="1"/>
  <c r="J67" i="201"/>
  <c r="H67" i="201" s="1"/>
  <c r="J59" i="201"/>
  <c r="H59" i="201" s="1"/>
  <c r="J51" i="201"/>
  <c r="H51" i="201" s="1"/>
  <c r="J43" i="201"/>
  <c r="H43" i="201" s="1"/>
  <c r="J35" i="201"/>
  <c r="H35" i="201" s="1"/>
  <c r="J86" i="201"/>
  <c r="H86" i="201" s="1"/>
  <c r="W29" i="205"/>
  <c r="J188" i="201"/>
  <c r="H188" i="201" s="1"/>
  <c r="J179" i="201"/>
  <c r="H179" i="201" s="1"/>
  <c r="J170" i="201"/>
  <c r="H170" i="201" s="1"/>
  <c r="J162" i="201"/>
  <c r="H162" i="201" s="1"/>
  <c r="J154" i="201"/>
  <c r="H154" i="201" s="1"/>
  <c r="J145" i="201"/>
  <c r="H145" i="201" s="1"/>
  <c r="J136" i="201"/>
  <c r="H136" i="201" s="1"/>
  <c r="J128" i="201"/>
  <c r="H128" i="201" s="1"/>
  <c r="J118" i="201"/>
  <c r="H118" i="201" s="1"/>
  <c r="J109" i="201"/>
  <c r="H109" i="201" s="1"/>
  <c r="J100" i="201"/>
  <c r="H100" i="201" s="1"/>
  <c r="J92" i="201"/>
  <c r="H92" i="201" s="1"/>
  <c r="J84" i="201"/>
  <c r="H84" i="201" s="1"/>
  <c r="J74" i="201"/>
  <c r="H74" i="201" s="1"/>
  <c r="J66" i="201"/>
  <c r="H66" i="201" s="1"/>
  <c r="J58" i="201"/>
  <c r="H58" i="201" s="1"/>
  <c r="J50" i="201"/>
  <c r="H50" i="201" s="1"/>
  <c r="J42" i="201"/>
  <c r="H42" i="201" s="1"/>
  <c r="J32" i="201"/>
  <c r="H32" i="201" s="1"/>
  <c r="J173" i="201"/>
  <c r="H173" i="201" s="1"/>
  <c r="J130" i="201"/>
  <c r="H130" i="201" s="1"/>
  <c r="J111" i="201"/>
  <c r="H111" i="201" s="1"/>
  <c r="J68" i="201"/>
  <c r="H68" i="201" s="1"/>
  <c r="J44" i="201"/>
  <c r="H44" i="201" s="1"/>
  <c r="W28" i="205"/>
  <c r="J197" i="201"/>
  <c r="H197" i="201" s="1"/>
  <c r="H196" i="201" s="1"/>
  <c r="E27" i="202" s="1"/>
  <c r="G27" i="202" s="1"/>
  <c r="G166" i="184" s="1"/>
  <c r="G147" i="191" s="1"/>
  <c r="J187" i="201"/>
  <c r="H187" i="201" s="1"/>
  <c r="J178" i="201"/>
  <c r="H178" i="201" s="1"/>
  <c r="J169" i="201"/>
  <c r="H169" i="201" s="1"/>
  <c r="J161" i="201"/>
  <c r="H161" i="201" s="1"/>
  <c r="J153" i="201"/>
  <c r="H153" i="201" s="1"/>
  <c r="J144" i="201"/>
  <c r="H144" i="201" s="1"/>
  <c r="J135" i="201"/>
  <c r="H135" i="201" s="1"/>
  <c r="J127" i="201"/>
  <c r="H127" i="201" s="1"/>
  <c r="J117" i="201"/>
  <c r="H117" i="201" s="1"/>
  <c r="J108" i="201"/>
  <c r="H108" i="201" s="1"/>
  <c r="J99" i="201"/>
  <c r="H99" i="201" s="1"/>
  <c r="J91" i="201"/>
  <c r="H91" i="201" s="1"/>
  <c r="J83" i="201"/>
  <c r="H83" i="201" s="1"/>
  <c r="J73" i="201"/>
  <c r="H73" i="201" s="1"/>
  <c r="J65" i="201"/>
  <c r="H65" i="201" s="1"/>
  <c r="J57" i="201"/>
  <c r="H57" i="201" s="1"/>
  <c r="J49" i="201"/>
  <c r="H49" i="201" s="1"/>
  <c r="J41" i="201"/>
  <c r="H41" i="201" s="1"/>
  <c r="J31" i="201"/>
  <c r="H31" i="201" s="1"/>
  <c r="J191" i="201"/>
  <c r="H191" i="201" s="1"/>
  <c r="J195" i="201"/>
  <c r="H195" i="201" s="1"/>
  <c r="J186" i="201"/>
  <c r="H186" i="201" s="1"/>
  <c r="J177" i="201"/>
  <c r="H177" i="201" s="1"/>
  <c r="J168" i="201"/>
  <c r="H168" i="201" s="1"/>
  <c r="J160" i="201"/>
  <c r="H160" i="201" s="1"/>
  <c r="J151" i="201"/>
  <c r="H151" i="201" s="1"/>
  <c r="J143" i="201"/>
  <c r="H143" i="201" s="1"/>
  <c r="J134" i="201"/>
  <c r="H134" i="201" s="1"/>
  <c r="J126" i="201"/>
  <c r="H126" i="201" s="1"/>
  <c r="J115" i="201"/>
  <c r="H115" i="201" s="1"/>
  <c r="J107" i="201"/>
  <c r="H107" i="201" s="1"/>
  <c r="J98" i="201"/>
  <c r="H98" i="201" s="1"/>
  <c r="J90" i="201"/>
  <c r="H90" i="201" s="1"/>
  <c r="J82" i="201"/>
  <c r="H82" i="201" s="1"/>
  <c r="J72" i="201"/>
  <c r="H72" i="201" s="1"/>
  <c r="J64" i="201"/>
  <c r="H64" i="201" s="1"/>
  <c r="J56" i="201"/>
  <c r="H56" i="201" s="1"/>
  <c r="J48" i="201"/>
  <c r="H48" i="201" s="1"/>
  <c r="J40" i="201"/>
  <c r="H40" i="201" s="1"/>
  <c r="J102" i="201"/>
  <c r="H102" i="201" s="1"/>
  <c r="J194" i="201"/>
  <c r="H194" i="201" s="1"/>
  <c r="J185" i="201"/>
  <c r="H185" i="201" s="1"/>
  <c r="J176" i="201"/>
  <c r="H176" i="201" s="1"/>
  <c r="J167" i="201"/>
  <c r="H167" i="201" s="1"/>
  <c r="J159" i="201"/>
  <c r="H159" i="201" s="1"/>
  <c r="J150" i="201"/>
  <c r="H150" i="201" s="1"/>
  <c r="J142" i="201"/>
  <c r="H142" i="201" s="1"/>
  <c r="J133" i="201"/>
  <c r="H133" i="201" s="1"/>
  <c r="J125" i="201"/>
  <c r="H125" i="201" s="1"/>
  <c r="J114" i="201"/>
  <c r="H114" i="201" s="1"/>
  <c r="J106" i="201"/>
  <c r="H106" i="201" s="1"/>
  <c r="J97" i="201"/>
  <c r="H97" i="201" s="1"/>
  <c r="J89" i="201"/>
  <c r="H89" i="201" s="1"/>
  <c r="J79" i="201"/>
  <c r="H79" i="201" s="1"/>
  <c r="J71" i="201"/>
  <c r="H71" i="201" s="1"/>
  <c r="J63" i="201"/>
  <c r="H63" i="201" s="1"/>
  <c r="J55" i="201"/>
  <c r="H55" i="201" s="1"/>
  <c r="J47" i="201"/>
  <c r="H47" i="201" s="1"/>
  <c r="J39" i="201"/>
  <c r="H39" i="201" s="1"/>
  <c r="J182" i="201"/>
  <c r="H182" i="201" s="1"/>
  <c r="J164" i="201"/>
  <c r="H164" i="201" s="1"/>
  <c r="J156" i="201"/>
  <c r="H156" i="201" s="1"/>
  <c r="J120" i="201"/>
  <c r="H120" i="201" s="1"/>
  <c r="J94" i="201"/>
  <c r="H94" i="201" s="1"/>
  <c r="J60" i="201"/>
  <c r="H60" i="201" s="1"/>
  <c r="W25" i="205"/>
  <c r="J193" i="201"/>
  <c r="H193" i="201" s="1"/>
  <c r="J184" i="201"/>
  <c r="H184" i="201" s="1"/>
  <c r="J175" i="201"/>
  <c r="H175" i="201" s="1"/>
  <c r="J166" i="201"/>
  <c r="H166" i="201" s="1"/>
  <c r="J158" i="201"/>
  <c r="H158" i="201" s="1"/>
  <c r="J149" i="201"/>
  <c r="H149" i="201" s="1"/>
  <c r="J141" i="201"/>
  <c r="H141" i="201" s="1"/>
  <c r="J132" i="201"/>
  <c r="H132" i="201" s="1"/>
  <c r="J123" i="201"/>
  <c r="H123" i="201" s="1"/>
  <c r="J113" i="201"/>
  <c r="H113" i="201" s="1"/>
  <c r="J105" i="201"/>
  <c r="H105" i="201" s="1"/>
  <c r="J96" i="201"/>
  <c r="H96" i="201" s="1"/>
  <c r="J88" i="201"/>
  <c r="H88" i="201" s="1"/>
  <c r="J78" i="201"/>
  <c r="H78" i="201" s="1"/>
  <c r="J70" i="201"/>
  <c r="H70" i="201" s="1"/>
  <c r="J62" i="201"/>
  <c r="H62" i="201" s="1"/>
  <c r="J54" i="201"/>
  <c r="H54" i="201" s="1"/>
  <c r="J46" i="201"/>
  <c r="H46" i="201" s="1"/>
  <c r="J38" i="201"/>
  <c r="H38" i="201" s="1"/>
  <c r="J147" i="201"/>
  <c r="H147" i="201" s="1"/>
  <c r="J76" i="201"/>
  <c r="H76" i="201" s="1"/>
  <c r="J52" i="201"/>
  <c r="H52" i="201" s="1"/>
  <c r="W24" i="205"/>
  <c r="G24" i="205" s="1"/>
  <c r="J192" i="201"/>
  <c r="H192" i="201" s="1"/>
  <c r="J183" i="201"/>
  <c r="H183" i="201" s="1"/>
  <c r="J174" i="201"/>
  <c r="H174" i="201" s="1"/>
  <c r="J165" i="201"/>
  <c r="H165" i="201" s="1"/>
  <c r="J157" i="201"/>
  <c r="H157" i="201" s="1"/>
  <c r="J148" i="201"/>
  <c r="H148" i="201" s="1"/>
  <c r="J140" i="201"/>
  <c r="H140" i="201" s="1"/>
  <c r="J131" i="201"/>
  <c r="H131" i="201" s="1"/>
  <c r="J122" i="201"/>
  <c r="H122" i="201" s="1"/>
  <c r="J112" i="201"/>
  <c r="H112" i="201" s="1"/>
  <c r="J104" i="201"/>
  <c r="H104" i="201" s="1"/>
  <c r="J95" i="201"/>
  <c r="H95" i="201" s="1"/>
  <c r="J87" i="201"/>
  <c r="H87" i="201" s="1"/>
  <c r="J77" i="201"/>
  <c r="H77" i="201" s="1"/>
  <c r="J69" i="201"/>
  <c r="H69" i="201" s="1"/>
  <c r="J61" i="201"/>
  <c r="H61" i="201" s="1"/>
  <c r="J53" i="201"/>
  <c r="H53" i="201" s="1"/>
  <c r="J45" i="201"/>
  <c r="H45" i="201" s="1"/>
  <c r="J37" i="201"/>
  <c r="H37" i="201" s="1"/>
  <c r="J138" i="201"/>
  <c r="H138" i="201" s="1"/>
  <c r="J36" i="201"/>
  <c r="H36" i="201" s="1"/>
  <c r="J305" i="199"/>
  <c r="J297" i="199"/>
  <c r="J289" i="199"/>
  <c r="J281" i="199"/>
  <c r="J273" i="199"/>
  <c r="J264" i="199"/>
  <c r="J256" i="199"/>
  <c r="J248" i="199"/>
  <c r="J240" i="199"/>
  <c r="J232" i="199"/>
  <c r="J224" i="199"/>
  <c r="J216" i="199"/>
  <c r="J208" i="199"/>
  <c r="J200" i="199"/>
  <c r="J192" i="199"/>
  <c r="J184" i="199"/>
  <c r="J176" i="199"/>
  <c r="J168" i="199"/>
  <c r="J160" i="199"/>
  <c r="J152" i="199"/>
  <c r="J144" i="199"/>
  <c r="J136" i="199"/>
  <c r="J128" i="199"/>
  <c r="J111" i="199"/>
  <c r="J102" i="199"/>
  <c r="J94" i="199"/>
  <c r="J85" i="199"/>
  <c r="J77" i="199"/>
  <c r="J59" i="199"/>
  <c r="J51" i="199"/>
  <c r="J43" i="199"/>
  <c r="J826" i="197"/>
  <c r="H826" i="197" s="1"/>
  <c r="J818" i="197"/>
  <c r="H818" i="197" s="1"/>
  <c r="J809" i="197"/>
  <c r="H809" i="197" s="1"/>
  <c r="J801" i="197"/>
  <c r="H801" i="197" s="1"/>
  <c r="J792" i="197"/>
  <c r="H792" i="197" s="1"/>
  <c r="J778" i="197"/>
  <c r="H778" i="197" s="1"/>
  <c r="J773" i="197"/>
  <c r="H773" i="197" s="1"/>
  <c r="J765" i="197"/>
  <c r="H765" i="197" s="1"/>
  <c r="J757" i="197"/>
  <c r="H757" i="197" s="1"/>
  <c r="J748" i="197"/>
  <c r="H748" i="197" s="1"/>
  <c r="J740" i="197"/>
  <c r="H740" i="197" s="1"/>
  <c r="J728" i="197"/>
  <c r="H728" i="197" s="1"/>
  <c r="J718" i="197"/>
  <c r="H718" i="197" s="1"/>
  <c r="J710" i="197"/>
  <c r="H710" i="197" s="1"/>
  <c r="J702" i="197"/>
  <c r="H702" i="197" s="1"/>
  <c r="J694" i="197"/>
  <c r="H694" i="197" s="1"/>
  <c r="J685" i="197"/>
  <c r="H685" i="197" s="1"/>
  <c r="J676" i="197"/>
  <c r="H676" i="197" s="1"/>
  <c r="J666" i="197"/>
  <c r="H666" i="197" s="1"/>
  <c r="J658" i="197"/>
  <c r="H658" i="197" s="1"/>
  <c r="J650" i="197"/>
  <c r="H650" i="197" s="1"/>
  <c r="J642" i="197"/>
  <c r="H642" i="197" s="1"/>
  <c r="J634" i="197"/>
  <c r="H634" i="197" s="1"/>
  <c r="J626" i="197"/>
  <c r="H626" i="197" s="1"/>
  <c r="J618" i="197"/>
  <c r="H618" i="197" s="1"/>
  <c r="J610" i="197"/>
  <c r="H610" i="197" s="1"/>
  <c r="J602" i="197"/>
  <c r="H602" i="197" s="1"/>
  <c r="J594" i="197"/>
  <c r="H594" i="197" s="1"/>
  <c r="J586" i="197"/>
  <c r="H586" i="197" s="1"/>
  <c r="J578" i="197"/>
  <c r="H578" i="197" s="1"/>
  <c r="J570" i="197"/>
  <c r="H570" i="197" s="1"/>
  <c r="J562" i="197"/>
  <c r="H562" i="197" s="1"/>
  <c r="J554" i="197"/>
  <c r="H554" i="197" s="1"/>
  <c r="J546" i="197"/>
  <c r="H546" i="197" s="1"/>
  <c r="J538" i="197"/>
  <c r="H538" i="197" s="1"/>
  <c r="J530" i="197"/>
  <c r="H530" i="197" s="1"/>
  <c r="J522" i="197"/>
  <c r="H522" i="197" s="1"/>
  <c r="J514" i="197"/>
  <c r="H514" i="197" s="1"/>
  <c r="J506" i="197"/>
  <c r="H506" i="197" s="1"/>
  <c r="J498" i="197"/>
  <c r="H498" i="197" s="1"/>
  <c r="J490" i="197"/>
  <c r="H490" i="197" s="1"/>
  <c r="J482" i="197"/>
  <c r="H482" i="197" s="1"/>
  <c r="J474" i="197"/>
  <c r="H474" i="197" s="1"/>
  <c r="J466" i="197"/>
  <c r="H466" i="197" s="1"/>
  <c r="J458" i="197"/>
  <c r="H458" i="197" s="1"/>
  <c r="J450" i="197"/>
  <c r="H450" i="197" s="1"/>
  <c r="J442" i="197"/>
  <c r="H442" i="197" s="1"/>
  <c r="J434" i="197"/>
  <c r="H434" i="197" s="1"/>
  <c r="J312" i="199"/>
  <c r="J304" i="199"/>
  <c r="J296" i="199"/>
  <c r="J288" i="199"/>
  <c r="J280" i="199"/>
  <c r="J272" i="199"/>
  <c r="J263" i="199"/>
  <c r="J255" i="199"/>
  <c r="J247" i="199"/>
  <c r="J239" i="199"/>
  <c r="J231" i="199"/>
  <c r="J223" i="199"/>
  <c r="J215" i="199"/>
  <c r="J207" i="199"/>
  <c r="J199" i="199"/>
  <c r="J191" i="199"/>
  <c r="J183" i="199"/>
  <c r="J175" i="199"/>
  <c r="J167" i="199"/>
  <c r="J159" i="199"/>
  <c r="J151" i="199"/>
  <c r="J143" i="199"/>
  <c r="J135" i="199"/>
  <c r="J127" i="199"/>
  <c r="J118" i="199"/>
  <c r="J110" i="199"/>
  <c r="J101" i="199"/>
  <c r="J93" i="199"/>
  <c r="J84" i="199"/>
  <c r="J76" i="199"/>
  <c r="J58" i="199"/>
  <c r="J50" i="199"/>
  <c r="J42" i="199"/>
  <c r="J825" i="197"/>
  <c r="H825" i="197" s="1"/>
  <c r="J817" i="197"/>
  <c r="H817" i="197" s="1"/>
  <c r="J808" i="197"/>
  <c r="H808" i="197" s="1"/>
  <c r="J800" i="197"/>
  <c r="H800" i="197" s="1"/>
  <c r="J791" i="197"/>
  <c r="H791" i="197" s="1"/>
  <c r="J787" i="197"/>
  <c r="H787" i="197" s="1"/>
  <c r="J772" i="197"/>
  <c r="H772" i="197" s="1"/>
  <c r="J764" i="197"/>
  <c r="H764" i="197" s="1"/>
  <c r="J756" i="197"/>
  <c r="H756" i="197" s="1"/>
  <c r="J747" i="197"/>
  <c r="H747" i="197" s="1"/>
  <c r="J738" i="197"/>
  <c r="H738" i="197" s="1"/>
  <c r="J727" i="197"/>
  <c r="H727" i="197" s="1"/>
  <c r="J717" i="197"/>
  <c r="H717" i="197" s="1"/>
  <c r="J709" i="197"/>
  <c r="H709" i="197" s="1"/>
  <c r="J701" i="197"/>
  <c r="H701" i="197" s="1"/>
  <c r="J693" i="197"/>
  <c r="H693" i="197" s="1"/>
  <c r="J684" i="197"/>
  <c r="H684" i="197" s="1"/>
  <c r="J675" i="197"/>
  <c r="H675" i="197" s="1"/>
  <c r="J665" i="197"/>
  <c r="H665" i="197" s="1"/>
  <c r="J657" i="197"/>
  <c r="H657" i="197" s="1"/>
  <c r="J649" i="197"/>
  <c r="H649" i="197" s="1"/>
  <c r="J641" i="197"/>
  <c r="H641" i="197" s="1"/>
  <c r="J633" i="197"/>
  <c r="H633" i="197" s="1"/>
  <c r="J625" i="197"/>
  <c r="H625" i="197" s="1"/>
  <c r="J617" i="197"/>
  <c r="H617" i="197" s="1"/>
  <c r="J609" i="197"/>
  <c r="H609" i="197" s="1"/>
  <c r="J601" i="197"/>
  <c r="H601" i="197" s="1"/>
  <c r="J593" i="197"/>
  <c r="H593" i="197" s="1"/>
  <c r="J585" i="197"/>
  <c r="H585" i="197" s="1"/>
  <c r="J577" i="197"/>
  <c r="H577" i="197" s="1"/>
  <c r="J569" i="197"/>
  <c r="H569" i="197" s="1"/>
  <c r="J561" i="197"/>
  <c r="H561" i="197" s="1"/>
  <c r="J553" i="197"/>
  <c r="H553" i="197" s="1"/>
  <c r="J545" i="197"/>
  <c r="H545" i="197" s="1"/>
  <c r="J537" i="197"/>
  <c r="H537" i="197" s="1"/>
  <c r="J529" i="197"/>
  <c r="H529" i="197" s="1"/>
  <c r="J521" i="197"/>
  <c r="H521" i="197" s="1"/>
  <c r="J513" i="197"/>
  <c r="H513" i="197" s="1"/>
  <c r="J505" i="197"/>
  <c r="H505" i="197" s="1"/>
  <c r="J497" i="197"/>
  <c r="H497" i="197" s="1"/>
  <c r="J489" i="197"/>
  <c r="H489" i="197" s="1"/>
  <c r="J481" i="197"/>
  <c r="H481" i="197" s="1"/>
  <c r="J473" i="197"/>
  <c r="H473" i="197" s="1"/>
  <c r="J465" i="197"/>
  <c r="H465" i="197" s="1"/>
  <c r="J457" i="197"/>
  <c r="H457" i="197" s="1"/>
  <c r="J449" i="197"/>
  <c r="H449" i="197" s="1"/>
  <c r="J441" i="197"/>
  <c r="H441" i="197" s="1"/>
  <c r="J433" i="197"/>
  <c r="H433" i="197" s="1"/>
  <c r="J311" i="199"/>
  <c r="J303" i="199"/>
  <c r="J295" i="199"/>
  <c r="J287" i="199"/>
  <c r="J279" i="199"/>
  <c r="J271" i="199"/>
  <c r="J262" i="199"/>
  <c r="J254" i="199"/>
  <c r="J246" i="199"/>
  <c r="J238" i="199"/>
  <c r="J230" i="199"/>
  <c r="J222" i="199"/>
  <c r="J214" i="199"/>
  <c r="J206" i="199"/>
  <c r="J198" i="199"/>
  <c r="J190" i="199"/>
  <c r="J182" i="199"/>
  <c r="J174" i="199"/>
  <c r="J166" i="199"/>
  <c r="J158" i="199"/>
  <c r="J150" i="199"/>
  <c r="J142" i="199"/>
  <c r="J134" i="199"/>
  <c r="J126" i="199"/>
  <c r="J117" i="199"/>
  <c r="J109" i="199"/>
  <c r="J100" i="199"/>
  <c r="J92" i="199"/>
  <c r="J83" i="199"/>
  <c r="J73" i="199"/>
  <c r="J65" i="199"/>
  <c r="J57" i="199"/>
  <c r="J49" i="199"/>
  <c r="J40" i="199"/>
  <c r="J832" i="197"/>
  <c r="H832" i="197" s="1"/>
  <c r="J824" i="197"/>
  <c r="H824" i="197" s="1"/>
  <c r="J816" i="197"/>
  <c r="H816" i="197" s="1"/>
  <c r="J807" i="197"/>
  <c r="H807" i="197" s="1"/>
  <c r="J799" i="197"/>
  <c r="H799" i="197" s="1"/>
  <c r="J790" i="197"/>
  <c r="H790" i="197" s="1"/>
  <c r="J786" i="197"/>
  <c r="H786" i="197" s="1"/>
  <c r="J771" i="197"/>
  <c r="H771" i="197" s="1"/>
  <c r="J763" i="197"/>
  <c r="H763" i="197" s="1"/>
  <c r="J755" i="197"/>
  <c r="H755" i="197" s="1"/>
  <c r="J746" i="197"/>
  <c r="H746" i="197" s="1"/>
  <c r="J737" i="197"/>
  <c r="H737" i="197" s="1"/>
  <c r="J726" i="197"/>
  <c r="H726" i="197" s="1"/>
  <c r="J716" i="197"/>
  <c r="H716" i="197" s="1"/>
  <c r="J708" i="197"/>
  <c r="H708" i="197" s="1"/>
  <c r="J700" i="197"/>
  <c r="H700" i="197" s="1"/>
  <c r="J691" i="197"/>
  <c r="H691" i="197" s="1"/>
  <c r="J683" i="197"/>
  <c r="H683" i="197" s="1"/>
  <c r="J672" i="197"/>
  <c r="H672" i="197" s="1"/>
  <c r="J664" i="197"/>
  <c r="H664" i="197" s="1"/>
  <c r="J656" i="197"/>
  <c r="H656" i="197" s="1"/>
  <c r="J648" i="197"/>
  <c r="H648" i="197" s="1"/>
  <c r="J640" i="197"/>
  <c r="H640" i="197" s="1"/>
  <c r="J632" i="197"/>
  <c r="H632" i="197" s="1"/>
  <c r="J624" i="197"/>
  <c r="H624" i="197" s="1"/>
  <c r="J616" i="197"/>
  <c r="H616" i="197" s="1"/>
  <c r="J608" i="197"/>
  <c r="H608" i="197" s="1"/>
  <c r="J600" i="197"/>
  <c r="H600" i="197" s="1"/>
  <c r="J592" i="197"/>
  <c r="H592" i="197" s="1"/>
  <c r="J584" i="197"/>
  <c r="H584" i="197" s="1"/>
  <c r="J576" i="197"/>
  <c r="H576" i="197" s="1"/>
  <c r="J568" i="197"/>
  <c r="H568" i="197" s="1"/>
  <c r="J560" i="197"/>
  <c r="H560" i="197" s="1"/>
  <c r="J552" i="197"/>
  <c r="H552" i="197" s="1"/>
  <c r="J544" i="197"/>
  <c r="H544" i="197" s="1"/>
  <c r="J536" i="197"/>
  <c r="H536" i="197" s="1"/>
  <c r="J528" i="197"/>
  <c r="H528" i="197" s="1"/>
  <c r="J520" i="197"/>
  <c r="H520" i="197" s="1"/>
  <c r="J512" i="197"/>
  <c r="H512" i="197" s="1"/>
  <c r="J504" i="197"/>
  <c r="H504" i="197" s="1"/>
  <c r="J496" i="197"/>
  <c r="H496" i="197" s="1"/>
  <c r="J488" i="197"/>
  <c r="H488" i="197" s="1"/>
  <c r="J480" i="197"/>
  <c r="H480" i="197" s="1"/>
  <c r="J472" i="197"/>
  <c r="H472" i="197" s="1"/>
  <c r="J464" i="197"/>
  <c r="H464" i="197" s="1"/>
  <c r="J456" i="197"/>
  <c r="H456" i="197" s="1"/>
  <c r="J448" i="197"/>
  <c r="H448" i="197" s="1"/>
  <c r="J440" i="197"/>
  <c r="H440" i="197" s="1"/>
  <c r="J310" i="199"/>
  <c r="J302" i="199"/>
  <c r="J294" i="199"/>
  <c r="J286" i="199"/>
  <c r="J278" i="199"/>
  <c r="J270" i="199"/>
  <c r="J261" i="199"/>
  <c r="J253" i="199"/>
  <c r="J245" i="199"/>
  <c r="J237" i="199"/>
  <c r="J229" i="199"/>
  <c r="J221" i="199"/>
  <c r="J213" i="199"/>
  <c r="J205" i="199"/>
  <c r="J197" i="199"/>
  <c r="J189" i="199"/>
  <c r="J181" i="199"/>
  <c r="J173" i="199"/>
  <c r="J165" i="199"/>
  <c r="J157" i="199"/>
  <c r="J149" i="199"/>
  <c r="J141" i="199"/>
  <c r="J133" i="199"/>
  <c r="J125" i="199"/>
  <c r="J116" i="199"/>
  <c r="J108" i="199"/>
  <c r="J99" i="199"/>
  <c r="J82" i="199"/>
  <c r="J56" i="199"/>
  <c r="J48" i="199"/>
  <c r="J39" i="199"/>
  <c r="J831" i="197"/>
  <c r="H831" i="197" s="1"/>
  <c r="J823" i="197"/>
  <c r="H823" i="197" s="1"/>
  <c r="J815" i="197"/>
  <c r="H815" i="197" s="1"/>
  <c r="J806" i="197"/>
  <c r="H806" i="197" s="1"/>
  <c r="J798" i="197"/>
  <c r="H798" i="197" s="1"/>
  <c r="J789" i="197"/>
  <c r="H789" i="197" s="1"/>
  <c r="J785" i="197"/>
  <c r="H785" i="197" s="1"/>
  <c r="J770" i="197"/>
  <c r="H770" i="197" s="1"/>
  <c r="J762" i="197"/>
  <c r="H762" i="197" s="1"/>
  <c r="J754" i="197"/>
  <c r="H754" i="197" s="1"/>
  <c r="J745" i="197"/>
  <c r="H745" i="197" s="1"/>
  <c r="J736" i="197"/>
  <c r="H736" i="197" s="1"/>
  <c r="J724" i="197"/>
  <c r="H724" i="197" s="1"/>
  <c r="J715" i="197"/>
  <c r="H715" i="197" s="1"/>
  <c r="J707" i="197"/>
  <c r="H707" i="197" s="1"/>
  <c r="J699" i="197"/>
  <c r="H699" i="197" s="1"/>
  <c r="J690" i="197"/>
  <c r="H690" i="197" s="1"/>
  <c r="J682" i="197"/>
  <c r="H682" i="197" s="1"/>
  <c r="J671" i="197"/>
  <c r="H671" i="197" s="1"/>
  <c r="J663" i="197"/>
  <c r="H663" i="197" s="1"/>
  <c r="J655" i="197"/>
  <c r="H655" i="197" s="1"/>
  <c r="J647" i="197"/>
  <c r="H647" i="197" s="1"/>
  <c r="J639" i="197"/>
  <c r="H639" i="197" s="1"/>
  <c r="J631" i="197"/>
  <c r="H631" i="197" s="1"/>
  <c r="J623" i="197"/>
  <c r="H623" i="197" s="1"/>
  <c r="J615" i="197"/>
  <c r="H615" i="197" s="1"/>
  <c r="J607" i="197"/>
  <c r="H607" i="197" s="1"/>
  <c r="J599" i="197"/>
  <c r="H599" i="197" s="1"/>
  <c r="J591" i="197"/>
  <c r="H591" i="197" s="1"/>
  <c r="J583" i="197"/>
  <c r="H583" i="197" s="1"/>
  <c r="J575" i="197"/>
  <c r="H575" i="197" s="1"/>
  <c r="J567" i="197"/>
  <c r="H567" i="197" s="1"/>
  <c r="J559" i="197"/>
  <c r="H559" i="197" s="1"/>
  <c r="J551" i="197"/>
  <c r="H551" i="197" s="1"/>
  <c r="J543" i="197"/>
  <c r="H543" i="197" s="1"/>
  <c r="J535" i="197"/>
  <c r="H535" i="197" s="1"/>
  <c r="J527" i="197"/>
  <c r="H527" i="197" s="1"/>
  <c r="J519" i="197"/>
  <c r="H519" i="197" s="1"/>
  <c r="J511" i="197"/>
  <c r="H511" i="197" s="1"/>
  <c r="J503" i="197"/>
  <c r="H503" i="197" s="1"/>
  <c r="J495" i="197"/>
  <c r="H495" i="197" s="1"/>
  <c r="J487" i="197"/>
  <c r="H487" i="197" s="1"/>
  <c r="J479" i="197"/>
  <c r="H479" i="197" s="1"/>
  <c r="J471" i="197"/>
  <c r="H471" i="197" s="1"/>
  <c r="J463" i="197"/>
  <c r="H463" i="197" s="1"/>
  <c r="J455" i="197"/>
  <c r="H455" i="197" s="1"/>
  <c r="J447" i="197"/>
  <c r="H447" i="197" s="1"/>
  <c r="J439" i="197"/>
  <c r="H439" i="197" s="1"/>
  <c r="J308" i="199"/>
  <c r="J300" i="199"/>
  <c r="J292" i="199"/>
  <c r="J284" i="199"/>
  <c r="J276" i="199"/>
  <c r="J268" i="199"/>
  <c r="J259" i="199"/>
  <c r="J251" i="199"/>
  <c r="J243" i="199"/>
  <c r="J235" i="199"/>
  <c r="J227" i="199"/>
  <c r="J219" i="199"/>
  <c r="J211" i="199"/>
  <c r="J203" i="199"/>
  <c r="J195" i="199"/>
  <c r="J187" i="199"/>
  <c r="J179" i="199"/>
  <c r="J171" i="199"/>
  <c r="J163" i="199"/>
  <c r="J155" i="199"/>
  <c r="J147" i="199"/>
  <c r="J139" i="199"/>
  <c r="J131" i="199"/>
  <c r="J123" i="199"/>
  <c r="J114" i="199"/>
  <c r="J97" i="199"/>
  <c r="J88" i="199"/>
  <c r="J80" i="199"/>
  <c r="J70" i="199"/>
  <c r="J54" i="199"/>
  <c r="J46" i="199"/>
  <c r="J37" i="199"/>
  <c r="J829" i="197"/>
  <c r="H829" i="197" s="1"/>
  <c r="J821" i="197"/>
  <c r="H821" i="197" s="1"/>
  <c r="J812" i="197"/>
  <c r="H812" i="197" s="1"/>
  <c r="J804" i="197"/>
  <c r="H804" i="197" s="1"/>
  <c r="J796" i="197"/>
  <c r="H796" i="197" s="1"/>
  <c r="J781" i="197"/>
  <c r="H781" i="197" s="1"/>
  <c r="J776" i="197"/>
  <c r="H776" i="197" s="1"/>
  <c r="J768" i="197"/>
  <c r="H768" i="197" s="1"/>
  <c r="J760" i="197"/>
  <c r="H760" i="197" s="1"/>
  <c r="J751" i="197"/>
  <c r="H751" i="197" s="1"/>
  <c r="J743" i="197"/>
  <c r="H743" i="197" s="1"/>
  <c r="J732" i="197"/>
  <c r="H732" i="197" s="1"/>
  <c r="J722" i="197"/>
  <c r="H722" i="197" s="1"/>
  <c r="J713" i="197"/>
  <c r="H713" i="197" s="1"/>
  <c r="J705" i="197"/>
  <c r="H705" i="197" s="1"/>
  <c r="J697" i="197"/>
  <c r="H697" i="197" s="1"/>
  <c r="J688" i="197"/>
  <c r="H688" i="197" s="1"/>
  <c r="J680" i="197"/>
  <c r="H680" i="197" s="1"/>
  <c r="J669" i="197"/>
  <c r="H669" i="197" s="1"/>
  <c r="J661" i="197"/>
  <c r="H661" i="197" s="1"/>
  <c r="J653" i="197"/>
  <c r="H653" i="197" s="1"/>
  <c r="J645" i="197"/>
  <c r="H645" i="197" s="1"/>
  <c r="J637" i="197"/>
  <c r="H637" i="197" s="1"/>
  <c r="J629" i="197"/>
  <c r="H629" i="197" s="1"/>
  <c r="J621" i="197"/>
  <c r="H621" i="197" s="1"/>
  <c r="J613" i="197"/>
  <c r="H613" i="197" s="1"/>
  <c r="J605" i="197"/>
  <c r="H605" i="197" s="1"/>
  <c r="J597" i="197"/>
  <c r="H597" i="197" s="1"/>
  <c r="J589" i="197"/>
  <c r="H589" i="197" s="1"/>
  <c r="J581" i="197"/>
  <c r="H581" i="197" s="1"/>
  <c r="J573" i="197"/>
  <c r="H573" i="197" s="1"/>
  <c r="J565" i="197"/>
  <c r="H565" i="197" s="1"/>
  <c r="J557" i="197"/>
  <c r="H557" i="197" s="1"/>
  <c r="J549" i="197"/>
  <c r="H549" i="197" s="1"/>
  <c r="J541" i="197"/>
  <c r="H541" i="197" s="1"/>
  <c r="J533" i="197"/>
  <c r="H533" i="197" s="1"/>
  <c r="J525" i="197"/>
  <c r="H525" i="197" s="1"/>
  <c r="J517" i="197"/>
  <c r="H517" i="197" s="1"/>
  <c r="J509" i="197"/>
  <c r="H509" i="197" s="1"/>
  <c r="J501" i="197"/>
  <c r="H501" i="197" s="1"/>
  <c r="J493" i="197"/>
  <c r="H493" i="197" s="1"/>
  <c r="J485" i="197"/>
  <c r="H485" i="197" s="1"/>
  <c r="J477" i="197"/>
  <c r="H477" i="197" s="1"/>
  <c r="J469" i="197"/>
  <c r="H469" i="197" s="1"/>
  <c r="J461" i="197"/>
  <c r="H461" i="197" s="1"/>
  <c r="J453" i="197"/>
  <c r="H453" i="197" s="1"/>
  <c r="J445" i="197"/>
  <c r="H445" i="197" s="1"/>
  <c r="J437" i="197"/>
  <c r="H437" i="197" s="1"/>
  <c r="J307" i="199"/>
  <c r="J299" i="199"/>
  <c r="J291" i="199"/>
  <c r="J283" i="199"/>
  <c r="J275" i="199"/>
  <c r="J267" i="199"/>
  <c r="J258" i="199"/>
  <c r="J250" i="199"/>
  <c r="J242" i="199"/>
  <c r="J234" i="199"/>
  <c r="J226" i="199"/>
  <c r="J218" i="199"/>
  <c r="J210" i="199"/>
  <c r="J202" i="199"/>
  <c r="J194" i="199"/>
  <c r="J186" i="199"/>
  <c r="J178" i="199"/>
  <c r="J170" i="199"/>
  <c r="J162" i="199"/>
  <c r="J154" i="199"/>
  <c r="J146" i="199"/>
  <c r="J138" i="199"/>
  <c r="J130" i="199"/>
  <c r="J122" i="199"/>
  <c r="J113" i="199"/>
  <c r="J104" i="199"/>
  <c r="J96" i="199"/>
  <c r="J87" i="199"/>
  <c r="J79" i="199"/>
  <c r="J61" i="199"/>
  <c r="J53" i="199"/>
  <c r="J45" i="199"/>
  <c r="J828" i="197"/>
  <c r="H828" i="197" s="1"/>
  <c r="J820" i="197"/>
  <c r="H820" i="197" s="1"/>
  <c r="J811" i="197"/>
  <c r="H811" i="197" s="1"/>
  <c r="J803" i="197"/>
  <c r="H803" i="197" s="1"/>
  <c r="J795" i="197"/>
  <c r="H795" i="197" s="1"/>
  <c r="J780" i="197"/>
  <c r="H780" i="197" s="1"/>
  <c r="J775" i="197"/>
  <c r="H775" i="197" s="1"/>
  <c r="J767" i="197"/>
  <c r="H767" i="197" s="1"/>
  <c r="J759" i="197"/>
  <c r="H759" i="197" s="1"/>
  <c r="J750" i="197"/>
  <c r="H750" i="197" s="1"/>
  <c r="J742" i="197"/>
  <c r="H742" i="197" s="1"/>
  <c r="J731" i="197"/>
  <c r="H731" i="197" s="1"/>
  <c r="J721" i="197"/>
  <c r="H721" i="197" s="1"/>
  <c r="J712" i="197"/>
  <c r="H712" i="197" s="1"/>
  <c r="J704" i="197"/>
  <c r="H704" i="197" s="1"/>
  <c r="J696" i="197"/>
  <c r="H696" i="197" s="1"/>
  <c r="J687" i="197"/>
  <c r="H687" i="197" s="1"/>
  <c r="J679" i="197"/>
  <c r="H679" i="197" s="1"/>
  <c r="J668" i="197"/>
  <c r="H668" i="197" s="1"/>
  <c r="J660" i="197"/>
  <c r="H660" i="197" s="1"/>
  <c r="J652" i="197"/>
  <c r="H652" i="197" s="1"/>
  <c r="J644" i="197"/>
  <c r="H644" i="197" s="1"/>
  <c r="J636" i="197"/>
  <c r="H636" i="197" s="1"/>
  <c r="J628" i="197"/>
  <c r="H628" i="197" s="1"/>
  <c r="J620" i="197"/>
  <c r="H620" i="197" s="1"/>
  <c r="J612" i="197"/>
  <c r="H612" i="197" s="1"/>
  <c r="J604" i="197"/>
  <c r="H604" i="197" s="1"/>
  <c r="J596" i="197"/>
  <c r="H596" i="197" s="1"/>
  <c r="J588" i="197"/>
  <c r="H588" i="197" s="1"/>
  <c r="J580" i="197"/>
  <c r="H580" i="197" s="1"/>
  <c r="J572" i="197"/>
  <c r="H572" i="197" s="1"/>
  <c r="J564" i="197"/>
  <c r="H564" i="197" s="1"/>
  <c r="J556" i="197"/>
  <c r="H556" i="197" s="1"/>
  <c r="J548" i="197"/>
  <c r="H548" i="197" s="1"/>
  <c r="J540" i="197"/>
  <c r="H540" i="197" s="1"/>
  <c r="J532" i="197"/>
  <c r="H532" i="197" s="1"/>
  <c r="J524" i="197"/>
  <c r="H524" i="197" s="1"/>
  <c r="J516" i="197"/>
  <c r="H516" i="197" s="1"/>
  <c r="J508" i="197"/>
  <c r="H508" i="197" s="1"/>
  <c r="J500" i="197"/>
  <c r="H500" i="197" s="1"/>
  <c r="J492" i="197"/>
  <c r="H492" i="197" s="1"/>
  <c r="J484" i="197"/>
  <c r="H484" i="197" s="1"/>
  <c r="J476" i="197"/>
  <c r="H476" i="197" s="1"/>
  <c r="J468" i="197"/>
  <c r="H468" i="197" s="1"/>
  <c r="J460" i="197"/>
  <c r="H460" i="197" s="1"/>
  <c r="J452" i="197"/>
  <c r="H452" i="197" s="1"/>
  <c r="J444" i="197"/>
  <c r="H444" i="197" s="1"/>
  <c r="J436" i="197"/>
  <c r="H436" i="197" s="1"/>
  <c r="J309" i="199"/>
  <c r="J277" i="199"/>
  <c r="J244" i="199"/>
  <c r="J212" i="199"/>
  <c r="J180" i="199"/>
  <c r="J148" i="199"/>
  <c r="J115" i="199"/>
  <c r="J81" i="199"/>
  <c r="J47" i="199"/>
  <c r="J822" i="197"/>
  <c r="H822" i="197" s="1"/>
  <c r="J782" i="197"/>
  <c r="H782" i="197" s="1"/>
  <c r="J753" i="197"/>
  <c r="H753" i="197" s="1"/>
  <c r="J714" i="197"/>
  <c r="H714" i="197" s="1"/>
  <c r="J681" i="197"/>
  <c r="H681" i="197" s="1"/>
  <c r="J646" i="197"/>
  <c r="H646" i="197" s="1"/>
  <c r="J614" i="197"/>
  <c r="H614" i="197" s="1"/>
  <c r="J582" i="197"/>
  <c r="H582" i="197" s="1"/>
  <c r="J550" i="197"/>
  <c r="H550" i="197" s="1"/>
  <c r="J518" i="197"/>
  <c r="H518" i="197" s="1"/>
  <c r="J486" i="197"/>
  <c r="H486" i="197" s="1"/>
  <c r="J454" i="197"/>
  <c r="H454" i="197" s="1"/>
  <c r="J430" i="197"/>
  <c r="H430" i="197" s="1"/>
  <c r="J422" i="197"/>
  <c r="H422" i="197" s="1"/>
  <c r="J414" i="197"/>
  <c r="H414" i="197" s="1"/>
  <c r="J406" i="197"/>
  <c r="H406" i="197" s="1"/>
  <c r="J398" i="197"/>
  <c r="H398" i="197" s="1"/>
  <c r="J389" i="197"/>
  <c r="H389" i="197" s="1"/>
  <c r="J381" i="197"/>
  <c r="H381" i="197" s="1"/>
  <c r="J372" i="197"/>
  <c r="H372" i="197" s="1"/>
  <c r="J364" i="197"/>
  <c r="H364" i="197" s="1"/>
  <c r="J356" i="197"/>
  <c r="H356" i="197" s="1"/>
  <c r="J348" i="197"/>
  <c r="H348" i="197" s="1"/>
  <c r="J340" i="197"/>
  <c r="H340" i="197" s="1"/>
  <c r="J331" i="197"/>
  <c r="H331" i="197" s="1"/>
  <c r="J315" i="197"/>
  <c r="H315" i="197" s="1"/>
  <c r="J307" i="197"/>
  <c r="H307" i="197" s="1"/>
  <c r="J299" i="197"/>
  <c r="H299" i="197" s="1"/>
  <c r="J291" i="197"/>
  <c r="H291" i="197" s="1"/>
  <c r="J283" i="197"/>
  <c r="H283" i="197" s="1"/>
  <c r="J275" i="197"/>
  <c r="H275" i="197" s="1"/>
  <c r="J267" i="197"/>
  <c r="H267" i="197" s="1"/>
  <c r="J259" i="197"/>
  <c r="H259" i="197" s="1"/>
  <c r="J251" i="197"/>
  <c r="H251" i="197" s="1"/>
  <c r="J243" i="197"/>
  <c r="H243" i="197" s="1"/>
  <c r="J235" i="197"/>
  <c r="H235" i="197" s="1"/>
  <c r="J227" i="197"/>
  <c r="H227" i="197" s="1"/>
  <c r="J219" i="197"/>
  <c r="H219" i="197" s="1"/>
  <c r="J211" i="197"/>
  <c r="H211" i="197" s="1"/>
  <c r="J203" i="197"/>
  <c r="H203" i="197" s="1"/>
  <c r="J195" i="197"/>
  <c r="H195" i="197" s="1"/>
  <c r="J187" i="197"/>
  <c r="H187" i="197" s="1"/>
  <c r="J179" i="197"/>
  <c r="H179" i="197" s="1"/>
  <c r="J171" i="197"/>
  <c r="H171" i="197" s="1"/>
  <c r="J163" i="197"/>
  <c r="H163" i="197" s="1"/>
  <c r="J155" i="197"/>
  <c r="H155" i="197" s="1"/>
  <c r="J147" i="197"/>
  <c r="H147" i="197" s="1"/>
  <c r="J139" i="197"/>
  <c r="H139" i="197" s="1"/>
  <c r="J130" i="197"/>
  <c r="H130" i="197" s="1"/>
  <c r="J122" i="197"/>
  <c r="H122" i="197" s="1"/>
  <c r="J114" i="197"/>
  <c r="H114" i="197" s="1"/>
  <c r="J105" i="197"/>
  <c r="H105" i="197" s="1"/>
  <c r="J97" i="197"/>
  <c r="H97" i="197" s="1"/>
  <c r="J89" i="197"/>
  <c r="H89" i="197" s="1"/>
  <c r="J81" i="197"/>
  <c r="H81" i="197" s="1"/>
  <c r="J73" i="197"/>
  <c r="H73" i="197" s="1"/>
  <c r="J65" i="197"/>
  <c r="H65" i="197" s="1"/>
  <c r="H43" i="193"/>
  <c r="I43" i="193" s="1"/>
  <c r="E37" i="194" s="1"/>
  <c r="G37" i="194" s="1"/>
  <c r="G61" i="184" s="1"/>
  <c r="H30" i="193"/>
  <c r="I30" i="193" s="1"/>
  <c r="H14" i="193"/>
  <c r="I14" i="193" s="1"/>
  <c r="J291" i="195"/>
  <c r="H291" i="195" s="1"/>
  <c r="J269" i="195"/>
  <c r="H269" i="195" s="1"/>
  <c r="J261" i="195"/>
  <c r="H261" i="195" s="1"/>
  <c r="J252" i="195"/>
  <c r="H252" i="195" s="1"/>
  <c r="J226" i="195"/>
  <c r="H226" i="195" s="1"/>
  <c r="J217" i="195"/>
  <c r="H217" i="195" s="1"/>
  <c r="J306" i="199"/>
  <c r="J274" i="199"/>
  <c r="J241" i="199"/>
  <c r="J209" i="199"/>
  <c r="J177" i="199"/>
  <c r="J145" i="199"/>
  <c r="J112" i="199"/>
  <c r="J78" i="199"/>
  <c r="J44" i="199"/>
  <c r="J819" i="197"/>
  <c r="H819" i="197" s="1"/>
  <c r="J779" i="197"/>
  <c r="H779" i="197" s="1"/>
  <c r="J749" i="197"/>
  <c r="H749" i="197" s="1"/>
  <c r="J711" i="197"/>
  <c r="H711" i="197" s="1"/>
  <c r="J677" i="197"/>
  <c r="H677" i="197" s="1"/>
  <c r="J643" i="197"/>
  <c r="H643" i="197" s="1"/>
  <c r="J611" i="197"/>
  <c r="H611" i="197" s="1"/>
  <c r="J579" i="197"/>
  <c r="H579" i="197" s="1"/>
  <c r="J547" i="197"/>
  <c r="H547" i="197" s="1"/>
  <c r="J515" i="197"/>
  <c r="H515" i="197" s="1"/>
  <c r="J483" i="197"/>
  <c r="H483" i="197" s="1"/>
  <c r="J451" i="197"/>
  <c r="H451" i="197" s="1"/>
  <c r="J429" i="197"/>
  <c r="H429" i="197" s="1"/>
  <c r="J421" i="197"/>
  <c r="H421" i="197" s="1"/>
  <c r="J413" i="197"/>
  <c r="H413" i="197" s="1"/>
  <c r="J405" i="197"/>
  <c r="H405" i="197" s="1"/>
  <c r="J396" i="197"/>
  <c r="H396" i="197" s="1"/>
  <c r="J388" i="197"/>
  <c r="H388" i="197" s="1"/>
  <c r="J380" i="197"/>
  <c r="H380" i="197" s="1"/>
  <c r="J371" i="197"/>
  <c r="H371" i="197" s="1"/>
  <c r="J363" i="197"/>
  <c r="H363" i="197" s="1"/>
  <c r="J355" i="197"/>
  <c r="H355" i="197" s="1"/>
  <c r="J347" i="197"/>
  <c r="H347" i="197" s="1"/>
  <c r="J339" i="197"/>
  <c r="H339" i="197" s="1"/>
  <c r="J330" i="197"/>
  <c r="H330" i="197" s="1"/>
  <c r="J314" i="197"/>
  <c r="H314" i="197" s="1"/>
  <c r="J306" i="197"/>
  <c r="H306" i="197" s="1"/>
  <c r="J298" i="197"/>
  <c r="H298" i="197" s="1"/>
  <c r="J290" i="197"/>
  <c r="H290" i="197" s="1"/>
  <c r="J282" i="197"/>
  <c r="H282" i="197" s="1"/>
  <c r="J274" i="197"/>
  <c r="H274" i="197" s="1"/>
  <c r="J266" i="197"/>
  <c r="H266" i="197" s="1"/>
  <c r="J258" i="197"/>
  <c r="H258" i="197" s="1"/>
  <c r="J250" i="197"/>
  <c r="H250" i="197" s="1"/>
  <c r="J242" i="197"/>
  <c r="H242" i="197" s="1"/>
  <c r="J234" i="197"/>
  <c r="H234" i="197" s="1"/>
  <c r="J226" i="197"/>
  <c r="H226" i="197" s="1"/>
  <c r="J218" i="197"/>
  <c r="H218" i="197" s="1"/>
  <c r="J210" i="197"/>
  <c r="H210" i="197" s="1"/>
  <c r="J202" i="197"/>
  <c r="H202" i="197" s="1"/>
  <c r="J194" i="197"/>
  <c r="H194" i="197" s="1"/>
  <c r="J186" i="197"/>
  <c r="H186" i="197" s="1"/>
  <c r="J178" i="197"/>
  <c r="H178" i="197" s="1"/>
  <c r="J170" i="197"/>
  <c r="H170" i="197" s="1"/>
  <c r="J162" i="197"/>
  <c r="H162" i="197" s="1"/>
  <c r="J154" i="197"/>
  <c r="H154" i="197" s="1"/>
  <c r="J146" i="197"/>
  <c r="H146" i="197" s="1"/>
  <c r="J138" i="197"/>
  <c r="H138" i="197" s="1"/>
  <c r="J129" i="197"/>
  <c r="H129" i="197" s="1"/>
  <c r="J121" i="197"/>
  <c r="H121" i="197" s="1"/>
  <c r="J113" i="197"/>
  <c r="H113" i="197" s="1"/>
  <c r="J104" i="197"/>
  <c r="H104" i="197" s="1"/>
  <c r="J96" i="197"/>
  <c r="H96" i="197" s="1"/>
  <c r="J88" i="197"/>
  <c r="H88" i="197" s="1"/>
  <c r="J80" i="197"/>
  <c r="H80" i="197" s="1"/>
  <c r="J72" i="197"/>
  <c r="H72" i="197" s="1"/>
  <c r="H53" i="193"/>
  <c r="I53" i="193" s="1"/>
  <c r="E46" i="194" s="1"/>
  <c r="G46" i="194" s="1"/>
  <c r="G73" i="184" s="1"/>
  <c r="G52" i="191" s="1"/>
  <c r="H28" i="193"/>
  <c r="I28" i="193" s="1"/>
  <c r="E24" i="194" s="1"/>
  <c r="G24" i="194" s="1"/>
  <c r="G42" i="184" s="1"/>
  <c r="H13" i="193"/>
  <c r="I13" i="193" s="1"/>
  <c r="J290" i="195"/>
  <c r="H290" i="195" s="1"/>
  <c r="J268" i="195"/>
  <c r="H268" i="195" s="1"/>
  <c r="J260" i="195"/>
  <c r="H260" i="195" s="1"/>
  <c r="J251" i="195"/>
  <c r="H251" i="195" s="1"/>
  <c r="J225" i="195"/>
  <c r="H225" i="195" s="1"/>
  <c r="J198" i="195"/>
  <c r="H198" i="195" s="1"/>
  <c r="J301" i="199"/>
  <c r="J269" i="199"/>
  <c r="J236" i="199"/>
  <c r="J204" i="199"/>
  <c r="J172" i="199"/>
  <c r="J140" i="199"/>
  <c r="J107" i="199"/>
  <c r="J71" i="199"/>
  <c r="J38" i="199"/>
  <c r="J814" i="197"/>
  <c r="H814" i="197" s="1"/>
  <c r="J784" i="197"/>
  <c r="H784" i="197" s="1"/>
  <c r="J744" i="197"/>
  <c r="H744" i="197" s="1"/>
  <c r="J706" i="197"/>
  <c r="H706" i="197" s="1"/>
  <c r="J670" i="197"/>
  <c r="H670" i="197" s="1"/>
  <c r="J638" i="197"/>
  <c r="H638" i="197" s="1"/>
  <c r="J606" i="197"/>
  <c r="H606" i="197" s="1"/>
  <c r="J574" i="197"/>
  <c r="H574" i="197" s="1"/>
  <c r="J542" i="197"/>
  <c r="H542" i="197" s="1"/>
  <c r="J510" i="197"/>
  <c r="H510" i="197" s="1"/>
  <c r="J478" i="197"/>
  <c r="H478" i="197" s="1"/>
  <c r="J446" i="197"/>
  <c r="H446" i="197" s="1"/>
  <c r="J428" i="197"/>
  <c r="H428" i="197" s="1"/>
  <c r="J420" i="197"/>
  <c r="H420" i="197" s="1"/>
  <c r="J412" i="197"/>
  <c r="H412" i="197" s="1"/>
  <c r="J404" i="197"/>
  <c r="H404" i="197" s="1"/>
  <c r="J395" i="197"/>
  <c r="H395" i="197" s="1"/>
  <c r="J387" i="197"/>
  <c r="H387" i="197" s="1"/>
  <c r="J379" i="197"/>
  <c r="H379" i="197" s="1"/>
  <c r="J370" i="197"/>
  <c r="H370" i="197" s="1"/>
  <c r="J362" i="197"/>
  <c r="H362" i="197" s="1"/>
  <c r="J354" i="197"/>
  <c r="H354" i="197" s="1"/>
  <c r="J346" i="197"/>
  <c r="H346" i="197" s="1"/>
  <c r="J338" i="197"/>
  <c r="H338" i="197" s="1"/>
  <c r="J329" i="197"/>
  <c r="H329" i="197" s="1"/>
  <c r="J313" i="197"/>
  <c r="H313" i="197" s="1"/>
  <c r="J305" i="197"/>
  <c r="H305" i="197" s="1"/>
  <c r="J297" i="197"/>
  <c r="H297" i="197" s="1"/>
  <c r="J289" i="197"/>
  <c r="H289" i="197" s="1"/>
  <c r="J281" i="197"/>
  <c r="H281" i="197" s="1"/>
  <c r="J273" i="197"/>
  <c r="H273" i="197" s="1"/>
  <c r="J265" i="197"/>
  <c r="H265" i="197" s="1"/>
  <c r="J257" i="197"/>
  <c r="H257" i="197" s="1"/>
  <c r="J249" i="197"/>
  <c r="H249" i="197" s="1"/>
  <c r="J241" i="197"/>
  <c r="H241" i="197" s="1"/>
  <c r="J233" i="197"/>
  <c r="H233" i="197" s="1"/>
  <c r="J225" i="197"/>
  <c r="H225" i="197" s="1"/>
  <c r="J217" i="197"/>
  <c r="H217" i="197" s="1"/>
  <c r="J209" i="197"/>
  <c r="H209" i="197" s="1"/>
  <c r="J201" i="197"/>
  <c r="H201" i="197" s="1"/>
  <c r="J193" i="197"/>
  <c r="H193" i="197" s="1"/>
  <c r="J185" i="197"/>
  <c r="H185" i="197" s="1"/>
  <c r="J177" i="197"/>
  <c r="H177" i="197" s="1"/>
  <c r="J169" i="197"/>
  <c r="H169" i="197" s="1"/>
  <c r="J161" i="197"/>
  <c r="H161" i="197" s="1"/>
  <c r="J153" i="197"/>
  <c r="H153" i="197" s="1"/>
  <c r="J145" i="197"/>
  <c r="H145" i="197" s="1"/>
  <c r="J137" i="197"/>
  <c r="H137" i="197" s="1"/>
  <c r="J128" i="197"/>
  <c r="H128" i="197" s="1"/>
  <c r="J120" i="197"/>
  <c r="H120" i="197" s="1"/>
  <c r="J112" i="197"/>
  <c r="H112" i="197" s="1"/>
  <c r="J103" i="197"/>
  <c r="H103" i="197" s="1"/>
  <c r="J95" i="197"/>
  <c r="H95" i="197" s="1"/>
  <c r="J87" i="197"/>
  <c r="H87" i="197" s="1"/>
  <c r="J79" i="197"/>
  <c r="H79" i="197" s="1"/>
  <c r="J71" i="197"/>
  <c r="H71" i="197" s="1"/>
  <c r="H52" i="193"/>
  <c r="I52" i="193" s="1"/>
  <c r="E45" i="194" s="1"/>
  <c r="G45" i="194" s="1"/>
  <c r="G72" i="184" s="1"/>
  <c r="H39" i="193"/>
  <c r="I39" i="193" s="1"/>
  <c r="E34" i="194" s="1"/>
  <c r="G34" i="194" s="1"/>
  <c r="G55" i="184" s="1"/>
  <c r="G36" i="191" s="1"/>
  <c r="H27" i="193"/>
  <c r="I27" i="193" s="1"/>
  <c r="E23" i="194" s="1"/>
  <c r="G23" i="194" s="1"/>
  <c r="G41" i="184" s="1"/>
  <c r="H12" i="193"/>
  <c r="I12" i="193" s="1"/>
  <c r="J289" i="195"/>
  <c r="H289" i="195" s="1"/>
  <c r="J278" i="195"/>
  <c r="H278" i="195" s="1"/>
  <c r="J267" i="195"/>
  <c r="H267" i="195" s="1"/>
  <c r="J259" i="195"/>
  <c r="H259" i="195" s="1"/>
  <c r="J250" i="195"/>
  <c r="H250" i="195" s="1"/>
  <c r="J224" i="195"/>
  <c r="H224" i="195" s="1"/>
  <c r="J215" i="195"/>
  <c r="H215" i="195" s="1"/>
  <c r="J298" i="199"/>
  <c r="J265" i="199"/>
  <c r="J233" i="199"/>
  <c r="J201" i="199"/>
  <c r="J169" i="199"/>
  <c r="J137" i="199"/>
  <c r="J103" i="199"/>
  <c r="J810" i="197"/>
  <c r="H810" i="197" s="1"/>
  <c r="J774" i="197"/>
  <c r="H774" i="197" s="1"/>
  <c r="J741" i="197"/>
  <c r="H741" i="197" s="1"/>
  <c r="J703" i="197"/>
  <c r="H703" i="197" s="1"/>
  <c r="J667" i="197"/>
  <c r="H667" i="197" s="1"/>
  <c r="J635" i="197"/>
  <c r="H635" i="197" s="1"/>
  <c r="J603" i="197"/>
  <c r="H603" i="197" s="1"/>
  <c r="J571" i="197"/>
  <c r="H571" i="197" s="1"/>
  <c r="J539" i="197"/>
  <c r="H539" i="197" s="1"/>
  <c r="J507" i="197"/>
  <c r="H507" i="197" s="1"/>
  <c r="J475" i="197"/>
  <c r="H475" i="197" s="1"/>
  <c r="J443" i="197"/>
  <c r="H443" i="197" s="1"/>
  <c r="J427" i="197"/>
  <c r="H427" i="197" s="1"/>
  <c r="J419" i="197"/>
  <c r="H419" i="197" s="1"/>
  <c r="J411" i="197"/>
  <c r="H411" i="197" s="1"/>
  <c r="J403" i="197"/>
  <c r="H403" i="197" s="1"/>
  <c r="J394" i="197"/>
  <c r="H394" i="197" s="1"/>
  <c r="J386" i="197"/>
  <c r="H386" i="197" s="1"/>
  <c r="J377" i="197"/>
  <c r="H377" i="197" s="1"/>
  <c r="J369" i="197"/>
  <c r="H369" i="197" s="1"/>
  <c r="J361" i="197"/>
  <c r="H361" i="197" s="1"/>
  <c r="J353" i="197"/>
  <c r="H353" i="197" s="1"/>
  <c r="J345" i="197"/>
  <c r="H345" i="197" s="1"/>
  <c r="J337" i="197"/>
  <c r="H337" i="197" s="1"/>
  <c r="J312" i="197"/>
  <c r="H312" i="197" s="1"/>
  <c r="J304" i="197"/>
  <c r="H304" i="197" s="1"/>
  <c r="J296" i="197"/>
  <c r="H296" i="197" s="1"/>
  <c r="J288" i="197"/>
  <c r="H288" i="197" s="1"/>
  <c r="J280" i="197"/>
  <c r="H280" i="197" s="1"/>
  <c r="J272" i="197"/>
  <c r="H272" i="197" s="1"/>
  <c r="J264" i="197"/>
  <c r="H264" i="197" s="1"/>
  <c r="J256" i="197"/>
  <c r="H256" i="197" s="1"/>
  <c r="J248" i="197"/>
  <c r="H248" i="197" s="1"/>
  <c r="J240" i="197"/>
  <c r="H240" i="197" s="1"/>
  <c r="J232" i="197"/>
  <c r="H232" i="197" s="1"/>
  <c r="J224" i="197"/>
  <c r="H224" i="197" s="1"/>
  <c r="J216" i="197"/>
  <c r="H216" i="197" s="1"/>
  <c r="J208" i="197"/>
  <c r="H208" i="197" s="1"/>
  <c r="J200" i="197"/>
  <c r="H200" i="197" s="1"/>
  <c r="J192" i="197"/>
  <c r="H192" i="197" s="1"/>
  <c r="J184" i="197"/>
  <c r="H184" i="197" s="1"/>
  <c r="J176" i="197"/>
  <c r="H176" i="197" s="1"/>
  <c r="J168" i="197"/>
  <c r="H168" i="197" s="1"/>
  <c r="J160" i="197"/>
  <c r="H160" i="197" s="1"/>
  <c r="J152" i="197"/>
  <c r="H152" i="197" s="1"/>
  <c r="J144" i="197"/>
  <c r="H144" i="197" s="1"/>
  <c r="J136" i="197"/>
  <c r="H136" i="197" s="1"/>
  <c r="J127" i="197"/>
  <c r="H127" i="197" s="1"/>
  <c r="J119" i="197"/>
  <c r="H119" i="197" s="1"/>
  <c r="J111" i="197"/>
  <c r="H111" i="197" s="1"/>
  <c r="J102" i="197"/>
  <c r="H102" i="197" s="1"/>
  <c r="J94" i="197"/>
  <c r="H94" i="197" s="1"/>
  <c r="J86" i="197"/>
  <c r="H86" i="197" s="1"/>
  <c r="J78" i="197"/>
  <c r="H78" i="197" s="1"/>
  <c r="J70" i="197"/>
  <c r="H70" i="197" s="1"/>
  <c r="H38" i="193"/>
  <c r="I38" i="193" s="1"/>
  <c r="H10" i="193"/>
  <c r="I10" i="193" s="1"/>
  <c r="E16" i="194" s="1"/>
  <c r="G16" i="194" s="1"/>
  <c r="G30" i="184" s="1"/>
  <c r="J288" i="195"/>
  <c r="H288" i="195" s="1"/>
  <c r="J277" i="195"/>
  <c r="H277" i="195" s="1"/>
  <c r="J266" i="195"/>
  <c r="H266" i="195" s="1"/>
  <c r="J258" i="195"/>
  <c r="H258" i="195" s="1"/>
  <c r="J249" i="195"/>
  <c r="H249" i="195" s="1"/>
  <c r="J223" i="195"/>
  <c r="H223" i="195" s="1"/>
  <c r="J290" i="199"/>
  <c r="J257" i="199"/>
  <c r="J225" i="199"/>
  <c r="J193" i="199"/>
  <c r="J161" i="199"/>
  <c r="J129" i="199"/>
  <c r="J95" i="199"/>
  <c r="J60" i="199"/>
  <c r="J802" i="197"/>
  <c r="H802" i="197" s="1"/>
  <c r="J766" i="197"/>
  <c r="H766" i="197" s="1"/>
  <c r="J729" i="197"/>
  <c r="H729" i="197" s="1"/>
  <c r="J695" i="197"/>
  <c r="H695" i="197" s="1"/>
  <c r="J659" i="197"/>
  <c r="H659" i="197" s="1"/>
  <c r="J627" i="197"/>
  <c r="H627" i="197" s="1"/>
  <c r="J595" i="197"/>
  <c r="H595" i="197" s="1"/>
  <c r="J563" i="197"/>
  <c r="H563" i="197" s="1"/>
  <c r="J531" i="197"/>
  <c r="H531" i="197" s="1"/>
  <c r="J499" i="197"/>
  <c r="H499" i="197" s="1"/>
  <c r="J467" i="197"/>
  <c r="H467" i="197" s="1"/>
  <c r="J435" i="197"/>
  <c r="H435" i="197" s="1"/>
  <c r="J425" i="197"/>
  <c r="H425" i="197" s="1"/>
  <c r="J417" i="197"/>
  <c r="H417" i="197" s="1"/>
  <c r="J409" i="197"/>
  <c r="H409" i="197" s="1"/>
  <c r="J401" i="197"/>
  <c r="H401" i="197" s="1"/>
  <c r="J392" i="197"/>
  <c r="H392" i="197" s="1"/>
  <c r="J384" i="197"/>
  <c r="H384" i="197" s="1"/>
  <c r="J375" i="197"/>
  <c r="H375" i="197" s="1"/>
  <c r="J367" i="197"/>
  <c r="H367" i="197" s="1"/>
  <c r="J359" i="197"/>
  <c r="H359" i="197" s="1"/>
  <c r="J351" i="197"/>
  <c r="H351" i="197" s="1"/>
  <c r="J343" i="197"/>
  <c r="H343" i="197" s="1"/>
  <c r="J335" i="197"/>
  <c r="H335" i="197" s="1"/>
  <c r="J326" i="197"/>
  <c r="H326" i="197" s="1"/>
  <c r="J310" i="197"/>
  <c r="H310" i="197" s="1"/>
  <c r="J302" i="197"/>
  <c r="H302" i="197" s="1"/>
  <c r="J286" i="197"/>
  <c r="H286" i="197" s="1"/>
  <c r="J278" i="197"/>
  <c r="H278" i="197" s="1"/>
  <c r="J270" i="197"/>
  <c r="H270" i="197" s="1"/>
  <c r="J262" i="197"/>
  <c r="H262" i="197" s="1"/>
  <c r="J254" i="197"/>
  <c r="H254" i="197" s="1"/>
  <c r="J246" i="197"/>
  <c r="H246" i="197" s="1"/>
  <c r="J238" i="197"/>
  <c r="H238" i="197" s="1"/>
  <c r="J230" i="197"/>
  <c r="H230" i="197" s="1"/>
  <c r="J222" i="197"/>
  <c r="H222" i="197" s="1"/>
  <c r="J214" i="197"/>
  <c r="H214" i="197" s="1"/>
  <c r="J206" i="197"/>
  <c r="H206" i="197" s="1"/>
  <c r="J198" i="197"/>
  <c r="H198" i="197" s="1"/>
  <c r="J190" i="197"/>
  <c r="H190" i="197" s="1"/>
  <c r="J182" i="197"/>
  <c r="H182" i="197" s="1"/>
  <c r="J174" i="197"/>
  <c r="H174" i="197" s="1"/>
  <c r="J166" i="197"/>
  <c r="H166" i="197" s="1"/>
  <c r="J158" i="197"/>
  <c r="H158" i="197" s="1"/>
  <c r="J150" i="197"/>
  <c r="H150" i="197" s="1"/>
  <c r="J142" i="197"/>
  <c r="H142" i="197" s="1"/>
  <c r="J133" i="197"/>
  <c r="H133" i="197" s="1"/>
  <c r="J125" i="197"/>
  <c r="H125" i="197" s="1"/>
  <c r="J117" i="197"/>
  <c r="H117" i="197" s="1"/>
  <c r="J109" i="197"/>
  <c r="H109" i="197" s="1"/>
  <c r="J100" i="197"/>
  <c r="H100" i="197" s="1"/>
  <c r="J92" i="197"/>
  <c r="H92" i="197" s="1"/>
  <c r="J84" i="197"/>
  <c r="H84" i="197" s="1"/>
  <c r="J76" i="197"/>
  <c r="H76" i="197" s="1"/>
  <c r="J68" i="197"/>
  <c r="H68" i="197" s="1"/>
  <c r="H47" i="193"/>
  <c r="I47" i="193" s="1"/>
  <c r="E41" i="194" s="1"/>
  <c r="G41" i="194" s="1"/>
  <c r="G65" i="184" s="1"/>
  <c r="H33" i="193"/>
  <c r="I33" i="193" s="1"/>
  <c r="E29" i="194" s="1"/>
  <c r="G29" i="194" s="1"/>
  <c r="G47" i="184" s="1"/>
  <c r="H20" i="193"/>
  <c r="I20" i="193" s="1"/>
  <c r="J294" i="195"/>
  <c r="H294" i="195" s="1"/>
  <c r="J285" i="195"/>
  <c r="H285" i="195" s="1"/>
  <c r="J274" i="195"/>
  <c r="H274" i="195" s="1"/>
  <c r="J264" i="195"/>
  <c r="H264" i="195" s="1"/>
  <c r="J255" i="195"/>
  <c r="H255" i="195" s="1"/>
  <c r="J229" i="195"/>
  <c r="H229" i="195" s="1"/>
  <c r="J221" i="195"/>
  <c r="H221" i="195" s="1"/>
  <c r="J202" i="195"/>
  <c r="H202" i="195" s="1"/>
  <c r="J285" i="199"/>
  <c r="J252" i="199"/>
  <c r="J220" i="199"/>
  <c r="J188" i="199"/>
  <c r="J156" i="199"/>
  <c r="J124" i="199"/>
  <c r="J89" i="199"/>
  <c r="J55" i="199"/>
  <c r="J830" i="197"/>
  <c r="H830" i="197" s="1"/>
  <c r="J797" i="197"/>
  <c r="H797" i="197" s="1"/>
  <c r="J761" i="197"/>
  <c r="H761" i="197" s="1"/>
  <c r="J723" i="197"/>
  <c r="H723" i="197" s="1"/>
  <c r="J689" i="197"/>
  <c r="H689" i="197" s="1"/>
  <c r="J654" i="197"/>
  <c r="H654" i="197" s="1"/>
  <c r="J622" i="197"/>
  <c r="H622" i="197" s="1"/>
  <c r="J590" i="197"/>
  <c r="H590" i="197" s="1"/>
  <c r="J558" i="197"/>
  <c r="H558" i="197" s="1"/>
  <c r="J526" i="197"/>
  <c r="H526" i="197" s="1"/>
  <c r="J494" i="197"/>
  <c r="H494" i="197" s="1"/>
  <c r="J462" i="197"/>
  <c r="H462" i="197" s="1"/>
  <c r="J432" i="197"/>
  <c r="H432" i="197" s="1"/>
  <c r="J424" i="197"/>
  <c r="H424" i="197" s="1"/>
  <c r="J416" i="197"/>
  <c r="H416" i="197" s="1"/>
  <c r="J408" i="197"/>
  <c r="H408" i="197" s="1"/>
  <c r="J400" i="197"/>
  <c r="H400" i="197" s="1"/>
  <c r="J391" i="197"/>
  <c r="H391" i="197" s="1"/>
  <c r="J383" i="197"/>
  <c r="H383" i="197" s="1"/>
  <c r="J374" i="197"/>
  <c r="H374" i="197" s="1"/>
  <c r="J366" i="197"/>
  <c r="H366" i="197" s="1"/>
  <c r="J358" i="197"/>
  <c r="H358" i="197" s="1"/>
  <c r="J350" i="197"/>
  <c r="H350" i="197" s="1"/>
  <c r="J342" i="197"/>
  <c r="H342" i="197" s="1"/>
  <c r="J333" i="197"/>
  <c r="H333" i="197" s="1"/>
  <c r="J325" i="197"/>
  <c r="H325" i="197" s="1"/>
  <c r="J309" i="197"/>
  <c r="H309" i="197" s="1"/>
  <c r="J301" i="197"/>
  <c r="H301" i="197" s="1"/>
  <c r="J285" i="197"/>
  <c r="H285" i="197" s="1"/>
  <c r="J277" i="197"/>
  <c r="H277" i="197" s="1"/>
  <c r="J269" i="197"/>
  <c r="H269" i="197" s="1"/>
  <c r="J261" i="197"/>
  <c r="H261" i="197" s="1"/>
  <c r="J253" i="197"/>
  <c r="H253" i="197" s="1"/>
  <c r="J245" i="197"/>
  <c r="H245" i="197" s="1"/>
  <c r="J237" i="197"/>
  <c r="H237" i="197" s="1"/>
  <c r="J229" i="197"/>
  <c r="H229" i="197" s="1"/>
  <c r="J221" i="197"/>
  <c r="H221" i="197" s="1"/>
  <c r="J213" i="197"/>
  <c r="H213" i="197" s="1"/>
  <c r="J205" i="197"/>
  <c r="H205" i="197" s="1"/>
  <c r="J197" i="197"/>
  <c r="H197" i="197" s="1"/>
  <c r="J189" i="197"/>
  <c r="H189" i="197" s="1"/>
  <c r="J181" i="197"/>
  <c r="H181" i="197" s="1"/>
  <c r="J173" i="197"/>
  <c r="H173" i="197" s="1"/>
  <c r="J165" i="197"/>
  <c r="H165" i="197" s="1"/>
  <c r="J157" i="197"/>
  <c r="H157" i="197" s="1"/>
  <c r="J149" i="197"/>
  <c r="H149" i="197" s="1"/>
  <c r="J141" i="197"/>
  <c r="H141" i="197" s="1"/>
  <c r="J132" i="197"/>
  <c r="H132" i="197" s="1"/>
  <c r="J124" i="197"/>
  <c r="H124" i="197" s="1"/>
  <c r="J116" i="197"/>
  <c r="H116" i="197" s="1"/>
  <c r="J107" i="197"/>
  <c r="H107" i="197" s="1"/>
  <c r="J99" i="197"/>
  <c r="H99" i="197" s="1"/>
  <c r="J91" i="197"/>
  <c r="H91" i="197" s="1"/>
  <c r="J83" i="197"/>
  <c r="H83" i="197" s="1"/>
  <c r="J75" i="197"/>
  <c r="H75" i="197" s="1"/>
  <c r="J67" i="197"/>
  <c r="H67" i="197" s="1"/>
  <c r="H46" i="193"/>
  <c r="I46" i="193" s="1"/>
  <c r="E40" i="194" s="1"/>
  <c r="G40" i="194" s="1"/>
  <c r="G64" i="184" s="1"/>
  <c r="H32" i="193"/>
  <c r="I32" i="193" s="1"/>
  <c r="E28" i="194" s="1"/>
  <c r="G28" i="194" s="1"/>
  <c r="G46" i="184" s="1"/>
  <c r="J293" i="195"/>
  <c r="H293" i="195" s="1"/>
  <c r="J284" i="195"/>
  <c r="H284" i="195" s="1"/>
  <c r="J273" i="195"/>
  <c r="H273" i="195" s="1"/>
  <c r="J263" i="195"/>
  <c r="H263" i="195" s="1"/>
  <c r="J254" i="195"/>
  <c r="H254" i="195" s="1"/>
  <c r="J228" i="195"/>
  <c r="H228" i="195" s="1"/>
  <c r="J220" i="195"/>
  <c r="H220" i="195" s="1"/>
  <c r="J201" i="195"/>
  <c r="H201" i="195" s="1"/>
  <c r="J260" i="199"/>
  <c r="J132" i="199"/>
  <c r="J805" i="197"/>
  <c r="H805" i="197" s="1"/>
  <c r="J662" i="197"/>
  <c r="H662" i="197" s="1"/>
  <c r="J534" i="197"/>
  <c r="H534" i="197" s="1"/>
  <c r="J426" i="197"/>
  <c r="H426" i="197" s="1"/>
  <c r="J393" i="197"/>
  <c r="H393" i="197" s="1"/>
  <c r="J360" i="197"/>
  <c r="H360" i="197" s="1"/>
  <c r="J295" i="197"/>
  <c r="H295" i="197" s="1"/>
  <c r="J263" i="197"/>
  <c r="H263" i="197" s="1"/>
  <c r="J231" i="197"/>
  <c r="H231" i="197" s="1"/>
  <c r="J199" i="197"/>
  <c r="H199" i="197" s="1"/>
  <c r="J167" i="197"/>
  <c r="H167" i="197" s="1"/>
  <c r="J134" i="197"/>
  <c r="H134" i="197" s="1"/>
  <c r="J101" i="197"/>
  <c r="H101" i="197" s="1"/>
  <c r="J69" i="197"/>
  <c r="H69" i="197" s="1"/>
  <c r="H21" i="193"/>
  <c r="I21" i="193" s="1"/>
  <c r="J265" i="195"/>
  <c r="H265" i="195" s="1"/>
  <c r="J230" i="195"/>
  <c r="H230" i="195" s="1"/>
  <c r="J200" i="195"/>
  <c r="H200" i="195" s="1"/>
  <c r="J153" i="195"/>
  <c r="H153" i="195" s="1"/>
  <c r="J136" i="195"/>
  <c r="H136" i="195" s="1"/>
  <c r="J127" i="195"/>
  <c r="H127" i="195" s="1"/>
  <c r="J93" i="195"/>
  <c r="H93" i="195" s="1"/>
  <c r="J84" i="195"/>
  <c r="H84" i="195" s="1"/>
  <c r="J196" i="199"/>
  <c r="J733" i="197"/>
  <c r="H733" i="197" s="1"/>
  <c r="J598" i="197"/>
  <c r="H598" i="197" s="1"/>
  <c r="J376" i="197"/>
  <c r="H376" i="197" s="1"/>
  <c r="J344" i="197"/>
  <c r="H344" i="197" s="1"/>
  <c r="J247" i="197"/>
  <c r="H247" i="197" s="1"/>
  <c r="J183" i="197"/>
  <c r="H183" i="197" s="1"/>
  <c r="J94" i="195"/>
  <c r="H94" i="195" s="1"/>
  <c r="J67" i="195"/>
  <c r="H67" i="195" s="1"/>
  <c r="H60" i="195" s="1"/>
  <c r="E18" i="196" s="1"/>
  <c r="G18" i="196" s="1"/>
  <c r="G86" i="184" s="1"/>
  <c r="G65" i="191" s="1"/>
  <c r="J249" i="199"/>
  <c r="J121" i="199"/>
  <c r="J794" i="197"/>
  <c r="H794" i="197" s="1"/>
  <c r="J651" i="197"/>
  <c r="H651" i="197" s="1"/>
  <c r="J523" i="197"/>
  <c r="H523" i="197" s="1"/>
  <c r="J423" i="197"/>
  <c r="H423" i="197" s="1"/>
  <c r="J390" i="197"/>
  <c r="H390" i="197" s="1"/>
  <c r="J357" i="197"/>
  <c r="H357" i="197" s="1"/>
  <c r="J324" i="197"/>
  <c r="H324" i="197" s="1"/>
  <c r="J260" i="197"/>
  <c r="H260" i="197" s="1"/>
  <c r="J228" i="197"/>
  <c r="H228" i="197" s="1"/>
  <c r="J196" i="197"/>
  <c r="H196" i="197" s="1"/>
  <c r="J164" i="197"/>
  <c r="H164" i="197" s="1"/>
  <c r="J131" i="197"/>
  <c r="H131" i="197" s="1"/>
  <c r="J98" i="197"/>
  <c r="H98" i="197" s="1"/>
  <c r="J66" i="197"/>
  <c r="H66" i="197" s="1"/>
  <c r="H15" i="193"/>
  <c r="I15" i="193" s="1"/>
  <c r="J262" i="195"/>
  <c r="H262" i="195" s="1"/>
  <c r="J227" i="195"/>
  <c r="H227" i="195" s="1"/>
  <c r="J199" i="195"/>
  <c r="H199" i="195" s="1"/>
  <c r="J152" i="195"/>
  <c r="H152" i="195" s="1"/>
  <c r="J135" i="195"/>
  <c r="H135" i="195" s="1"/>
  <c r="J92" i="195"/>
  <c r="H92" i="195" s="1"/>
  <c r="J83" i="195"/>
  <c r="H83" i="195" s="1"/>
  <c r="J410" i="197"/>
  <c r="H410" i="197" s="1"/>
  <c r="J279" i="197"/>
  <c r="H279" i="197" s="1"/>
  <c r="J151" i="197"/>
  <c r="H151" i="197" s="1"/>
  <c r="H48" i="193"/>
  <c r="I48" i="193" s="1"/>
  <c r="E42" i="194" s="1"/>
  <c r="G42" i="194" s="1"/>
  <c r="G66" i="184" s="1"/>
  <c r="J140" i="195"/>
  <c r="H140" i="195" s="1"/>
  <c r="J128" i="195"/>
  <c r="H128" i="195" s="1"/>
  <c r="J228" i="199"/>
  <c r="J98" i="199"/>
  <c r="J769" i="197"/>
  <c r="H769" i="197" s="1"/>
  <c r="J630" i="197"/>
  <c r="H630" i="197" s="1"/>
  <c r="J502" i="197"/>
  <c r="H502" i="197" s="1"/>
  <c r="J418" i="197"/>
  <c r="H418" i="197" s="1"/>
  <c r="J385" i="197"/>
  <c r="H385" i="197" s="1"/>
  <c r="J352" i="197"/>
  <c r="H352" i="197" s="1"/>
  <c r="J287" i="197"/>
  <c r="H287" i="197" s="1"/>
  <c r="J255" i="197"/>
  <c r="H255" i="197" s="1"/>
  <c r="J223" i="197"/>
  <c r="H223" i="197" s="1"/>
  <c r="J191" i="197"/>
  <c r="H191" i="197" s="1"/>
  <c r="J159" i="197"/>
  <c r="H159" i="197" s="1"/>
  <c r="J126" i="197"/>
  <c r="H126" i="197" s="1"/>
  <c r="J93" i="197"/>
  <c r="H93" i="197" s="1"/>
  <c r="J257" i="195"/>
  <c r="H257" i="195" s="1"/>
  <c r="J222" i="195"/>
  <c r="H222" i="195" s="1"/>
  <c r="J197" i="195"/>
  <c r="H197" i="195" s="1"/>
  <c r="J151" i="195"/>
  <c r="H151" i="195" s="1"/>
  <c r="H143" i="195" s="1"/>
  <c r="E25" i="196" s="1"/>
  <c r="G25" i="196" s="1"/>
  <c r="G93" i="184" s="1"/>
  <c r="J142" i="195"/>
  <c r="H142" i="195" s="1"/>
  <c r="J134" i="195"/>
  <c r="H134" i="195" s="1"/>
  <c r="J117" i="195"/>
  <c r="H117" i="195" s="1"/>
  <c r="J90" i="195"/>
  <c r="H90" i="195" s="1"/>
  <c r="J82" i="195"/>
  <c r="H82" i="195" s="1"/>
  <c r="J470" i="197"/>
  <c r="H470" i="197" s="1"/>
  <c r="J311" i="197"/>
  <c r="H311" i="197" s="1"/>
  <c r="J215" i="197"/>
  <c r="H215" i="197" s="1"/>
  <c r="J118" i="197"/>
  <c r="H118" i="197" s="1"/>
  <c r="J85" i="197"/>
  <c r="H85" i="197" s="1"/>
  <c r="J286" i="195"/>
  <c r="H286" i="195" s="1"/>
  <c r="J80" i="195"/>
  <c r="H80" i="195" s="1"/>
  <c r="J217" i="199"/>
  <c r="J86" i="199"/>
  <c r="J758" i="197"/>
  <c r="H758" i="197" s="1"/>
  <c r="J619" i="197"/>
  <c r="H619" i="197" s="1"/>
  <c r="J491" i="197"/>
  <c r="H491" i="197" s="1"/>
  <c r="J415" i="197"/>
  <c r="H415" i="197" s="1"/>
  <c r="J382" i="197"/>
  <c r="H382" i="197" s="1"/>
  <c r="J349" i="197"/>
  <c r="H349" i="197" s="1"/>
  <c r="J284" i="197"/>
  <c r="H284" i="197" s="1"/>
  <c r="J252" i="197"/>
  <c r="H252" i="197" s="1"/>
  <c r="J220" i="197"/>
  <c r="H220" i="197" s="1"/>
  <c r="J188" i="197"/>
  <c r="H188" i="197" s="1"/>
  <c r="J156" i="197"/>
  <c r="H156" i="197" s="1"/>
  <c r="J123" i="197"/>
  <c r="H123" i="197" s="1"/>
  <c r="J90" i="197"/>
  <c r="H90" i="197" s="1"/>
  <c r="J292" i="195"/>
  <c r="H292" i="195" s="1"/>
  <c r="J253" i="195"/>
  <c r="H253" i="195" s="1"/>
  <c r="J219" i="195"/>
  <c r="H219" i="195" s="1"/>
  <c r="J141" i="195"/>
  <c r="H141" i="195" s="1"/>
  <c r="J133" i="195"/>
  <c r="H133" i="195" s="1"/>
  <c r="J81" i="195"/>
  <c r="H81" i="195" s="1"/>
  <c r="J185" i="199"/>
  <c r="J52" i="199"/>
  <c r="J720" i="197"/>
  <c r="H720" i="197" s="1"/>
  <c r="H719" i="197" s="1"/>
  <c r="E20" i="198" s="1"/>
  <c r="G20" i="198" s="1"/>
  <c r="G118" i="184" s="1"/>
  <c r="J587" i="197"/>
  <c r="H587" i="197" s="1"/>
  <c r="J459" i="197"/>
  <c r="H459" i="197" s="1"/>
  <c r="J407" i="197"/>
  <c r="H407" i="197" s="1"/>
  <c r="J373" i="197"/>
  <c r="H373" i="197" s="1"/>
  <c r="J341" i="197"/>
  <c r="H341" i="197" s="1"/>
  <c r="J308" i="197"/>
  <c r="H308" i="197" s="1"/>
  <c r="J276" i="197"/>
  <c r="H276" i="197" s="1"/>
  <c r="J244" i="197"/>
  <c r="H244" i="197" s="1"/>
  <c r="J212" i="197"/>
  <c r="H212" i="197" s="1"/>
  <c r="J180" i="197"/>
  <c r="H180" i="197" s="1"/>
  <c r="J148" i="197"/>
  <c r="H148" i="197" s="1"/>
  <c r="J115" i="197"/>
  <c r="H115" i="197" s="1"/>
  <c r="J82" i="197"/>
  <c r="H82" i="197" s="1"/>
  <c r="H45" i="193"/>
  <c r="I45" i="193" s="1"/>
  <c r="J175" i="195"/>
  <c r="H175" i="195" s="1"/>
  <c r="H159" i="195" s="1"/>
  <c r="J157" i="195"/>
  <c r="H157" i="195" s="1"/>
  <c r="J139" i="195"/>
  <c r="H139" i="195" s="1"/>
  <c r="J96" i="195"/>
  <c r="H96" i="195" s="1"/>
  <c r="J87" i="195"/>
  <c r="H87" i="195" s="1"/>
  <c r="J282" i="199"/>
  <c r="J827" i="197"/>
  <c r="H827" i="197" s="1"/>
  <c r="J686" i="197"/>
  <c r="H686" i="197" s="1"/>
  <c r="J431" i="197"/>
  <c r="H431" i="197" s="1"/>
  <c r="J399" i="197"/>
  <c r="H399" i="197" s="1"/>
  <c r="J365" i="197"/>
  <c r="H365" i="197" s="1"/>
  <c r="J300" i="197"/>
  <c r="H300" i="197" s="1"/>
  <c r="J236" i="197"/>
  <c r="H236" i="197" s="1"/>
  <c r="J172" i="197"/>
  <c r="H172" i="197" s="1"/>
  <c r="J106" i="197"/>
  <c r="H106" i="197" s="1"/>
  <c r="H31" i="193"/>
  <c r="I31" i="193" s="1"/>
  <c r="E27" i="194" s="1"/>
  <c r="G27" i="194" s="1"/>
  <c r="G45" i="184" s="1"/>
  <c r="J155" i="195"/>
  <c r="H155" i="195" s="1"/>
  <c r="J85" i="195"/>
  <c r="H85" i="195" s="1"/>
  <c r="J293" i="199"/>
  <c r="J164" i="199"/>
  <c r="J698" i="197"/>
  <c r="H698" i="197" s="1"/>
  <c r="J566" i="197"/>
  <c r="H566" i="197" s="1"/>
  <c r="J438" i="197"/>
  <c r="H438" i="197" s="1"/>
  <c r="J402" i="197"/>
  <c r="H402" i="197" s="1"/>
  <c r="J368" i="197"/>
  <c r="H368" i="197" s="1"/>
  <c r="J336" i="197"/>
  <c r="H336" i="197" s="1"/>
  <c r="J303" i="197"/>
  <c r="H303" i="197" s="1"/>
  <c r="J271" i="197"/>
  <c r="H271" i="197" s="1"/>
  <c r="J239" i="197"/>
  <c r="H239" i="197" s="1"/>
  <c r="J207" i="197"/>
  <c r="H207" i="197" s="1"/>
  <c r="J175" i="197"/>
  <c r="H175" i="197" s="1"/>
  <c r="J143" i="197"/>
  <c r="H143" i="197" s="1"/>
  <c r="J110" i="197"/>
  <c r="H110" i="197" s="1"/>
  <c r="J77" i="197"/>
  <c r="H77" i="197" s="1"/>
  <c r="J156" i="195"/>
  <c r="H156" i="195" s="1"/>
  <c r="J138" i="195"/>
  <c r="H138" i="195" s="1"/>
  <c r="J129" i="195"/>
  <c r="H129" i="195" s="1"/>
  <c r="J95" i="195"/>
  <c r="H95" i="195" s="1"/>
  <c r="J86" i="195"/>
  <c r="H86" i="195" s="1"/>
  <c r="J153" i="199"/>
  <c r="J555" i="197"/>
  <c r="H555" i="197" s="1"/>
  <c r="J332" i="197"/>
  <c r="H332" i="197" s="1"/>
  <c r="J268" i="197"/>
  <c r="H268" i="197" s="1"/>
  <c r="J204" i="197"/>
  <c r="H204" i="197" s="1"/>
  <c r="J140" i="197"/>
  <c r="H140" i="197" s="1"/>
  <c r="J74" i="197"/>
  <c r="H74" i="197" s="1"/>
  <c r="J270" i="195"/>
  <c r="H270" i="195" s="1"/>
  <c r="J137" i="195"/>
  <c r="H137" i="195" s="1"/>
  <c r="H179" i="195"/>
  <c r="H31" i="199"/>
  <c r="O31" i="199"/>
  <c r="H28" i="199"/>
  <c r="O28" i="199"/>
  <c r="H208" i="191"/>
  <c r="H7" i="191"/>
  <c r="H5" i="191" s="1"/>
  <c r="E22" i="194"/>
  <c r="O32" i="199"/>
  <c r="H32" i="199"/>
  <c r="H27" i="199"/>
  <c r="O27" i="199"/>
  <c r="O69" i="199"/>
  <c r="H69" i="199"/>
  <c r="H36" i="203"/>
  <c r="E15" i="204" s="1"/>
  <c r="I7" i="191"/>
  <c r="I5" i="191" s="1"/>
  <c r="K21" i="191"/>
  <c r="K16" i="191" s="1"/>
  <c r="F140" i="184"/>
  <c r="F120" i="191"/>
  <c r="F50" i="184"/>
  <c r="F30" i="191"/>
  <c r="D18" i="186"/>
  <c r="F133" i="191"/>
  <c r="F152" i="184"/>
  <c r="F69" i="191"/>
  <c r="F90" i="184"/>
  <c r="D44" i="186"/>
  <c r="F76" i="191"/>
  <c r="K22" i="185"/>
  <c r="F55" i="191"/>
  <c r="F76" i="184"/>
  <c r="K192" i="191"/>
  <c r="F105" i="191"/>
  <c r="F125" i="184"/>
  <c r="F74" i="191"/>
  <c r="F44" i="191"/>
  <c r="F62" i="184"/>
  <c r="F173" i="184"/>
  <c r="F154" i="191"/>
  <c r="F114" i="184"/>
  <c r="F94" i="191"/>
  <c r="F79" i="191"/>
  <c r="F49" i="191"/>
  <c r="F71" i="184"/>
  <c r="F112" i="191"/>
  <c r="F132" i="184"/>
  <c r="F61" i="191"/>
  <c r="F82" i="184"/>
  <c r="F121" i="191"/>
  <c r="F141" i="184"/>
  <c r="F82" i="191"/>
  <c r="F135" i="191"/>
  <c r="F154" i="184"/>
  <c r="I185" i="191"/>
  <c r="G181" i="191"/>
  <c r="K6" i="185"/>
  <c r="J209" i="191"/>
  <c r="I25" i="193" l="1"/>
  <c r="H218" i="195"/>
  <c r="E34" i="196" s="1"/>
  <c r="G34" i="196" s="1"/>
  <c r="H735" i="197"/>
  <c r="H24" i="201"/>
  <c r="E14" i="202" s="1"/>
  <c r="G14" i="202" s="1"/>
  <c r="H783" i="197"/>
  <c r="E27" i="198" s="1"/>
  <c r="G27" i="198" s="1"/>
  <c r="G125" i="184" s="1"/>
  <c r="H98" i="195"/>
  <c r="H121" i="201"/>
  <c r="E20" i="202" s="1"/>
  <c r="G20" i="202" s="1"/>
  <c r="G159" i="184" s="1"/>
  <c r="G140" i="191" s="1"/>
  <c r="H81" i="201"/>
  <c r="E17" i="202" s="1"/>
  <c r="G17" i="202" s="1"/>
  <c r="G156" i="184" s="1"/>
  <c r="G137" i="191" s="1"/>
  <c r="K208" i="191"/>
  <c r="H69" i="195"/>
  <c r="H24" i="197"/>
  <c r="E14" i="198" s="1"/>
  <c r="H276" i="195"/>
  <c r="E40" i="196" s="1"/>
  <c r="G40" i="196" s="1"/>
  <c r="G108" i="184" s="1"/>
  <c r="O4" i="199"/>
  <c r="H256" i="195"/>
  <c r="E37" i="196" s="1"/>
  <c r="G37" i="196" s="1"/>
  <c r="G43" i="191"/>
  <c r="I208" i="191"/>
  <c r="J208" i="191" s="1"/>
  <c r="J206" i="191" s="1"/>
  <c r="H232" i="195"/>
  <c r="E36" i="196" s="1"/>
  <c r="H204" i="195"/>
  <c r="H203" i="195" s="1"/>
  <c r="H272" i="195"/>
  <c r="H271" i="195" s="1"/>
  <c r="K7" i="191"/>
  <c r="K5" i="191" s="1"/>
  <c r="H280" i="195"/>
  <c r="E42" i="196" s="1"/>
  <c r="K14" i="191"/>
  <c r="K10" i="191" s="1"/>
  <c r="K9" i="191" s="1"/>
  <c r="H10" i="191"/>
  <c r="H9" i="191" s="1"/>
  <c r="G72" i="191"/>
  <c r="E23" i="196"/>
  <c r="E20" i="196"/>
  <c r="E33" i="196"/>
  <c r="H193" i="199"/>
  <c r="O193" i="199"/>
  <c r="O96" i="199"/>
  <c r="H96" i="199"/>
  <c r="H292" i="199"/>
  <c r="O292" i="199"/>
  <c r="H302" i="199"/>
  <c r="O302" i="199"/>
  <c r="O164" i="199"/>
  <c r="H164" i="199"/>
  <c r="O86" i="199"/>
  <c r="H86" i="199"/>
  <c r="O228" i="199"/>
  <c r="H228" i="199"/>
  <c r="H91" i="195"/>
  <c r="E21" i="196" s="1"/>
  <c r="G21" i="196" s="1"/>
  <c r="G89" i="184" s="1"/>
  <c r="G68" i="191" s="1"/>
  <c r="H260" i="199"/>
  <c r="O260" i="199"/>
  <c r="O220" i="199"/>
  <c r="H220" i="199"/>
  <c r="H161" i="199"/>
  <c r="O161" i="199"/>
  <c r="O233" i="199"/>
  <c r="H233" i="199"/>
  <c r="O107" i="199"/>
  <c r="H107" i="199"/>
  <c r="H44" i="199"/>
  <c r="O44" i="199"/>
  <c r="H306" i="199"/>
  <c r="O306" i="199"/>
  <c r="E26" i="194"/>
  <c r="I29" i="193"/>
  <c r="H752" i="197"/>
  <c r="E25" i="198" s="1"/>
  <c r="G25" i="198" s="1"/>
  <c r="G123" i="184" s="1"/>
  <c r="O212" i="199"/>
  <c r="H212" i="199"/>
  <c r="O87" i="199"/>
  <c r="H87" i="199"/>
  <c r="O154" i="199"/>
  <c r="H154" i="199"/>
  <c r="O218" i="199"/>
  <c r="H218" i="199"/>
  <c r="H283" i="199"/>
  <c r="O283" i="199"/>
  <c r="O80" i="199"/>
  <c r="H80" i="199"/>
  <c r="O155" i="199"/>
  <c r="H155" i="199"/>
  <c r="O219" i="199"/>
  <c r="H219" i="199"/>
  <c r="O284" i="199"/>
  <c r="H284" i="199"/>
  <c r="E23" i="198"/>
  <c r="O99" i="199"/>
  <c r="H99" i="199"/>
  <c r="O165" i="199"/>
  <c r="H165" i="199"/>
  <c r="H229" i="199"/>
  <c r="O229" i="199"/>
  <c r="H294" i="199"/>
  <c r="O294" i="199"/>
  <c r="O83" i="199"/>
  <c r="H83" i="199"/>
  <c r="H150" i="199"/>
  <c r="O150" i="199"/>
  <c r="H214" i="199"/>
  <c r="O214" i="199"/>
  <c r="O279" i="199"/>
  <c r="H279" i="199"/>
  <c r="H76" i="199"/>
  <c r="O76" i="199"/>
  <c r="H143" i="199"/>
  <c r="O143" i="199"/>
  <c r="H207" i="199"/>
  <c r="O207" i="199"/>
  <c r="O272" i="199"/>
  <c r="H272" i="199"/>
  <c r="H777" i="197"/>
  <c r="E26" i="198" s="1"/>
  <c r="G26" i="198" s="1"/>
  <c r="G124" i="184" s="1"/>
  <c r="H59" i="199"/>
  <c r="O59" i="199"/>
  <c r="O144" i="199"/>
  <c r="H144" i="199"/>
  <c r="H208" i="199"/>
  <c r="O208" i="199"/>
  <c r="O273" i="199"/>
  <c r="H273" i="199"/>
  <c r="H180" i="201"/>
  <c r="E25" i="202" s="1"/>
  <c r="G25" i="202" s="1"/>
  <c r="G164" i="184" s="1"/>
  <c r="G145" i="191" s="1"/>
  <c r="G11" i="191"/>
  <c r="I11" i="191" s="1"/>
  <c r="AC252" i="199"/>
  <c r="AE252" i="199" s="1"/>
  <c r="O252" i="199"/>
  <c r="AA253" i="199"/>
  <c r="H265" i="199"/>
  <c r="O265" i="199"/>
  <c r="H78" i="199"/>
  <c r="O78" i="199"/>
  <c r="H226" i="199"/>
  <c r="O226" i="199"/>
  <c r="O88" i="199"/>
  <c r="H88" i="199"/>
  <c r="O237" i="199"/>
  <c r="H237" i="199"/>
  <c r="G98" i="191"/>
  <c r="H285" i="199"/>
  <c r="O285" i="199"/>
  <c r="O225" i="199"/>
  <c r="H225" i="199"/>
  <c r="H287" i="195"/>
  <c r="E43" i="196" s="1"/>
  <c r="G43" i="196" s="1"/>
  <c r="H298" i="199"/>
  <c r="O298" i="199"/>
  <c r="I11" i="193"/>
  <c r="E17" i="194" s="1"/>
  <c r="G17" i="194" s="1"/>
  <c r="G31" i="184" s="1"/>
  <c r="H172" i="199"/>
  <c r="O172" i="199"/>
  <c r="O112" i="199"/>
  <c r="H112" i="199"/>
  <c r="H277" i="199"/>
  <c r="O277" i="199"/>
  <c r="H678" i="197"/>
  <c r="E18" i="198" s="1"/>
  <c r="G18" i="198" s="1"/>
  <c r="G116" i="184" s="1"/>
  <c r="O104" i="199"/>
  <c r="H104" i="199"/>
  <c r="H170" i="199"/>
  <c r="O170" i="199"/>
  <c r="H234" i="199"/>
  <c r="O234" i="199"/>
  <c r="O299" i="199"/>
  <c r="H299" i="199"/>
  <c r="O97" i="199"/>
  <c r="H97" i="199"/>
  <c r="H171" i="199"/>
  <c r="O171" i="199"/>
  <c r="O235" i="199"/>
  <c r="H235" i="199"/>
  <c r="O300" i="199"/>
  <c r="H300" i="199"/>
  <c r="H116" i="199"/>
  <c r="O116" i="199"/>
  <c r="H181" i="199"/>
  <c r="O181" i="199"/>
  <c r="AA246" i="199"/>
  <c r="G246" i="199" s="1"/>
  <c r="H246" i="199" s="1"/>
  <c r="AC245" i="199"/>
  <c r="AE245" i="199" s="1"/>
  <c r="O245" i="199"/>
  <c r="O310" i="199"/>
  <c r="H310" i="199"/>
  <c r="H100" i="199"/>
  <c r="O100" i="199"/>
  <c r="O166" i="199"/>
  <c r="H166" i="199"/>
  <c r="O230" i="199"/>
  <c r="H230" i="199"/>
  <c r="O295" i="199"/>
  <c r="H295" i="199"/>
  <c r="O93" i="199"/>
  <c r="H93" i="199"/>
  <c r="O159" i="199"/>
  <c r="H159" i="199"/>
  <c r="H223" i="199"/>
  <c r="O223" i="199"/>
  <c r="O288" i="199"/>
  <c r="H288" i="199"/>
  <c r="O85" i="199"/>
  <c r="H85" i="199"/>
  <c r="H160" i="199"/>
  <c r="O160" i="199"/>
  <c r="H224" i="199"/>
  <c r="O224" i="199"/>
  <c r="O289" i="199"/>
  <c r="H289" i="199"/>
  <c r="X24" i="205"/>
  <c r="AC24" i="205"/>
  <c r="H124" i="201"/>
  <c r="E21" i="202" s="1"/>
  <c r="G21" i="202" s="1"/>
  <c r="G160" i="184" s="1"/>
  <c r="G141" i="191" s="1"/>
  <c r="H116" i="201"/>
  <c r="E19" i="202" s="1"/>
  <c r="G19" i="202" s="1"/>
  <c r="G158" i="184" s="1"/>
  <c r="G139" i="191" s="1"/>
  <c r="H23" i="203"/>
  <c r="E14" i="204"/>
  <c r="P5" i="199"/>
  <c r="Q5" i="199" s="1"/>
  <c r="E43" i="194"/>
  <c r="G44" i="194"/>
  <c r="J176" i="191"/>
  <c r="J175" i="191" s="1"/>
  <c r="I175" i="191"/>
  <c r="O162" i="199"/>
  <c r="H162" i="199"/>
  <c r="O158" i="199"/>
  <c r="H158" i="199"/>
  <c r="O84" i="199"/>
  <c r="H84" i="199"/>
  <c r="E30" i="196"/>
  <c r="H154" i="195"/>
  <c r="E26" i="196" s="1"/>
  <c r="G26" i="196" s="1"/>
  <c r="G94" i="184" s="1"/>
  <c r="O52" i="199"/>
  <c r="H52" i="199"/>
  <c r="G42" i="191"/>
  <c r="O55" i="199"/>
  <c r="H55" i="199"/>
  <c r="I19" i="193"/>
  <c r="H257" i="199"/>
  <c r="O257" i="199"/>
  <c r="G12" i="191"/>
  <c r="O204" i="199"/>
  <c r="H204" i="199"/>
  <c r="O145" i="199"/>
  <c r="H145" i="199"/>
  <c r="O47" i="199"/>
  <c r="H47" i="199"/>
  <c r="H309" i="199"/>
  <c r="O309" i="199"/>
  <c r="O113" i="199"/>
  <c r="H113" i="199"/>
  <c r="O178" i="199"/>
  <c r="H178" i="199"/>
  <c r="P242" i="199"/>
  <c r="AA243" i="199"/>
  <c r="AC242" i="199"/>
  <c r="AE242" i="199" s="1"/>
  <c r="O242" i="199"/>
  <c r="H307" i="199"/>
  <c r="O307" i="199"/>
  <c r="H114" i="199"/>
  <c r="O114" i="199"/>
  <c r="H179" i="199"/>
  <c r="O179" i="199"/>
  <c r="AA244" i="199"/>
  <c r="G244" i="199" s="1"/>
  <c r="H244" i="199" s="1"/>
  <c r="O243" i="199"/>
  <c r="AC243" i="199"/>
  <c r="AE243" i="199" s="1"/>
  <c r="H243" i="199"/>
  <c r="H308" i="199"/>
  <c r="O308" i="199"/>
  <c r="O125" i="199"/>
  <c r="H125" i="199"/>
  <c r="H189" i="199"/>
  <c r="O189" i="199"/>
  <c r="AC253" i="199"/>
  <c r="AE253" i="199" s="1"/>
  <c r="O253" i="199"/>
  <c r="H253" i="199"/>
  <c r="O40" i="199"/>
  <c r="H40" i="199"/>
  <c r="O109" i="199"/>
  <c r="H109" i="199"/>
  <c r="H174" i="199"/>
  <c r="O174" i="199"/>
  <c r="O238" i="199"/>
  <c r="H238" i="199"/>
  <c r="H303" i="199"/>
  <c r="O303" i="199"/>
  <c r="H674" i="197"/>
  <c r="O101" i="199"/>
  <c r="H101" i="199"/>
  <c r="O167" i="199"/>
  <c r="H167" i="199"/>
  <c r="H231" i="199"/>
  <c r="O231" i="199"/>
  <c r="O296" i="199"/>
  <c r="H296" i="199"/>
  <c r="H739" i="197"/>
  <c r="E24" i="198" s="1"/>
  <c r="G24" i="198" s="1"/>
  <c r="G122" i="184" s="1"/>
  <c r="H94" i="199"/>
  <c r="O94" i="199"/>
  <c r="O168" i="199"/>
  <c r="H168" i="199"/>
  <c r="O232" i="199"/>
  <c r="H232" i="199"/>
  <c r="H297" i="199"/>
  <c r="O297" i="199"/>
  <c r="H139" i="201"/>
  <c r="E22" i="202" s="1"/>
  <c r="G22" i="202" s="1"/>
  <c r="G161" i="184" s="1"/>
  <c r="G142" i="191" s="1"/>
  <c r="I50" i="193"/>
  <c r="O217" i="199"/>
  <c r="H217" i="199"/>
  <c r="O140" i="199"/>
  <c r="H140" i="199"/>
  <c r="AA245" i="199"/>
  <c r="G245" i="199" s="1"/>
  <c r="H245" i="199" s="1"/>
  <c r="AC244" i="199"/>
  <c r="AE244" i="199" s="1"/>
  <c r="O244" i="199"/>
  <c r="O163" i="199"/>
  <c r="H163" i="199"/>
  <c r="O108" i="199"/>
  <c r="H108" i="199"/>
  <c r="Q3" i="199"/>
  <c r="Q9" i="199" s="1"/>
  <c r="P9" i="199"/>
  <c r="P10" i="199" s="1"/>
  <c r="O153" i="199"/>
  <c r="H153" i="199"/>
  <c r="G27" i="191"/>
  <c r="E39" i="194"/>
  <c r="I44" i="193"/>
  <c r="I41" i="193" s="1"/>
  <c r="O185" i="199"/>
  <c r="H185" i="199"/>
  <c r="H793" i="197"/>
  <c r="E28" i="198" s="1"/>
  <c r="G28" i="198" s="1"/>
  <c r="G126" i="184" s="1"/>
  <c r="H89" i="199"/>
  <c r="O89" i="199"/>
  <c r="H290" i="199"/>
  <c r="O290" i="199"/>
  <c r="E33" i="194"/>
  <c r="I37" i="193"/>
  <c r="I35" i="193" s="1"/>
  <c r="O103" i="199"/>
  <c r="H103" i="199"/>
  <c r="G105" i="191"/>
  <c r="O236" i="199"/>
  <c r="H236" i="199"/>
  <c r="H177" i="199"/>
  <c r="O177" i="199"/>
  <c r="O81" i="199"/>
  <c r="H81" i="199"/>
  <c r="O45" i="199"/>
  <c r="H45" i="199"/>
  <c r="H122" i="199"/>
  <c r="O122" i="199"/>
  <c r="O186" i="199"/>
  <c r="H186" i="199"/>
  <c r="AA251" i="199"/>
  <c r="G251" i="199" s="1"/>
  <c r="H251" i="199" s="1"/>
  <c r="AC250" i="199"/>
  <c r="AE250" i="199" s="1"/>
  <c r="O250" i="199"/>
  <c r="O37" i="199"/>
  <c r="H37" i="199"/>
  <c r="H123" i="199"/>
  <c r="O123" i="199"/>
  <c r="O187" i="199"/>
  <c r="H187" i="199"/>
  <c r="AA252" i="199"/>
  <c r="G252" i="199" s="1"/>
  <c r="H252" i="199" s="1"/>
  <c r="AC251" i="199"/>
  <c r="AE251" i="199" s="1"/>
  <c r="O251" i="199"/>
  <c r="O39" i="199"/>
  <c r="H39" i="199"/>
  <c r="H133" i="199"/>
  <c r="O133" i="199"/>
  <c r="H197" i="199"/>
  <c r="O197" i="199"/>
  <c r="H261" i="199"/>
  <c r="O261" i="199"/>
  <c r="O49" i="199"/>
  <c r="H49" i="199"/>
  <c r="H117" i="199"/>
  <c r="O117" i="199"/>
  <c r="H182" i="199"/>
  <c r="O182" i="199"/>
  <c r="AA247" i="199"/>
  <c r="G247" i="199" s="1"/>
  <c r="H247" i="199" s="1"/>
  <c r="AC246" i="199"/>
  <c r="AE246" i="199" s="1"/>
  <c r="O246" i="199"/>
  <c r="H311" i="199"/>
  <c r="O311" i="199"/>
  <c r="O110" i="199"/>
  <c r="H110" i="199"/>
  <c r="H175" i="199"/>
  <c r="O175" i="199"/>
  <c r="H239" i="199"/>
  <c r="O239" i="199"/>
  <c r="H304" i="199"/>
  <c r="O304" i="199"/>
  <c r="H102" i="199"/>
  <c r="O102" i="199"/>
  <c r="O176" i="199"/>
  <c r="H176" i="199"/>
  <c r="H240" i="199"/>
  <c r="O240" i="199"/>
  <c r="AA241" i="199"/>
  <c r="O305" i="199"/>
  <c r="H305" i="199"/>
  <c r="G31" i="194"/>
  <c r="O227" i="199"/>
  <c r="H227" i="199"/>
  <c r="H222" i="199"/>
  <c r="O222" i="199"/>
  <c r="O280" i="199"/>
  <c r="H280" i="199"/>
  <c r="H216" i="199"/>
  <c r="O216" i="199"/>
  <c r="H158" i="195"/>
  <c r="E28" i="196"/>
  <c r="G15" i="204"/>
  <c r="E17" i="204"/>
  <c r="I24" i="193"/>
  <c r="H121" i="199"/>
  <c r="O121" i="199"/>
  <c r="H124" i="199"/>
  <c r="O124" i="199"/>
  <c r="H334" i="197"/>
  <c r="E15" i="198" s="1"/>
  <c r="G15" i="198" s="1"/>
  <c r="G113" i="184" s="1"/>
  <c r="G93" i="191" s="1"/>
  <c r="H60" i="199"/>
  <c r="O60" i="199"/>
  <c r="H137" i="199"/>
  <c r="O137" i="199"/>
  <c r="G50" i="191"/>
  <c r="G49" i="191" s="1"/>
  <c r="G71" i="184"/>
  <c r="H813" i="197"/>
  <c r="E29" i="198" s="1"/>
  <c r="G29" i="198" s="1"/>
  <c r="G127" i="184" s="1"/>
  <c r="H269" i="199"/>
  <c r="O269" i="199"/>
  <c r="O209" i="199"/>
  <c r="H209" i="199"/>
  <c r="O115" i="199"/>
  <c r="H115" i="199"/>
  <c r="H53" i="199"/>
  <c r="O53" i="199"/>
  <c r="O130" i="199"/>
  <c r="H130" i="199"/>
  <c r="H194" i="199"/>
  <c r="O194" i="199"/>
  <c r="H258" i="199"/>
  <c r="O258" i="199"/>
  <c r="H46" i="199"/>
  <c r="O46" i="199"/>
  <c r="O131" i="199"/>
  <c r="H131" i="199"/>
  <c r="O195" i="199"/>
  <c r="H195" i="199"/>
  <c r="O259" i="199"/>
  <c r="H259" i="199"/>
  <c r="O48" i="199"/>
  <c r="H48" i="199"/>
  <c r="H141" i="199"/>
  <c r="O141" i="199"/>
  <c r="H205" i="199"/>
  <c r="O205" i="199"/>
  <c r="H270" i="199"/>
  <c r="O270" i="199"/>
  <c r="O57" i="199"/>
  <c r="H57" i="199"/>
  <c r="O126" i="199"/>
  <c r="H126" i="199"/>
  <c r="O190" i="199"/>
  <c r="H190" i="199"/>
  <c r="O254" i="199"/>
  <c r="H254" i="199"/>
  <c r="H692" i="197"/>
  <c r="E19" i="198" s="1"/>
  <c r="G19" i="198" s="1"/>
  <c r="G117" i="184" s="1"/>
  <c r="O42" i="199"/>
  <c r="H42" i="199"/>
  <c r="H118" i="199"/>
  <c r="O118" i="199"/>
  <c r="H183" i="199"/>
  <c r="O183" i="199"/>
  <c r="AA248" i="199"/>
  <c r="G248" i="199" s="1"/>
  <c r="H248" i="199" s="1"/>
  <c r="O247" i="199"/>
  <c r="AC247" i="199"/>
  <c r="AE247" i="199" s="1"/>
  <c r="O312" i="199"/>
  <c r="H312" i="199"/>
  <c r="H111" i="199"/>
  <c r="O111" i="199"/>
  <c r="O184" i="199"/>
  <c r="H184" i="199"/>
  <c r="AA249" i="199"/>
  <c r="G249" i="199" s="1"/>
  <c r="H249" i="199" s="1"/>
  <c r="O248" i="199"/>
  <c r="AC248" i="199"/>
  <c r="AE248" i="199" s="1"/>
  <c r="O5" i="199"/>
  <c r="E15" i="196"/>
  <c r="H24" i="195"/>
  <c r="O293" i="199"/>
  <c r="H293" i="199"/>
  <c r="G88" i="191"/>
  <c r="O287" i="199"/>
  <c r="H287" i="199"/>
  <c r="O151" i="199"/>
  <c r="H151" i="199"/>
  <c r="H152" i="199"/>
  <c r="O152" i="199"/>
  <c r="G22" i="194"/>
  <c r="H282" i="199"/>
  <c r="O282" i="199"/>
  <c r="H132" i="195"/>
  <c r="E24" i="196" s="1"/>
  <c r="G24" i="196" s="1"/>
  <c r="G92" i="184" s="1"/>
  <c r="AA250" i="199"/>
  <c r="G250" i="199" s="1"/>
  <c r="H250" i="199" s="1"/>
  <c r="O249" i="199"/>
  <c r="AC249" i="199"/>
  <c r="AE249" i="199" s="1"/>
  <c r="O156" i="199"/>
  <c r="H156" i="199"/>
  <c r="H95" i="199"/>
  <c r="O95" i="199"/>
  <c r="H169" i="199"/>
  <c r="O169" i="199"/>
  <c r="O38" i="199"/>
  <c r="H38" i="199"/>
  <c r="O301" i="199"/>
  <c r="H301" i="199"/>
  <c r="AC241" i="199"/>
  <c r="AE241" i="199" s="1"/>
  <c r="AA242" i="199"/>
  <c r="G242" i="199" s="1"/>
  <c r="P241" i="199"/>
  <c r="O241" i="199"/>
  <c r="H241" i="199"/>
  <c r="O148" i="199"/>
  <c r="H148" i="199"/>
  <c r="H61" i="199"/>
  <c r="O61" i="199"/>
  <c r="O138" i="199"/>
  <c r="H138" i="199"/>
  <c r="H202" i="199"/>
  <c r="O202" i="199"/>
  <c r="O267" i="199"/>
  <c r="H267" i="199"/>
  <c r="H54" i="199"/>
  <c r="O54" i="199"/>
  <c r="H139" i="199"/>
  <c r="O139" i="199"/>
  <c r="O203" i="199"/>
  <c r="H203" i="199"/>
  <c r="H268" i="199"/>
  <c r="O268" i="199"/>
  <c r="H56" i="199"/>
  <c r="O56" i="199"/>
  <c r="H149" i="199"/>
  <c r="O149" i="199"/>
  <c r="O213" i="199"/>
  <c r="H213" i="199"/>
  <c r="H278" i="199"/>
  <c r="O278" i="199"/>
  <c r="H725" i="197"/>
  <c r="E21" i="198" s="1"/>
  <c r="G21" i="198" s="1"/>
  <c r="G119" i="184" s="1"/>
  <c r="O65" i="199"/>
  <c r="H65" i="199"/>
  <c r="H134" i="199"/>
  <c r="O134" i="199"/>
  <c r="O198" i="199"/>
  <c r="H198" i="199"/>
  <c r="H262" i="199"/>
  <c r="O262" i="199"/>
  <c r="O50" i="199"/>
  <c r="H50" i="199"/>
  <c r="H127" i="199"/>
  <c r="O127" i="199"/>
  <c r="H191" i="199"/>
  <c r="O191" i="199"/>
  <c r="H255" i="199"/>
  <c r="O255" i="199"/>
  <c r="O43" i="199"/>
  <c r="H43" i="199"/>
  <c r="O128" i="199"/>
  <c r="H128" i="199"/>
  <c r="H192" i="199"/>
  <c r="O192" i="199"/>
  <c r="H256" i="199"/>
  <c r="O256" i="199"/>
  <c r="H152" i="201"/>
  <c r="E23" i="202" s="1"/>
  <c r="G23" i="202" s="1"/>
  <c r="G162" i="184" s="1"/>
  <c r="G143" i="191" s="1"/>
  <c r="G19" i="194"/>
  <c r="P4" i="199"/>
  <c r="Q4" i="199" s="1"/>
  <c r="G60" i="184"/>
  <c r="H291" i="199"/>
  <c r="O291" i="199"/>
  <c r="O173" i="199"/>
  <c r="H173" i="199"/>
  <c r="O92" i="199"/>
  <c r="H92" i="199"/>
  <c r="O215" i="199"/>
  <c r="H215" i="199"/>
  <c r="O77" i="199"/>
  <c r="H77" i="199"/>
  <c r="O281" i="199"/>
  <c r="H281" i="199"/>
  <c r="G25" i="205"/>
  <c r="AE25" i="205" s="1"/>
  <c r="AF25" i="205" s="1"/>
  <c r="X25" i="205"/>
  <c r="AC25" i="205"/>
  <c r="H196" i="195"/>
  <c r="E31" i="196" s="1"/>
  <c r="G31" i="196" s="1"/>
  <c r="H98" i="199"/>
  <c r="O98" i="199"/>
  <c r="O196" i="199"/>
  <c r="H196" i="199"/>
  <c r="O132" i="199"/>
  <c r="H132" i="199"/>
  <c r="O188" i="199"/>
  <c r="H188" i="199"/>
  <c r="O129" i="199"/>
  <c r="H129" i="199"/>
  <c r="O201" i="199"/>
  <c r="H201" i="199"/>
  <c r="H71" i="199"/>
  <c r="O71" i="199"/>
  <c r="O274" i="199"/>
  <c r="H274" i="199"/>
  <c r="O180" i="199"/>
  <c r="H180" i="199"/>
  <c r="H79" i="199"/>
  <c r="O79" i="199"/>
  <c r="O146" i="199"/>
  <c r="H146" i="199"/>
  <c r="O210" i="199"/>
  <c r="H210" i="199"/>
  <c r="H275" i="199"/>
  <c r="O275" i="199"/>
  <c r="O70" i="199"/>
  <c r="H70" i="199"/>
  <c r="O147" i="199"/>
  <c r="H147" i="199"/>
  <c r="O211" i="199"/>
  <c r="H211" i="199"/>
  <c r="H276" i="199"/>
  <c r="O276" i="199"/>
  <c r="O82" i="199"/>
  <c r="H82" i="199"/>
  <c r="O157" i="199"/>
  <c r="H157" i="199"/>
  <c r="O221" i="199"/>
  <c r="H221" i="199"/>
  <c r="O286" i="199"/>
  <c r="H286" i="199"/>
  <c r="O73" i="199"/>
  <c r="H73" i="199"/>
  <c r="H142" i="199"/>
  <c r="O142" i="199"/>
  <c r="O206" i="199"/>
  <c r="H206" i="199"/>
  <c r="H271" i="199"/>
  <c r="O271" i="199"/>
  <c r="O58" i="199"/>
  <c r="H58" i="199"/>
  <c r="H135" i="199"/>
  <c r="O135" i="199"/>
  <c r="O199" i="199"/>
  <c r="H199" i="199"/>
  <c r="H263" i="199"/>
  <c r="O263" i="199"/>
  <c r="O51" i="199"/>
  <c r="H51" i="199"/>
  <c r="O136" i="199"/>
  <c r="H136" i="199"/>
  <c r="H200" i="199"/>
  <c r="O200" i="199"/>
  <c r="H264" i="199"/>
  <c r="O264" i="199"/>
  <c r="H103" i="201"/>
  <c r="E18" i="202" s="1"/>
  <c r="G18" i="202" s="1"/>
  <c r="G157" i="184" s="1"/>
  <c r="G138" i="191" s="1"/>
  <c r="H190" i="201"/>
  <c r="E26" i="202" s="1"/>
  <c r="G26" i="202" s="1"/>
  <c r="G165" i="184" s="1"/>
  <c r="G146" i="191" s="1"/>
  <c r="H34" i="201"/>
  <c r="H171" i="201"/>
  <c r="E24" i="202" s="1"/>
  <c r="G24" i="202" s="1"/>
  <c r="G163" i="184" s="1"/>
  <c r="G144" i="191" s="1"/>
  <c r="I8" i="193"/>
  <c r="G18" i="186"/>
  <c r="F100" i="191"/>
  <c r="F120" i="184"/>
  <c r="F60" i="191"/>
  <c r="F81" i="184"/>
  <c r="F39" i="191"/>
  <c r="F58" i="184"/>
  <c r="F110" i="191"/>
  <c r="F130" i="184"/>
  <c r="F47" i="191"/>
  <c r="F69" i="184"/>
  <c r="J185" i="191"/>
  <c r="J181" i="191" s="1"/>
  <c r="I181" i="191"/>
  <c r="I206" i="191" l="1"/>
  <c r="G105" i="184"/>
  <c r="G84" i="191" s="1"/>
  <c r="G99" i="184"/>
  <c r="G78" i="191" s="1"/>
  <c r="G102" i="184"/>
  <c r="G81" i="191" s="1"/>
  <c r="H24" i="199"/>
  <c r="E14" i="200" s="1"/>
  <c r="G14" i="200" s="1"/>
  <c r="I12" i="191"/>
  <c r="J12" i="191" s="1"/>
  <c r="G28" i="184"/>
  <c r="H231" i="195"/>
  <c r="E39" i="196"/>
  <c r="G39" i="196" s="1"/>
  <c r="G107" i="184" s="1"/>
  <c r="G106" i="184" s="1"/>
  <c r="H97" i="195"/>
  <c r="G102" i="191"/>
  <c r="E13" i="204"/>
  <c r="G14" i="204"/>
  <c r="G17" i="204" s="1"/>
  <c r="G96" i="191"/>
  <c r="G23" i="196"/>
  <c r="E22" i="196"/>
  <c r="G106" i="191"/>
  <c r="G13" i="191"/>
  <c r="I13" i="191" s="1"/>
  <c r="J13" i="191" s="1"/>
  <c r="H91" i="199"/>
  <c r="E17" i="200" s="1"/>
  <c r="G17" i="200" s="1"/>
  <c r="G134" i="184" s="1"/>
  <c r="E16" i="202"/>
  <c r="H33" i="201"/>
  <c r="H23" i="201" s="1"/>
  <c r="E17" i="198"/>
  <c r="H673" i="197"/>
  <c r="G26" i="194"/>
  <c r="E25" i="194"/>
  <c r="E21" i="194" s="1"/>
  <c r="G20" i="196"/>
  <c r="E19" i="196"/>
  <c r="G35" i="184"/>
  <c r="H242" i="199"/>
  <c r="H120" i="199" s="1"/>
  <c r="E19" i="200" s="1"/>
  <c r="G19" i="200" s="1"/>
  <c r="G136" i="184" s="1"/>
  <c r="G120" i="199"/>
  <c r="G74" i="199" s="1"/>
  <c r="G23" i="199" s="1"/>
  <c r="E32" i="194"/>
  <c r="E30" i="194" s="1"/>
  <c r="G33" i="194"/>
  <c r="G73" i="191"/>
  <c r="I73" i="191" s="1"/>
  <c r="J73" i="191" s="1"/>
  <c r="G104" i="191"/>
  <c r="H75" i="199"/>
  <c r="H68" i="195"/>
  <c r="G153" i="184"/>
  <c r="G52" i="184"/>
  <c r="G71" i="191"/>
  <c r="E14" i="196"/>
  <c r="G15" i="196"/>
  <c r="E38" i="194"/>
  <c r="E35" i="194" s="1"/>
  <c r="G39" i="194"/>
  <c r="E20" i="194"/>
  <c r="I17" i="193"/>
  <c r="I7" i="193" s="1"/>
  <c r="I6" i="193" s="1"/>
  <c r="H178" i="195"/>
  <c r="H734" i="197"/>
  <c r="G42" i="196"/>
  <c r="G41" i="196" s="1"/>
  <c r="E41" i="196"/>
  <c r="G170" i="184"/>
  <c r="G151" i="191" s="1"/>
  <c r="G30" i="196"/>
  <c r="G98" i="184" s="1"/>
  <c r="E29" i="196"/>
  <c r="G23" i="198"/>
  <c r="E22" i="198"/>
  <c r="G36" i="196"/>
  <c r="G104" i="184" s="1"/>
  <c r="G103" i="184" s="1"/>
  <c r="E35" i="196"/>
  <c r="H279" i="195"/>
  <c r="H266" i="199"/>
  <c r="E20" i="200" s="1"/>
  <c r="G20" i="200" s="1"/>
  <c r="G137" i="184" s="1"/>
  <c r="G28" i="196"/>
  <c r="G96" i="184" s="1"/>
  <c r="G95" i="184" s="1"/>
  <c r="E27" i="196"/>
  <c r="G70" i="184"/>
  <c r="G43" i="194"/>
  <c r="X23" i="205"/>
  <c r="G14" i="198"/>
  <c r="H330" i="199"/>
  <c r="G97" i="191"/>
  <c r="G103" i="191"/>
  <c r="E32" i="196"/>
  <c r="G33" i="196"/>
  <c r="G101" i="184" s="1"/>
  <c r="G99" i="191"/>
  <c r="G59" i="184"/>
  <c r="G41" i="191"/>
  <c r="G40" i="191" s="1"/>
  <c r="G40" i="184"/>
  <c r="G107" i="191"/>
  <c r="AE24" i="205"/>
  <c r="G23" i="205"/>
  <c r="G57" i="185"/>
  <c r="K57" i="185" s="1"/>
  <c r="H106" i="199"/>
  <c r="E18" i="200" s="1"/>
  <c r="G18" i="200" s="1"/>
  <c r="G135" i="184" s="1"/>
  <c r="I42" i="191"/>
  <c r="J42" i="191" s="1"/>
  <c r="I63" i="191"/>
  <c r="J63" i="191" s="1"/>
  <c r="I52" i="191"/>
  <c r="J52" i="191" s="1"/>
  <c r="I65" i="191"/>
  <c r="J65" i="191" s="1"/>
  <c r="H159" i="184"/>
  <c r="F78" i="190"/>
  <c r="I78" i="190" s="1"/>
  <c r="G186" i="191" s="1"/>
  <c r="H186" i="191" s="1"/>
  <c r="H140" i="191"/>
  <c r="K140" i="191" s="1"/>
  <c r="H144" i="184"/>
  <c r="H49" i="191"/>
  <c r="H71" i="184"/>
  <c r="H147" i="191"/>
  <c r="K147" i="191" s="1"/>
  <c r="I27" i="191"/>
  <c r="J27" i="191" s="1"/>
  <c r="I50" i="191"/>
  <c r="F91" i="191"/>
  <c r="F212" i="191" s="1"/>
  <c r="F111" i="184"/>
  <c r="F242" i="184" s="1"/>
  <c r="I64" i="191"/>
  <c r="J64" i="191" s="1"/>
  <c r="H166" i="184"/>
  <c r="G100" i="184" l="1"/>
  <c r="G97" i="184"/>
  <c r="E38" i="196"/>
  <c r="H181" i="191"/>
  <c r="K186" i="191"/>
  <c r="K181" i="191" s="1"/>
  <c r="H23" i="195"/>
  <c r="H23" i="197"/>
  <c r="M54" i="185"/>
  <c r="M55" i="185"/>
  <c r="G10" i="191"/>
  <c r="G134" i="191"/>
  <c r="G116" i="191"/>
  <c r="AF24" i="205"/>
  <c r="AE23" i="205"/>
  <c r="G69" i="184"/>
  <c r="G48" i="191"/>
  <c r="E45" i="196"/>
  <c r="G83" i="184"/>
  <c r="G82" i="184" s="1"/>
  <c r="G14" i="196"/>
  <c r="G88" i="184"/>
  <c r="G19" i="196"/>
  <c r="G22" i="196"/>
  <c r="G91" i="184"/>
  <c r="E13" i="196"/>
  <c r="G35" i="196"/>
  <c r="E16" i="200"/>
  <c r="H74" i="199"/>
  <c r="H23" i="199" s="1"/>
  <c r="G16" i="202"/>
  <c r="E15" i="202"/>
  <c r="G27" i="196"/>
  <c r="G44" i="184"/>
  <c r="G26" i="191" s="1"/>
  <c r="G25" i="194"/>
  <c r="G21" i="194" s="1"/>
  <c r="G112" i="184"/>
  <c r="D25" i="186" s="1"/>
  <c r="G117" i="191"/>
  <c r="I117" i="191" s="1"/>
  <c r="J117" i="191" s="1"/>
  <c r="G121" i="184"/>
  <c r="G22" i="198"/>
  <c r="G13" i="204"/>
  <c r="G169" i="184"/>
  <c r="G150" i="191" s="1"/>
  <c r="H331" i="199"/>
  <c r="H332" i="199"/>
  <c r="H334" i="199" s="1"/>
  <c r="H335" i="199" s="1"/>
  <c r="G115" i="191"/>
  <c r="I115" i="191" s="1"/>
  <c r="J115" i="191" s="1"/>
  <c r="G32" i="196"/>
  <c r="G51" i="184"/>
  <c r="G32" i="191"/>
  <c r="G17" i="191"/>
  <c r="E16" i="198"/>
  <c r="G17" i="198"/>
  <c r="G240" i="184"/>
  <c r="D8" i="186" s="1"/>
  <c r="K53" i="185"/>
  <c r="K58" i="185" s="1"/>
  <c r="G24" i="191"/>
  <c r="G29" i="196"/>
  <c r="G20" i="194"/>
  <c r="E18" i="194"/>
  <c r="E14" i="194" s="1"/>
  <c r="E12" i="194" s="1"/>
  <c r="G114" i="191"/>
  <c r="I114" i="191" s="1"/>
  <c r="J114" i="191" s="1"/>
  <c r="G38" i="196"/>
  <c r="AC8" i="205"/>
  <c r="AD3" i="205"/>
  <c r="AC3" i="205"/>
  <c r="AC7" i="205"/>
  <c r="AD6" i="205"/>
  <c r="AE6" i="205" s="1"/>
  <c r="AD5" i="205"/>
  <c r="AE5" i="205" s="1"/>
  <c r="AC6" i="205"/>
  <c r="AC4" i="205"/>
  <c r="AC5" i="205"/>
  <c r="AD4" i="205"/>
  <c r="AE4" i="205" s="1"/>
  <c r="AD7" i="205"/>
  <c r="AE7" i="205" s="1"/>
  <c r="AD8" i="205"/>
  <c r="AE8" i="205" s="1"/>
  <c r="I10" i="191"/>
  <c r="J11" i="191"/>
  <c r="J10" i="191" s="1"/>
  <c r="G63" i="184"/>
  <c r="G38" i="194"/>
  <c r="G35" i="194" s="1"/>
  <c r="G54" i="184"/>
  <c r="G34" i="191" s="1"/>
  <c r="G33" i="191" s="1"/>
  <c r="G32" i="194"/>
  <c r="G30" i="194" s="1"/>
  <c r="G131" i="184"/>
  <c r="D31" i="186" s="1"/>
  <c r="J51" i="191"/>
  <c r="I147" i="191"/>
  <c r="J147" i="191" s="1"/>
  <c r="I140" i="191"/>
  <c r="J140" i="191" s="1"/>
  <c r="J35" i="191"/>
  <c r="F76" i="190"/>
  <c r="G215" i="184"/>
  <c r="H215" i="184" s="1"/>
  <c r="H210" i="184" s="1"/>
  <c r="F245" i="184"/>
  <c r="F215" i="191"/>
  <c r="H157" i="184"/>
  <c r="H141" i="191"/>
  <c r="K141" i="191" s="1"/>
  <c r="D20" i="186"/>
  <c r="H138" i="191"/>
  <c r="K138" i="191" s="1"/>
  <c r="D6" i="186"/>
  <c r="H156" i="184"/>
  <c r="H164" i="184"/>
  <c r="H160" i="184"/>
  <c r="G141" i="184"/>
  <c r="G140" i="184" s="1"/>
  <c r="I49" i="191"/>
  <c r="J50" i="191"/>
  <c r="H137" i="191"/>
  <c r="K137" i="191" s="1"/>
  <c r="H145" i="191"/>
  <c r="H165" i="184"/>
  <c r="I123" i="191"/>
  <c r="H146" i="191"/>
  <c r="K146" i="191" s="1"/>
  <c r="H153" i="184"/>
  <c r="H144" i="191"/>
  <c r="K144" i="191" s="1"/>
  <c r="H143" i="191"/>
  <c r="K143" i="191" s="1"/>
  <c r="D22" i="186"/>
  <c r="H158" i="184"/>
  <c r="G173" i="184"/>
  <c r="H163" i="184"/>
  <c r="H142" i="191"/>
  <c r="K142" i="191" s="1"/>
  <c r="H162" i="184"/>
  <c r="H124" i="191"/>
  <c r="K125" i="191"/>
  <c r="K124" i="191" s="1"/>
  <c r="H161" i="184"/>
  <c r="H139" i="191"/>
  <c r="K139" i="191" s="1"/>
  <c r="G154" i="191"/>
  <c r="H134" i="191"/>
  <c r="G8" i="186" l="1"/>
  <c r="G9" i="192"/>
  <c r="H8" i="192" s="1"/>
  <c r="I8" i="192" s="1"/>
  <c r="E8" i="192" s="1"/>
  <c r="D28" i="186"/>
  <c r="G45" i="196"/>
  <c r="J49" i="191"/>
  <c r="G149" i="191"/>
  <c r="G168" i="184"/>
  <c r="F74" i="190" s="1"/>
  <c r="E72" i="190" s="1"/>
  <c r="F72" i="190" s="1"/>
  <c r="I72" i="190" s="1"/>
  <c r="G53" i="184"/>
  <c r="G50" i="184" s="1"/>
  <c r="I34" i="191"/>
  <c r="H240" i="184"/>
  <c r="H236" i="184" s="1"/>
  <c r="G210" i="191"/>
  <c r="G236" i="184"/>
  <c r="G16" i="200"/>
  <c r="E15" i="200"/>
  <c r="F60" i="190"/>
  <c r="G80" i="191"/>
  <c r="D30" i="186"/>
  <c r="G30" i="186" s="1"/>
  <c r="G13" i="196"/>
  <c r="I134" i="191"/>
  <c r="F66" i="190"/>
  <c r="E64" i="190" s="1"/>
  <c r="G111" i="191"/>
  <c r="G36" i="184"/>
  <c r="G18" i="194"/>
  <c r="G14" i="194" s="1"/>
  <c r="G12" i="194" s="1"/>
  <c r="G16" i="198"/>
  <c r="G115" i="184"/>
  <c r="G101" i="191"/>
  <c r="G100" i="191" s="1"/>
  <c r="G120" i="184"/>
  <c r="D11" i="186" s="1"/>
  <c r="F61" i="190"/>
  <c r="G83" i="191"/>
  <c r="F58" i="190"/>
  <c r="G67" i="191"/>
  <c r="G87" i="184"/>
  <c r="AF23" i="205"/>
  <c r="AE3" i="205"/>
  <c r="AE9" i="205" s="1"/>
  <c r="AD9" i="205"/>
  <c r="AD10" i="205" s="1"/>
  <c r="F57" i="190"/>
  <c r="G77" i="191"/>
  <c r="E31" i="198"/>
  <c r="E13" i="198"/>
  <c r="F62" i="190"/>
  <c r="G75" i="191"/>
  <c r="D35" i="186"/>
  <c r="G62" i="191"/>
  <c r="E48" i="194"/>
  <c r="G87" i="191"/>
  <c r="D27" i="186"/>
  <c r="G27" i="186" s="1"/>
  <c r="E30" i="202"/>
  <c r="E13" i="202"/>
  <c r="G62" i="184"/>
  <c r="I17" i="191"/>
  <c r="G15" i="202"/>
  <c r="G155" i="184"/>
  <c r="D7" i="186" s="1"/>
  <c r="G47" i="191"/>
  <c r="G31" i="191"/>
  <c r="G30" i="191" s="1"/>
  <c r="G92" i="191"/>
  <c r="E84" i="190"/>
  <c r="F84" i="190" s="1"/>
  <c r="F59" i="190"/>
  <c r="G70" i="191"/>
  <c r="I139" i="191"/>
  <c r="J139" i="191" s="1"/>
  <c r="I146" i="191"/>
  <c r="J146" i="191" s="1"/>
  <c r="I141" i="191"/>
  <c r="J141" i="191" s="1"/>
  <c r="I143" i="191"/>
  <c r="J143" i="191" s="1"/>
  <c r="I144" i="191"/>
  <c r="J144" i="191" s="1"/>
  <c r="I138" i="191"/>
  <c r="J138" i="191" s="1"/>
  <c r="G31" i="186"/>
  <c r="G22" i="186"/>
  <c r="G20" i="186"/>
  <c r="F64" i="190"/>
  <c r="I64" i="190" s="1"/>
  <c r="I137" i="191"/>
  <c r="J137" i="191" s="1"/>
  <c r="I142" i="191"/>
  <c r="J142" i="191" s="1"/>
  <c r="G25" i="186"/>
  <c r="E68" i="190"/>
  <c r="K145" i="191"/>
  <c r="G43" i="184"/>
  <c r="J134" i="191"/>
  <c r="K134" i="191"/>
  <c r="I145" i="191"/>
  <c r="J145" i="191" s="1"/>
  <c r="G25" i="191"/>
  <c r="G23" i="191" s="1"/>
  <c r="J123" i="191"/>
  <c r="J125" i="191"/>
  <c r="J124" i="191" s="1"/>
  <c r="I124" i="191"/>
  <c r="H6" i="186"/>
  <c r="C3" i="192"/>
  <c r="E3" i="192" s="1"/>
  <c r="G6" i="186"/>
  <c r="D34" i="186" l="1"/>
  <c r="G39" i="184"/>
  <c r="D10" i="186"/>
  <c r="J34" i="191"/>
  <c r="G76" i="191"/>
  <c r="J17" i="191"/>
  <c r="G86" i="191"/>
  <c r="F56" i="190"/>
  <c r="E53" i="190" s="1"/>
  <c r="F53" i="190" s="1"/>
  <c r="I53" i="190" s="1"/>
  <c r="E22" i="200"/>
  <c r="E13" i="200"/>
  <c r="I84" i="190"/>
  <c r="F82" i="190"/>
  <c r="G74" i="191"/>
  <c r="G66" i="191"/>
  <c r="G133" i="184"/>
  <c r="G15" i="200"/>
  <c r="G44" i="191"/>
  <c r="G58" i="184"/>
  <c r="G114" i="184"/>
  <c r="G95" i="191"/>
  <c r="G94" i="191" s="1"/>
  <c r="G91" i="191" s="1"/>
  <c r="G31" i="198"/>
  <c r="G13" i="198"/>
  <c r="H210" i="191"/>
  <c r="G206" i="191"/>
  <c r="G30" i="202"/>
  <c r="G13" i="202"/>
  <c r="G69" i="191"/>
  <c r="G154" i="184"/>
  <c r="G136" i="191"/>
  <c r="H155" i="184"/>
  <c r="G61" i="191"/>
  <c r="G82" i="191"/>
  <c r="G18" i="191"/>
  <c r="G34" i="184"/>
  <c r="G27" i="184" s="1"/>
  <c r="G79" i="191"/>
  <c r="G48" i="194"/>
  <c r="G35" i="186"/>
  <c r="G34" i="186"/>
  <c r="G11" i="186"/>
  <c r="G28" i="186"/>
  <c r="G138" i="184"/>
  <c r="H138" i="184" s="1"/>
  <c r="G118" i="191"/>
  <c r="H118" i="191" s="1"/>
  <c r="I118" i="191" s="1"/>
  <c r="F68" i="190"/>
  <c r="G109" i="184" l="1"/>
  <c r="H109" i="184"/>
  <c r="G128" i="184"/>
  <c r="G108" i="191"/>
  <c r="H108" i="191" s="1"/>
  <c r="K210" i="191"/>
  <c r="K206" i="191" s="1"/>
  <c r="H206" i="191"/>
  <c r="D12" i="186"/>
  <c r="G12" i="186" s="1"/>
  <c r="G135" i="191"/>
  <c r="H136" i="191"/>
  <c r="I18" i="191"/>
  <c r="G16" i="191"/>
  <c r="G9" i="191" s="1"/>
  <c r="G152" i="184"/>
  <c r="G39" i="191"/>
  <c r="H128" i="184"/>
  <c r="G113" i="191"/>
  <c r="G132" i="184"/>
  <c r="G111" i="184"/>
  <c r="G22" i="200"/>
  <c r="G13" i="200"/>
  <c r="H7" i="186"/>
  <c r="C8" i="192"/>
  <c r="G7" i="186"/>
  <c r="G89" i="191"/>
  <c r="G60" i="191"/>
  <c r="H154" i="184"/>
  <c r="I68" i="190"/>
  <c r="D24" i="186"/>
  <c r="G24" i="186" s="1"/>
  <c r="F87" i="190"/>
  <c r="G10" i="186"/>
  <c r="K118" i="191"/>
  <c r="G152" i="191"/>
  <c r="G171" i="184"/>
  <c r="H171" i="184" s="1"/>
  <c r="H10" i="186" l="1"/>
  <c r="K108" i="191"/>
  <c r="G112" i="191"/>
  <c r="G110" i="191" s="1"/>
  <c r="I113" i="191"/>
  <c r="J18" i="191"/>
  <c r="J16" i="191" s="1"/>
  <c r="J9" i="191" s="1"/>
  <c r="I16" i="191"/>
  <c r="I9" i="191" s="1"/>
  <c r="H152" i="184"/>
  <c r="H262" i="184" s="1"/>
  <c r="H89" i="191"/>
  <c r="J199" i="191"/>
  <c r="I136" i="191"/>
  <c r="K136" i="191"/>
  <c r="K135" i="191" s="1"/>
  <c r="K133" i="191" s="1"/>
  <c r="H135" i="191"/>
  <c r="G133" i="191"/>
  <c r="G130" i="184"/>
  <c r="D23" i="186"/>
  <c r="G23" i="186" s="1"/>
  <c r="G175" i="184"/>
  <c r="G243" i="184" s="1"/>
  <c r="I87" i="190"/>
  <c r="G156" i="191"/>
  <c r="H156" i="191" s="1"/>
  <c r="I156" i="191" s="1"/>
  <c r="H175" i="184"/>
  <c r="H152" i="191"/>
  <c r="I152" i="191" s="1"/>
  <c r="G213" i="191" l="1"/>
  <c r="H258" i="184"/>
  <c r="J156" i="191"/>
  <c r="D41" i="186"/>
  <c r="G41" i="186" s="1"/>
  <c r="K89" i="191"/>
  <c r="J113" i="191"/>
  <c r="J136" i="191"/>
  <c r="J135" i="191" s="1"/>
  <c r="J133" i="191" s="1"/>
  <c r="I135" i="191"/>
  <c r="I133" i="191" s="1"/>
  <c r="H133" i="191"/>
  <c r="I89" i="191"/>
  <c r="K156" i="191"/>
  <c r="K152" i="191"/>
  <c r="J89" i="191" l="1"/>
  <c r="D29" i="186" l="1"/>
  <c r="D21" i="186" l="1"/>
  <c r="G90" i="184"/>
  <c r="G81" i="184" s="1"/>
  <c r="G29" i="186"/>
  <c r="G21" i="186" l="1"/>
  <c r="AH26" i="206" l="1"/>
  <c r="E26" i="206" l="1"/>
  <c r="F26" i="206" s="1"/>
  <c r="F25" i="206" s="1"/>
  <c r="F24" i="206" s="1"/>
  <c r="F23" i="206" s="1"/>
  <c r="S26" i="206" l="1"/>
  <c r="Y26" i="206" s="1"/>
  <c r="Y25" i="206" s="1"/>
  <c r="Y24" i="206" s="1"/>
  <c r="Y23" i="206" s="1"/>
  <c r="G26" i="206"/>
  <c r="G25" i="206" s="1"/>
  <c r="G24" i="206" s="1"/>
  <c r="G23" i="206" s="1"/>
  <c r="S25" i="206"/>
  <c r="S24" i="206" s="1"/>
  <c r="S23" i="206" s="1"/>
  <c r="AB26" i="206"/>
  <c r="AD8" i="206" s="1"/>
  <c r="T26" i="206"/>
  <c r="T25" i="206" s="1"/>
  <c r="T24" i="206" s="1"/>
  <c r="T23" i="206" s="1"/>
  <c r="H26" i="206" l="1"/>
  <c r="AD6" i="206"/>
  <c r="AD5" i="206"/>
  <c r="AD4" i="206"/>
  <c r="AD7" i="206"/>
  <c r="AD3" i="206"/>
  <c r="V26" i="206"/>
  <c r="V25" i="206" s="1"/>
  <c r="V24" i="206" s="1"/>
  <c r="V23" i="206" s="1"/>
  <c r="G150" i="184" l="1"/>
  <c r="H25" i="206"/>
  <c r="H24" i="206" s="1"/>
  <c r="H23" i="206" s="1"/>
  <c r="AC26" i="206"/>
  <c r="AD26" i="206" s="1"/>
  <c r="AE5" i="206"/>
  <c r="AF5" i="206" s="1"/>
  <c r="AE4" i="206"/>
  <c r="AF4" i="206" s="1"/>
  <c r="AE8" i="206"/>
  <c r="AF8" i="206" s="1"/>
  <c r="AE3" i="206"/>
  <c r="AE6" i="206"/>
  <c r="AF6" i="206" s="1"/>
  <c r="AE7" i="206" l="1"/>
  <c r="AF7" i="206" s="1"/>
  <c r="G130" i="191"/>
  <c r="D42" i="186"/>
  <c r="G149" i="184"/>
  <c r="G148" i="184" s="1"/>
  <c r="AF3" i="206"/>
  <c r="AE9" i="206" l="1"/>
  <c r="AE10" i="206" s="1"/>
  <c r="AF9" i="206"/>
  <c r="H130" i="191"/>
  <c r="G129" i="191"/>
  <c r="G128" i="191" s="1"/>
  <c r="I130" i="191" l="1"/>
  <c r="H129" i="191"/>
  <c r="H128" i="191" s="1"/>
  <c r="K130" i="191"/>
  <c r="K129" i="191" s="1"/>
  <c r="K128" i="191" s="1"/>
  <c r="J130" i="191" l="1"/>
  <c r="J129" i="191" s="1"/>
  <c r="J128" i="191" s="1"/>
  <c r="I129" i="191"/>
  <c r="I128" i="191" s="1"/>
  <c r="H149" i="184" l="1"/>
  <c r="H148" i="184" s="1"/>
  <c r="H259" i="184" l="1"/>
  <c r="H190" i="184" l="1"/>
  <c r="G190" i="184" s="1"/>
  <c r="D13" i="186" s="1"/>
  <c r="H170" i="184"/>
  <c r="H151" i="191" s="1"/>
  <c r="H202" i="184"/>
  <c r="G202" i="184" s="1"/>
  <c r="D17" i="186" s="1"/>
  <c r="G17" i="186" s="1"/>
  <c r="H194" i="184"/>
  <c r="G194" i="184" s="1"/>
  <c r="D16" i="186" s="1"/>
  <c r="G16" i="186" s="1"/>
  <c r="H169" i="184"/>
  <c r="H198" i="184"/>
  <c r="G198" i="184" s="1"/>
  <c r="D15" i="186" s="1"/>
  <c r="G15" i="186" s="1"/>
  <c r="H201" i="184"/>
  <c r="H185" i="184"/>
  <c r="H72" i="191" l="1"/>
  <c r="H93" i="184"/>
  <c r="K151" i="191"/>
  <c r="I151" i="191"/>
  <c r="J151" i="191" s="1"/>
  <c r="G201" i="184"/>
  <c r="H200" i="184"/>
  <c r="H173" i="191" s="1"/>
  <c r="H218" i="184"/>
  <c r="H189" i="191"/>
  <c r="G185" i="184"/>
  <c r="H55" i="184"/>
  <c r="H53" i="184" s="1"/>
  <c r="H36" i="191"/>
  <c r="G13" i="186"/>
  <c r="H150" i="191"/>
  <c r="H168" i="184"/>
  <c r="H191" i="191"/>
  <c r="H220" i="184"/>
  <c r="H190" i="191"/>
  <c r="H219" i="184"/>
  <c r="H189" i="184"/>
  <c r="H177" i="184"/>
  <c r="H158" i="191" s="1"/>
  <c r="H217" i="184" l="1"/>
  <c r="H100" i="191"/>
  <c r="H120" i="184"/>
  <c r="H93" i="191"/>
  <c r="H113" i="184"/>
  <c r="H84" i="191"/>
  <c r="H105" i="184"/>
  <c r="H108" i="184"/>
  <c r="H88" i="191"/>
  <c r="H33" i="191"/>
  <c r="K36" i="191"/>
  <c r="K33" i="191" s="1"/>
  <c r="I36" i="191"/>
  <c r="K189" i="191"/>
  <c r="I189" i="191"/>
  <c r="H188" i="191"/>
  <c r="H32" i="191"/>
  <c r="H52" i="184"/>
  <c r="H51" i="184" s="1"/>
  <c r="H50" i="184" s="1"/>
  <c r="H106" i="191"/>
  <c r="H126" i="184"/>
  <c r="H99" i="184"/>
  <c r="H78" i="191"/>
  <c r="H68" i="191"/>
  <c r="H89" i="184"/>
  <c r="G189" i="184"/>
  <c r="H188" i="184"/>
  <c r="H167" i="191" s="1"/>
  <c r="K173" i="191"/>
  <c r="G173" i="191"/>
  <c r="I173" i="191" s="1"/>
  <c r="J173" i="191" s="1"/>
  <c r="H70" i="191"/>
  <c r="H91" i="184"/>
  <c r="D40" i="186"/>
  <c r="G40" i="186" s="1"/>
  <c r="G200" i="184"/>
  <c r="H193" i="184"/>
  <c r="H197" i="184"/>
  <c r="H41" i="184"/>
  <c r="H24" i="191"/>
  <c r="K158" i="191"/>
  <c r="I158" i="191"/>
  <c r="J158" i="191" s="1"/>
  <c r="K150" i="191"/>
  <c r="K149" i="191" s="1"/>
  <c r="I150" i="191"/>
  <c r="H149" i="191"/>
  <c r="H101" i="184"/>
  <c r="H80" i="191"/>
  <c r="H57" i="191"/>
  <c r="H78" i="184"/>
  <c r="G78" i="184" s="1"/>
  <c r="D19" i="186" s="1"/>
  <c r="H142" i="184"/>
  <c r="H141" i="184" s="1"/>
  <c r="H140" i="184" s="1"/>
  <c r="H122" i="191"/>
  <c r="H232" i="184"/>
  <c r="G232" i="184" s="1"/>
  <c r="G203" i="191" s="1"/>
  <c r="H203" i="191"/>
  <c r="K203" i="191" s="1"/>
  <c r="H60" i="184"/>
  <c r="H59" i="184" s="1"/>
  <c r="H41" i="191"/>
  <c r="K190" i="191"/>
  <c r="I190" i="191"/>
  <c r="J190" i="191" s="1"/>
  <c r="H43" i="191"/>
  <c r="H61" i="184"/>
  <c r="H111" i="191"/>
  <c r="H131" i="184"/>
  <c r="H107" i="191"/>
  <c r="H127" i="184"/>
  <c r="H186" i="184"/>
  <c r="K191" i="191"/>
  <c r="I191" i="191"/>
  <c r="J191" i="191" s="1"/>
  <c r="D36" i="186"/>
  <c r="G36" i="186" s="1"/>
  <c r="K72" i="191"/>
  <c r="I72" i="191"/>
  <c r="J72" i="191" s="1"/>
  <c r="K111" i="191" l="1"/>
  <c r="I111" i="191"/>
  <c r="J111" i="191" s="1"/>
  <c r="J189" i="191"/>
  <c r="J188" i="191" s="1"/>
  <c r="I188" i="191"/>
  <c r="K88" i="191"/>
  <c r="I88" i="191"/>
  <c r="J88" i="191" s="1"/>
  <c r="G193" i="184"/>
  <c r="H192" i="184"/>
  <c r="H169" i="191" s="1"/>
  <c r="K106" i="191"/>
  <c r="I106" i="191"/>
  <c r="J106" i="191" s="1"/>
  <c r="H174" i="184"/>
  <c r="K107" i="191"/>
  <c r="I107" i="191"/>
  <c r="J107" i="191" s="1"/>
  <c r="K41" i="191"/>
  <c r="K40" i="191" s="1"/>
  <c r="H40" i="191"/>
  <c r="I41" i="191"/>
  <c r="K57" i="191"/>
  <c r="G57" i="191"/>
  <c r="I57" i="191" s="1"/>
  <c r="K24" i="191"/>
  <c r="I24" i="191"/>
  <c r="J24" i="191" s="1"/>
  <c r="K167" i="191"/>
  <c r="G167" i="191"/>
  <c r="I167" i="191" s="1"/>
  <c r="J167" i="191" s="1"/>
  <c r="J36" i="191"/>
  <c r="J33" i="191" s="1"/>
  <c r="I33" i="191"/>
  <c r="G19" i="186"/>
  <c r="H19" i="186"/>
  <c r="C11" i="192"/>
  <c r="K188" i="191"/>
  <c r="H26" i="191"/>
  <c r="H44" i="184"/>
  <c r="H43" i="184" s="1"/>
  <c r="H39" i="184" s="1"/>
  <c r="K80" i="191"/>
  <c r="I80" i="191"/>
  <c r="D37" i="186"/>
  <c r="G37" i="186" s="1"/>
  <c r="G188" i="184"/>
  <c r="K84" i="191"/>
  <c r="I84" i="191"/>
  <c r="J84" i="191" s="1"/>
  <c r="H44" i="191"/>
  <c r="H62" i="184"/>
  <c r="H58" i="184" s="1"/>
  <c r="H62" i="191"/>
  <c r="H83" i="184"/>
  <c r="H82" i="184" s="1"/>
  <c r="H71" i="191"/>
  <c r="H92" i="184"/>
  <c r="I203" i="191"/>
  <c r="K68" i="191"/>
  <c r="I68" i="191"/>
  <c r="J68" i="191" s="1"/>
  <c r="H31" i="191"/>
  <c r="H30" i="191" s="1"/>
  <c r="K32" i="191"/>
  <c r="K31" i="191" s="1"/>
  <c r="K30" i="191" s="1"/>
  <c r="I32" i="191"/>
  <c r="K93" i="191"/>
  <c r="I93" i="191"/>
  <c r="J93" i="191" s="1"/>
  <c r="K43" i="191"/>
  <c r="I43" i="191"/>
  <c r="J43" i="191" s="1"/>
  <c r="K122" i="191"/>
  <c r="K121" i="191" s="1"/>
  <c r="K120" i="191" s="1"/>
  <c r="I122" i="191"/>
  <c r="H121" i="191"/>
  <c r="H120" i="191" s="1"/>
  <c r="J150" i="191"/>
  <c r="J149" i="191" s="1"/>
  <c r="I149" i="191"/>
  <c r="H90" i="184"/>
  <c r="K78" i="191"/>
  <c r="I78" i="191"/>
  <c r="J78" i="191" s="1"/>
  <c r="H92" i="191"/>
  <c r="H75" i="191"/>
  <c r="H96" i="184"/>
  <c r="H95" i="184" s="1"/>
  <c r="H102" i="184"/>
  <c r="H100" i="184" s="1"/>
  <c r="H81" i="191"/>
  <c r="H48" i="191"/>
  <c r="H70" i="184"/>
  <c r="H69" i="184" s="1"/>
  <c r="G186" i="184"/>
  <c r="H184" i="184"/>
  <c r="H165" i="191" s="1"/>
  <c r="G197" i="184"/>
  <c r="H196" i="184"/>
  <c r="H171" i="191" s="1"/>
  <c r="K70" i="191"/>
  <c r="H69" i="191"/>
  <c r="I70" i="191"/>
  <c r="H112" i="184"/>
  <c r="K100" i="191"/>
  <c r="I100" i="191"/>
  <c r="J100" i="191" s="1"/>
  <c r="H98" i="184" l="1"/>
  <c r="H97" i="184" s="1"/>
  <c r="H77" i="191"/>
  <c r="H136" i="184"/>
  <c r="H132" i="184" s="1"/>
  <c r="H130" i="184" s="1"/>
  <c r="H116" i="191"/>
  <c r="K44" i="191"/>
  <c r="I44" i="191"/>
  <c r="J44" i="191" s="1"/>
  <c r="K39" i="191"/>
  <c r="G192" i="184"/>
  <c r="D38" i="186"/>
  <c r="G38" i="186" s="1"/>
  <c r="H83" i="191"/>
  <c r="H104" i="184"/>
  <c r="H103" i="184" s="1"/>
  <c r="J70" i="191"/>
  <c r="K48" i="191"/>
  <c r="K47" i="191" s="1"/>
  <c r="H47" i="191"/>
  <c r="I48" i="191"/>
  <c r="J80" i="191"/>
  <c r="K81" i="191"/>
  <c r="I81" i="191"/>
  <c r="J81" i="191" s="1"/>
  <c r="H79" i="191"/>
  <c r="H155" i="191"/>
  <c r="H173" i="184"/>
  <c r="K171" i="191"/>
  <c r="G171" i="191"/>
  <c r="I171" i="191" s="1"/>
  <c r="J171" i="191" s="1"/>
  <c r="H77" i="184"/>
  <c r="H56" i="191"/>
  <c r="K62" i="191"/>
  <c r="K61" i="191" s="1"/>
  <c r="H61" i="191"/>
  <c r="I62" i="191"/>
  <c r="E11" i="192"/>
  <c r="J11" i="192"/>
  <c r="K71" i="191"/>
  <c r="K69" i="191" s="1"/>
  <c r="I71" i="191"/>
  <c r="J71" i="191" s="1"/>
  <c r="K79" i="191"/>
  <c r="H87" i="191"/>
  <c r="H107" i="184"/>
  <c r="H106" i="184" s="1"/>
  <c r="I31" i="191"/>
  <c r="I30" i="191" s="1"/>
  <c r="J32" i="191"/>
  <c r="J31" i="191" s="1"/>
  <c r="J30" i="191" s="1"/>
  <c r="J57" i="191"/>
  <c r="G165" i="191"/>
  <c r="I165" i="191" s="1"/>
  <c r="J165" i="191" s="1"/>
  <c r="K165" i="191"/>
  <c r="J122" i="191"/>
  <c r="J121" i="191" s="1"/>
  <c r="J120" i="191" s="1"/>
  <c r="I121" i="191"/>
  <c r="I120" i="191" s="1"/>
  <c r="I40" i="191"/>
  <c r="J41" i="191"/>
  <c r="J40" i="191" s="1"/>
  <c r="H88" i="184"/>
  <c r="H87" i="184" s="1"/>
  <c r="H81" i="184" s="1"/>
  <c r="H67" i="191"/>
  <c r="D39" i="186"/>
  <c r="G39" i="186" s="1"/>
  <c r="G196" i="184"/>
  <c r="H74" i="191"/>
  <c r="K75" i="191"/>
  <c r="K74" i="191" s="1"/>
  <c r="I75" i="191"/>
  <c r="D14" i="186"/>
  <c r="G184" i="184"/>
  <c r="K92" i="191"/>
  <c r="I92" i="191"/>
  <c r="H25" i="191"/>
  <c r="H23" i="191" s="1"/>
  <c r="K26" i="191"/>
  <c r="K25" i="191" s="1"/>
  <c r="K23" i="191" s="1"/>
  <c r="I26" i="191"/>
  <c r="H39" i="191"/>
  <c r="K169" i="191"/>
  <c r="G169" i="191"/>
  <c r="I169" i="191" s="1"/>
  <c r="J169" i="191" s="1"/>
  <c r="J79" i="191" l="1"/>
  <c r="I79" i="191"/>
  <c r="I39" i="191"/>
  <c r="H82" i="191"/>
  <c r="K83" i="191"/>
  <c r="K82" i="191" s="1"/>
  <c r="I83" i="191"/>
  <c r="K155" i="191"/>
  <c r="K154" i="191" s="1"/>
  <c r="I155" i="191"/>
  <c r="H154" i="191"/>
  <c r="K87" i="191"/>
  <c r="K86" i="191" s="1"/>
  <c r="H86" i="191"/>
  <c r="I87" i="191"/>
  <c r="J48" i="191"/>
  <c r="J47" i="191" s="1"/>
  <c r="I47" i="191"/>
  <c r="K67" i="191"/>
  <c r="K66" i="191" s="1"/>
  <c r="H66" i="191"/>
  <c r="I67" i="191"/>
  <c r="G56" i="191"/>
  <c r="H55" i="191"/>
  <c r="K56" i="191"/>
  <c r="K55" i="191" s="1"/>
  <c r="H76" i="191"/>
  <c r="K77" i="191"/>
  <c r="K76" i="191" s="1"/>
  <c r="I77" i="191"/>
  <c r="J92" i="191"/>
  <c r="J62" i="191"/>
  <c r="J61" i="191" s="1"/>
  <c r="I61" i="191"/>
  <c r="G14" i="186"/>
  <c r="H13" i="186"/>
  <c r="C10" i="192"/>
  <c r="J26" i="191"/>
  <c r="J25" i="191" s="1"/>
  <c r="J23" i="191" s="1"/>
  <c r="I25" i="191"/>
  <c r="I23" i="191" s="1"/>
  <c r="J75" i="191"/>
  <c r="J74" i="191" s="1"/>
  <c r="I74" i="191"/>
  <c r="H76" i="184"/>
  <c r="G77" i="184"/>
  <c r="I69" i="191"/>
  <c r="J39" i="191"/>
  <c r="J69" i="191"/>
  <c r="K116" i="191"/>
  <c r="K112" i="191" s="1"/>
  <c r="K110" i="191" s="1"/>
  <c r="H112" i="191"/>
  <c r="H110" i="191" s="1"/>
  <c r="I116" i="191"/>
  <c r="H94" i="191"/>
  <c r="H114" i="184"/>
  <c r="H111" i="184" s="1"/>
  <c r="K60" i="191" l="1"/>
  <c r="H60" i="191"/>
  <c r="J10" i="192"/>
  <c r="E10" i="192"/>
  <c r="E12" i="192" s="1"/>
  <c r="J155" i="191"/>
  <c r="J154" i="191" s="1"/>
  <c r="I154" i="191"/>
  <c r="H201" i="191"/>
  <c r="K201" i="191" s="1"/>
  <c r="H230" i="184"/>
  <c r="G230" i="184" s="1"/>
  <c r="G201" i="191" s="1"/>
  <c r="H233" i="184"/>
  <c r="G233" i="184" s="1"/>
  <c r="G204" i="191" s="1"/>
  <c r="H204" i="191"/>
  <c r="K204" i="191" s="1"/>
  <c r="J87" i="191"/>
  <c r="J86" i="191" s="1"/>
  <c r="I86" i="191"/>
  <c r="J83" i="191"/>
  <c r="J82" i="191" s="1"/>
  <c r="I82" i="191"/>
  <c r="J116" i="191"/>
  <c r="J112" i="191" s="1"/>
  <c r="J110" i="191" s="1"/>
  <c r="I112" i="191"/>
  <c r="I110" i="191" s="1"/>
  <c r="I56" i="191"/>
  <c r="G55" i="191"/>
  <c r="H202" i="191"/>
  <c r="K202" i="191" s="1"/>
  <c r="H231" i="184"/>
  <c r="G231" i="184" s="1"/>
  <c r="G202" i="191" s="1"/>
  <c r="J67" i="191"/>
  <c r="J66" i="191" s="1"/>
  <c r="I66" i="191"/>
  <c r="H234" i="184"/>
  <c r="G234" i="184" s="1"/>
  <c r="G205" i="191" s="1"/>
  <c r="H205" i="191"/>
  <c r="K205" i="191" s="1"/>
  <c r="K94" i="191"/>
  <c r="K91" i="191" s="1"/>
  <c r="I94" i="191"/>
  <c r="H91" i="191"/>
  <c r="G76" i="184"/>
  <c r="D26" i="186"/>
  <c r="J77" i="191"/>
  <c r="J76" i="191" s="1"/>
  <c r="I76" i="191"/>
  <c r="I60" i="191" l="1"/>
  <c r="G26" i="186"/>
  <c r="G51" i="186" s="1"/>
  <c r="H25" i="186"/>
  <c r="J56" i="191"/>
  <c r="J55" i="191" s="1"/>
  <c r="J213" i="191" s="1"/>
  <c r="I55" i="191"/>
  <c r="J60" i="191"/>
  <c r="I205" i="191"/>
  <c r="I204" i="191"/>
  <c r="J94" i="191"/>
  <c r="J91" i="191" s="1"/>
  <c r="J214" i="191" s="1"/>
  <c r="I91" i="191"/>
  <c r="I202" i="191"/>
  <c r="I201" i="191"/>
  <c r="H200" i="191" l="1"/>
  <c r="H229" i="184"/>
  <c r="G229" i="184" l="1"/>
  <c r="H228" i="184"/>
  <c r="H257" i="184" s="1"/>
  <c r="K200" i="191"/>
  <c r="K199" i="191" s="1"/>
  <c r="H199" i="191"/>
  <c r="G200" i="191" l="1"/>
  <c r="G228" i="184"/>
  <c r="D50" i="186" s="1"/>
  <c r="G199" i="191" l="1"/>
  <c r="I200" i="191"/>
  <c r="I199" i="191" s="1"/>
  <c r="H196" i="191" l="1"/>
  <c r="H225" i="184"/>
  <c r="H261" i="184" l="1"/>
  <c r="H263" i="184" s="1"/>
  <c r="H265" i="184" s="1"/>
  <c r="H223" i="184"/>
  <c r="H242" i="184" s="1"/>
  <c r="G225" i="184"/>
  <c r="K196" i="191"/>
  <c r="K194" i="191" s="1"/>
  <c r="K212" i="191" s="1"/>
  <c r="H194" i="191"/>
  <c r="H212" i="191" s="1"/>
  <c r="G196" i="191"/>
  <c r="G194" i="191" l="1"/>
  <c r="G212" i="191" s="1"/>
  <c r="G214" i="191" s="1"/>
  <c r="G216" i="191" s="1"/>
  <c r="I196" i="191"/>
  <c r="G223" i="184"/>
  <c r="G242" i="184" s="1"/>
  <c r="G244" i="184" s="1"/>
  <c r="D48" i="186"/>
  <c r="K242" i="184"/>
  <c r="G248" i="184"/>
  <c r="G252" i="184"/>
  <c r="G250" i="184"/>
  <c r="G249" i="184"/>
  <c r="G253" i="184"/>
  <c r="G218" i="191"/>
  <c r="G220" i="191"/>
  <c r="G223" i="191"/>
  <c r="G222" i="191"/>
  <c r="G219" i="191"/>
  <c r="H42" i="186" l="1"/>
  <c r="H51" i="186" s="1"/>
  <c r="D51" i="186"/>
  <c r="D52" i="186" s="1"/>
  <c r="G246" i="184"/>
  <c r="G225" i="191"/>
  <c r="J196" i="191"/>
  <c r="J194" i="191" s="1"/>
  <c r="J215" i="191" s="1"/>
  <c r="I194" i="191"/>
  <c r="I212" i="191" s="1"/>
  <c r="G254" i="184"/>
</calcChain>
</file>

<file path=xl/sharedStrings.xml><?xml version="1.0" encoding="utf-8"?>
<sst xmlns="http://schemas.openxmlformats.org/spreadsheetml/2006/main" count="10689" uniqueCount="3856">
  <si>
    <t>ITEM</t>
  </si>
  <si>
    <t xml:space="preserve">Mendes Júnior Tranding e Engenharia SA </t>
  </si>
  <si>
    <t>Tabuleiros Litorâneos de Parnaíba - 2ª  Etapa</t>
  </si>
  <si>
    <t>BOLETIM DE MEDIÇÃO</t>
  </si>
  <si>
    <t>DEPARTAMENTO NACIONAL DE OBRAS CONTRA AS SECAS</t>
  </si>
  <si>
    <t>COMISSÃO DE FISCALIZAÇÃO:</t>
  </si>
  <si>
    <t>OBRA:</t>
  </si>
  <si>
    <t>PROJETO:</t>
  </si>
  <si>
    <t>CONTRATO:</t>
  </si>
  <si>
    <t>CONTRATADA:</t>
  </si>
  <si>
    <t>VALOR:</t>
  </si>
  <si>
    <t>UNID.</t>
  </si>
  <si>
    <t>UNITÁRIO</t>
  </si>
  <si>
    <t>PERÍODO</t>
  </si>
  <si>
    <t>1.</t>
  </si>
  <si>
    <t>1.1</t>
  </si>
  <si>
    <t>1.2</t>
  </si>
  <si>
    <t>1.3</t>
  </si>
  <si>
    <t>1.4</t>
  </si>
  <si>
    <t>2.</t>
  </si>
  <si>
    <t>2.1</t>
  </si>
  <si>
    <t>2.2</t>
  </si>
  <si>
    <t>3.</t>
  </si>
  <si>
    <t>3.1</t>
  </si>
  <si>
    <t>3.2</t>
  </si>
  <si>
    <t>3.2.1</t>
  </si>
  <si>
    <t>3.2.2</t>
  </si>
  <si>
    <t>4.</t>
  </si>
  <si>
    <t>4.1</t>
  </si>
  <si>
    <t>4.1.1</t>
  </si>
  <si>
    <t>4.2</t>
  </si>
  <si>
    <t>4.2.1</t>
  </si>
  <si>
    <t>4.2.2</t>
  </si>
  <si>
    <t>4.2.3</t>
  </si>
  <si>
    <t>5.</t>
  </si>
  <si>
    <t>5.1</t>
  </si>
  <si>
    <t>5.1.1</t>
  </si>
  <si>
    <t>5.2</t>
  </si>
  <si>
    <t>5.3</t>
  </si>
  <si>
    <t>5.3.1</t>
  </si>
  <si>
    <t>5.3.2</t>
  </si>
  <si>
    <t>5.3.3</t>
  </si>
  <si>
    <t>5.3.4</t>
  </si>
  <si>
    <t>5.4</t>
  </si>
  <si>
    <t>6.</t>
  </si>
  <si>
    <t>6.1</t>
  </si>
  <si>
    <t>6.2</t>
  </si>
  <si>
    <t>6.2.1</t>
  </si>
  <si>
    <t>6.2.2</t>
  </si>
  <si>
    <t>6.2.3</t>
  </si>
  <si>
    <t>7.</t>
  </si>
  <si>
    <t>7.1</t>
  </si>
  <si>
    <t>7.2</t>
  </si>
  <si>
    <t>8.</t>
  </si>
  <si>
    <t>8.1</t>
  </si>
  <si>
    <t>8.1.1</t>
  </si>
  <si>
    <t>8.1.1.1</t>
  </si>
  <si>
    <t>8.1.1.2</t>
  </si>
  <si>
    <t>8.1.1.3</t>
  </si>
  <si>
    <t>8.1.1.4</t>
  </si>
  <si>
    <t>8.1.1.5</t>
  </si>
  <si>
    <t>8.1.1.6</t>
  </si>
  <si>
    <t>8.1.1.7</t>
  </si>
  <si>
    <t>8.1.1.8</t>
  </si>
  <si>
    <t>8.1.1.9</t>
  </si>
  <si>
    <t>8.1.1.10</t>
  </si>
  <si>
    <t>8.1.1.11</t>
  </si>
  <si>
    <t>8.1.1.12</t>
  </si>
  <si>
    <t>8.1.1.13</t>
  </si>
  <si>
    <t>8.1.1.14</t>
  </si>
  <si>
    <t>8.1.1.15</t>
  </si>
  <si>
    <t>8.1.1.16</t>
  </si>
  <si>
    <t>8.1.1.17</t>
  </si>
  <si>
    <t>8.1.1.18</t>
  </si>
  <si>
    <t>8.1.1.19</t>
  </si>
  <si>
    <t>8.1.2</t>
  </si>
  <si>
    <t>8.1.2.1</t>
  </si>
  <si>
    <t>8.1.2.2</t>
  </si>
  <si>
    <t>8.1.2.3</t>
  </si>
  <si>
    <t>8.1.2.4</t>
  </si>
  <si>
    <t>8.1.3</t>
  </si>
  <si>
    <t>8.1.3.1</t>
  </si>
  <si>
    <t>8.1.3.2</t>
  </si>
  <si>
    <t>8.1.3.3</t>
  </si>
  <si>
    <t>8.1.3.4</t>
  </si>
  <si>
    <t>8.1.3.5</t>
  </si>
  <si>
    <t>8.1.3.6</t>
  </si>
  <si>
    <t>8.1.3.7</t>
  </si>
  <si>
    <t>8.1.3.8</t>
  </si>
  <si>
    <t>8.1.3.9</t>
  </si>
  <si>
    <t>8.1.4</t>
  </si>
  <si>
    <t>8.1.4.1</t>
  </si>
  <si>
    <t>8.1.4.2</t>
  </si>
  <si>
    <t>8.1.4.3</t>
  </si>
  <si>
    <t>8.1.4.4</t>
  </si>
  <si>
    <t>8.1.4.5</t>
  </si>
  <si>
    <t>8.1.4.6</t>
  </si>
  <si>
    <t>8.1.4.7</t>
  </si>
  <si>
    <t>8.2</t>
  </si>
  <si>
    <t>8.2.1</t>
  </si>
  <si>
    <t>8.2.1.1</t>
  </si>
  <si>
    <t>8.2.1.2</t>
  </si>
  <si>
    <t>8.2.1.3</t>
  </si>
  <si>
    <t>8.2.1.4</t>
  </si>
  <si>
    <t>8.2.1.5</t>
  </si>
  <si>
    <t>8.2.1.6</t>
  </si>
  <si>
    <t>8.2.1.7</t>
  </si>
  <si>
    <t>8.2.1.8</t>
  </si>
  <si>
    <t>8.2.1.9</t>
  </si>
  <si>
    <t>8.2.1.10</t>
  </si>
  <si>
    <t>8.2.1.11</t>
  </si>
  <si>
    <t>8.2.1.12</t>
  </si>
  <si>
    <t>8.2.1.13</t>
  </si>
  <si>
    <t>8.2.1.14</t>
  </si>
  <si>
    <t>8.2.1.15</t>
  </si>
  <si>
    <t>8.2.1.16</t>
  </si>
  <si>
    <t>8.2.1.17</t>
  </si>
  <si>
    <t>8.2.1.18</t>
  </si>
  <si>
    <t>8.2.1.19</t>
  </si>
  <si>
    <t>8.2.1.20</t>
  </si>
  <si>
    <t>8.2.1.21</t>
  </si>
  <si>
    <t>8.2.2</t>
  </si>
  <si>
    <t>8.2.2.1</t>
  </si>
  <si>
    <t>8.2.2.2</t>
  </si>
  <si>
    <t>8.2.2.3</t>
  </si>
  <si>
    <t>8.2.2.4</t>
  </si>
  <si>
    <t>8.2.2.5</t>
  </si>
  <si>
    <t>8.3</t>
  </si>
  <si>
    <t>8.3.1</t>
  </si>
  <si>
    <t>8.3.1.1</t>
  </si>
  <si>
    <t>8.3.1.2</t>
  </si>
  <si>
    <t>8.3.1.3</t>
  </si>
  <si>
    <t>8.3.1.4</t>
  </si>
  <si>
    <t>8.3.1.5</t>
  </si>
  <si>
    <t>8.3.1.6</t>
  </si>
  <si>
    <t>8.3.1.7</t>
  </si>
  <si>
    <t>8.3.1.8</t>
  </si>
  <si>
    <t>8.3.1.9</t>
  </si>
  <si>
    <t>8.3.1.10</t>
  </si>
  <si>
    <t>8.3.1.11</t>
  </si>
  <si>
    <t>8.3.1.12</t>
  </si>
  <si>
    <t>8.3.1.13</t>
  </si>
  <si>
    <t>8.3.1.14</t>
  </si>
  <si>
    <t>8.3.1.15</t>
  </si>
  <si>
    <t>8.3.1.16</t>
  </si>
  <si>
    <t>8.3.1.17</t>
  </si>
  <si>
    <t>8.3.1.18</t>
  </si>
  <si>
    <t>8.3.1.19</t>
  </si>
  <si>
    <t>8.3.1.20</t>
  </si>
  <si>
    <t>8.3.1.21</t>
  </si>
  <si>
    <t>8.3.1.22</t>
  </si>
  <si>
    <t>8.3.1.23</t>
  </si>
  <si>
    <t>8.3.1.24</t>
  </si>
  <si>
    <t>8.3.1.25</t>
  </si>
  <si>
    <t>8.3.1.26</t>
  </si>
  <si>
    <t>8.3.1.27</t>
  </si>
  <si>
    <t>8.3.1.28</t>
  </si>
  <si>
    <t>8.3.1.29</t>
  </si>
  <si>
    <t>8.3.1.30</t>
  </si>
  <si>
    <t>8.3.1.31</t>
  </si>
  <si>
    <t>8.3.2</t>
  </si>
  <si>
    <t>8.3.2.1</t>
  </si>
  <si>
    <t>8.3.2.2</t>
  </si>
  <si>
    <t>8.3.2.3</t>
  </si>
  <si>
    <t>8.3.2.4</t>
  </si>
  <si>
    <t>8.3.2.5</t>
  </si>
  <si>
    <t>8.3.2.6</t>
  </si>
  <si>
    <t>8.3.2.7</t>
  </si>
  <si>
    <t>8.3.2.8</t>
  </si>
  <si>
    <t>8.3.2.9</t>
  </si>
  <si>
    <t>8.3.2.10</t>
  </si>
  <si>
    <t>8.3.3</t>
  </si>
  <si>
    <t>8.3.3.1</t>
  </si>
  <si>
    <t>8.3.3.2</t>
  </si>
  <si>
    <t>8.3.3.3</t>
  </si>
  <si>
    <t>8.3.3.4</t>
  </si>
  <si>
    <t>8.3.3.5</t>
  </si>
  <si>
    <t>8.3.3.6</t>
  </si>
  <si>
    <t>8.3.3.7</t>
  </si>
  <si>
    <t>8.3.3.8</t>
  </si>
  <si>
    <t>8.3.3.9</t>
  </si>
  <si>
    <t>8.3.3.10</t>
  </si>
  <si>
    <t>8.3.4</t>
  </si>
  <si>
    <t>8.3.4.1</t>
  </si>
  <si>
    <t>8.3.4.2</t>
  </si>
  <si>
    <t>8.3.4.3</t>
  </si>
  <si>
    <t>8.4</t>
  </si>
  <si>
    <t>8.4.1</t>
  </si>
  <si>
    <t>8.4.1.1</t>
  </si>
  <si>
    <t>8.4.1.2</t>
  </si>
  <si>
    <t>8.4.1.3</t>
  </si>
  <si>
    <t>8.4.1.4</t>
  </si>
  <si>
    <t>8.4.1.5</t>
  </si>
  <si>
    <t>8.4.1.6</t>
  </si>
  <si>
    <t>8.4.1.7</t>
  </si>
  <si>
    <t>8.4.1.8</t>
  </si>
  <si>
    <t>8.4.1.9</t>
  </si>
  <si>
    <t>8.4.1.10</t>
  </si>
  <si>
    <t>8.4.1.11</t>
  </si>
  <si>
    <t>8.4.1.12</t>
  </si>
  <si>
    <t>8.4.1.13</t>
  </si>
  <si>
    <t>8.4.1.14</t>
  </si>
  <si>
    <t>8.4.1.15</t>
  </si>
  <si>
    <t>8.4.1.16</t>
  </si>
  <si>
    <t>8.4.1.17</t>
  </si>
  <si>
    <t>8.4.1.18</t>
  </si>
  <si>
    <t>8.5</t>
  </si>
  <si>
    <t>8.5.1</t>
  </si>
  <si>
    <t>8.5.1.1</t>
  </si>
  <si>
    <t>8.5.1.2</t>
  </si>
  <si>
    <t>8.5.1.3</t>
  </si>
  <si>
    <t>8.5.1.4</t>
  </si>
  <si>
    <t>8.5.1.5</t>
  </si>
  <si>
    <t>8.5.1.6</t>
  </si>
  <si>
    <t>8.5.1.7</t>
  </si>
  <si>
    <t>8.5.1.8</t>
  </si>
  <si>
    <t>8.5.1.9</t>
  </si>
  <si>
    <t>8.5.1.10</t>
  </si>
  <si>
    <t>8.5.1.11</t>
  </si>
  <si>
    <t>8.5.1.12</t>
  </si>
  <si>
    <t>8.5.1.13</t>
  </si>
  <si>
    <t>8.5.1.14</t>
  </si>
  <si>
    <t>8.5.2</t>
  </si>
  <si>
    <t>8.5.2.1</t>
  </si>
  <si>
    <t>8.5.2.2</t>
  </si>
  <si>
    <t>8.5.2.3</t>
  </si>
  <si>
    <t>8.5.2.4</t>
  </si>
  <si>
    <t>8.6</t>
  </si>
  <si>
    <t>8.6.1</t>
  </si>
  <si>
    <t>8.6.1.1</t>
  </si>
  <si>
    <t>8.6.1.2</t>
  </si>
  <si>
    <t>8.6.1.3</t>
  </si>
  <si>
    <t>8.6.1.4</t>
  </si>
  <si>
    <t>8.6.1.5</t>
  </si>
  <si>
    <t>8.6.1.6</t>
  </si>
  <si>
    <t>8.6.1.7</t>
  </si>
  <si>
    <t>8.6.1.8</t>
  </si>
  <si>
    <t>8.6.1.9</t>
  </si>
  <si>
    <t>8.6.1.10</t>
  </si>
  <si>
    <t>8.6.1.11</t>
  </si>
  <si>
    <t>8.6.1.12</t>
  </si>
  <si>
    <t>8.6.1.13</t>
  </si>
  <si>
    <t>8.6.2</t>
  </si>
  <si>
    <t>8.6.2.1</t>
  </si>
  <si>
    <t>8.6.2.2</t>
  </si>
  <si>
    <t>8.6.2.3</t>
  </si>
  <si>
    <t>8.6.2.4</t>
  </si>
  <si>
    <t>8.6.2.5</t>
  </si>
  <si>
    <t>8.6.2.6</t>
  </si>
  <si>
    <t>8.6.2.7</t>
  </si>
  <si>
    <t>8.6.2.8</t>
  </si>
  <si>
    <t>8.6.2.9</t>
  </si>
  <si>
    <t>8.6.2.10</t>
  </si>
  <si>
    <t>8.6.2.11</t>
  </si>
  <si>
    <t>8.6.2.12</t>
  </si>
  <si>
    <t>8.7</t>
  </si>
  <si>
    <t>8.7.1</t>
  </si>
  <si>
    <t>8.7.1.1</t>
  </si>
  <si>
    <t>8.7.1.2</t>
  </si>
  <si>
    <t>8.7.1.3</t>
  </si>
  <si>
    <t>8.7.1.4</t>
  </si>
  <si>
    <t>8.7.1.5</t>
  </si>
  <si>
    <t>8.7.1.6</t>
  </si>
  <si>
    <t>8.7.1.7</t>
  </si>
  <si>
    <t>8.7.1.8</t>
  </si>
  <si>
    <t>8.7.1.9</t>
  </si>
  <si>
    <t>8.7.1.10</t>
  </si>
  <si>
    <t>8.7.1.11</t>
  </si>
  <si>
    <t>8.7.1.12</t>
  </si>
  <si>
    <t>8.7.1.13</t>
  </si>
  <si>
    <t>8.7.1.14</t>
  </si>
  <si>
    <t>8.7.1.15</t>
  </si>
  <si>
    <t>8.7.1.16</t>
  </si>
  <si>
    <t>8.7.1.17</t>
  </si>
  <si>
    <t>8.7.1.18</t>
  </si>
  <si>
    <t>8.7.2</t>
  </si>
  <si>
    <t>8.7.2.1</t>
  </si>
  <si>
    <t>8.7.2.2</t>
  </si>
  <si>
    <t>8.7.2.3</t>
  </si>
  <si>
    <t>8.7.2.4</t>
  </si>
  <si>
    <t>8.7.2.5</t>
  </si>
  <si>
    <t>8.7.2.6</t>
  </si>
  <si>
    <t>8.7.2.7</t>
  </si>
  <si>
    <t>8.7.2.8</t>
  </si>
  <si>
    <t>8.7.2.9</t>
  </si>
  <si>
    <t>9.1</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</si>
  <si>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</si>
  <si>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</si>
  <si>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</si>
  <si>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</si>
  <si>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</si>
  <si>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</si>
  <si>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</si>
  <si>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</si>
  <si>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</si>
  <si>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</si>
  <si>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</si>
  <si>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</si>
  <si>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</si>
  <si>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</si>
  <si>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</si>
  <si>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</si>
  <si>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</si>
  <si>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</si>
  <si>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</si>
  <si>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</si>
  <si>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</si>
  <si>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</si>
  <si>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</si>
  <si>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</si>
  <si>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</si>
  <si>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</si>
  <si>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</si>
  <si>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</si>
  <si>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</si>
  <si>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</si>
  <si>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</si>
  <si>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</si>
  <si>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</si>
  <si>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</si>
  <si>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</si>
  <si>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</si>
  <si>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</si>
  <si>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</si>
  <si>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</si>
  <si>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</si>
  <si>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</si>
  <si>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</si>
  <si>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</si>
  <si>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</si>
  <si>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</si>
  <si>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</si>
  <si>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</si>
  <si>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</si>
  <si>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</si>
  <si>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</si>
  <si>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</si>
  <si>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</si>
  <si>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</si>
  <si>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</si>
  <si>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</si>
  <si>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</si>
  <si>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</si>
  <si>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</si>
  <si>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</si>
  <si>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</si>
  <si>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</si>
  <si>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</si>
  <si>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</si>
  <si>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</si>
  <si>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</si>
  <si>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</si>
  <si>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</si>
  <si>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</si>
  <si>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</si>
  <si>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</si>
  <si>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</si>
  <si>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</si>
  <si>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</si>
  <si>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</si>
  <si>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</si>
  <si>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</si>
  <si>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</si>
  <si>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</si>
  <si>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</si>
  <si>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</si>
  <si>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</si>
  <si>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</si>
  <si>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</si>
  <si>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</si>
  <si>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9.1.84.1</t>
  </si>
  <si>
    <t>9.1.84.2</t>
  </si>
  <si>
    <t>9.1.84.3</t>
  </si>
  <si>
    <t>9.1.84.4</t>
  </si>
  <si>
    <t>9.1.84.5</t>
  </si>
  <si>
    <t>9.1.85</t>
  </si>
  <si>
    <t>9.1.86</t>
  </si>
  <si>
    <t>9.1.87</t>
  </si>
  <si>
    <t>9.1.88</t>
  </si>
  <si>
    <t>9.1.89</t>
  </si>
  <si>
    <t>9.1.90</t>
  </si>
  <si>
    <t>9.1.91</t>
  </si>
  <si>
    <t>9.1.92</t>
  </si>
  <si>
    <t>9.1.93</t>
  </si>
  <si>
    <t>9.1.94</t>
  </si>
  <si>
    <t>9.1.95</t>
  </si>
  <si>
    <t>9.1.96</t>
  </si>
  <si>
    <t>9.1.97</t>
  </si>
  <si>
    <t>9.1.98</t>
  </si>
  <si>
    <t>9.1.99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</si>
  <si>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</si>
  <si>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</si>
  <si>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</si>
  <si>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</si>
  <si>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</si>
  <si>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</si>
  <si>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</si>
  <si>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</si>
  <si>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</si>
  <si>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</si>
  <si>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</si>
  <si>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</si>
  <si>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</si>
  <si>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</si>
  <si>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</si>
  <si>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</si>
  <si>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</si>
  <si>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</si>
  <si>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</si>
  <si>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</si>
  <si>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</si>
  <si>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9.1.121</t>
  </si>
  <si>
    <t>9.1.122</t>
  </si>
  <si>
    <t>9.1.123</t>
  </si>
  <si>
    <t>9.1.124</t>
  </si>
  <si>
    <t>9.1.125</t>
  </si>
  <si>
    <t>9.1.126</t>
  </si>
  <si>
    <t>9.1.127</t>
  </si>
  <si>
    <t>9.1.128</t>
  </si>
  <si>
    <t>9.1.129</t>
  </si>
  <si>
    <t>9.1.130</t>
  </si>
  <si>
    <t>9.1.131</t>
  </si>
  <si>
    <t>9.1.132</t>
  </si>
  <si>
    <t>9.1.133</t>
  </si>
  <si>
    <t>9.1.134</t>
  </si>
  <si>
    <t>9.1.135</t>
  </si>
  <si>
    <t>9.1.136</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</si>
  <si>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</si>
  <si>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</si>
  <si>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</si>
  <si>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</si>
  <si>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</si>
  <si>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</si>
  <si>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</si>
  <si>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</si>
  <si>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</si>
  <si>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</si>
  <si>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</si>
  <si>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</si>
  <si>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</si>
  <si>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</si>
  <si>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</si>
  <si>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</si>
  <si>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</si>
  <si>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</si>
  <si>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</si>
  <si>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</si>
  <si>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</si>
  <si>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</si>
  <si>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</si>
  <si>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</si>
  <si>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9.1.161</t>
  </si>
  <si>
    <t>9.1.162</t>
  </si>
  <si>
    <t>9.1.163</t>
  </si>
  <si>
    <t>9.1.164</t>
  </si>
  <si>
    <t>9.1.165</t>
  </si>
  <si>
    <t>9.1.166</t>
  </si>
  <si>
    <t>9.1.167</t>
  </si>
  <si>
    <t>9.1.168</t>
  </si>
  <si>
    <t>9.1.169</t>
  </si>
  <si>
    <t>9.1.170</t>
  </si>
  <si>
    <t>9.1.171</t>
  </si>
  <si>
    <t>9.1.172</t>
  </si>
  <si>
    <t>9.1.173</t>
  </si>
  <si>
    <t>9.1.174</t>
  </si>
  <si>
    <t>9.1.175</t>
  </si>
  <si>
    <t>9.1.176</t>
  </si>
  <si>
    <t>9.1.177</t>
  </si>
  <si>
    <t>9.1.178</t>
  </si>
  <si>
    <t>9.1.179</t>
  </si>
  <si>
    <t>9.1.180</t>
  </si>
  <si>
    <t>9.1.181</t>
  </si>
  <si>
    <t>9.1.182</t>
  </si>
  <si>
    <t>9.1.183</t>
  </si>
  <si>
    <t>9.1.184</t>
  </si>
  <si>
    <t>9.1.185</t>
  </si>
  <si>
    <t>9.1.186</t>
  </si>
  <si>
    <t>9.1.187</t>
  </si>
  <si>
    <t>9.1.188</t>
  </si>
  <si>
    <t>9.1.189</t>
  </si>
  <si>
    <t>9.1.190</t>
  </si>
  <si>
    <t>9.1.191</t>
  </si>
  <si>
    <t>9.1.192</t>
  </si>
  <si>
    <t>9.1.193</t>
  </si>
  <si>
    <t>9.1.194</t>
  </si>
  <si>
    <t>9.1.195</t>
  </si>
  <si>
    <t>9.1.196</t>
  </si>
  <si>
    <t>9.1.197</t>
  </si>
  <si>
    <t>9.1.198</t>
  </si>
  <si>
    <t>9.1.199</t>
  </si>
  <si>
    <t>9.1.200</t>
  </si>
  <si>
    <t>9.1.201</t>
  </si>
  <si>
    <t>9.1.202</t>
  </si>
  <si>
    <t>9.1.203</t>
  </si>
  <si>
    <t>9.1.204</t>
  </si>
  <si>
    <t>9.1.205</t>
  </si>
  <si>
    <t>9.1.206</t>
  </si>
  <si>
    <t>9.1.207</t>
  </si>
  <si>
    <t>9.1.208</t>
  </si>
  <si>
    <t>9.1.209</t>
  </si>
  <si>
    <t>9.1.210</t>
  </si>
  <si>
    <t>9.1.211</t>
  </si>
  <si>
    <t>9.1.212</t>
  </si>
  <si>
    <t>9.1.213</t>
  </si>
  <si>
    <t>9.1.214</t>
  </si>
  <si>
    <t>9.1.215</t>
  </si>
  <si>
    <t>9.1.216</t>
  </si>
  <si>
    <t>9.1.217</t>
  </si>
  <si>
    <t>9.1.218</t>
  </si>
  <si>
    <t>9.1.219</t>
  </si>
  <si>
    <t>9.1.220</t>
  </si>
  <si>
    <t>9.1.221</t>
  </si>
  <si>
    <t>9.1.222</t>
  </si>
  <si>
    <t>9.1.223</t>
  </si>
  <si>
    <t>9.1.224</t>
  </si>
  <si>
    <t>9.1.225</t>
  </si>
  <si>
    <t>9.1.226</t>
  </si>
  <si>
    <t>9.1.227</t>
  </si>
  <si>
    <t>9.1.228</t>
  </si>
  <si>
    <t>9.1.229</t>
  </si>
  <si>
    <t>9.1.230</t>
  </si>
  <si>
    <t>9.1.231</t>
  </si>
  <si>
    <t>9.1.232</t>
  </si>
  <si>
    <t>9.1.233</t>
  </si>
  <si>
    <t>9.1.234</t>
  </si>
  <si>
    <t>9.1.235</t>
  </si>
  <si>
    <t>9.1.236</t>
  </si>
  <si>
    <t>9.1.237</t>
  </si>
  <si>
    <t>9.1.238</t>
  </si>
  <si>
    <t>9.1.239</t>
  </si>
  <si>
    <t>9.1.240</t>
  </si>
  <si>
    <t>9.1.241</t>
  </si>
  <si>
    <t>9.1.242</t>
  </si>
  <si>
    <t>9.1.243</t>
  </si>
  <si>
    <t>9.1.244</t>
  </si>
  <si>
    <t>9.1.245</t>
  </si>
  <si>
    <t>9.1.246</t>
  </si>
  <si>
    <t>9.1.247</t>
  </si>
  <si>
    <t>9.1.248</t>
  </si>
  <si>
    <t>9.1.249</t>
  </si>
  <si>
    <t>9.1.250</t>
  </si>
  <si>
    <t>9.1.251</t>
  </si>
  <si>
    <t>9.1.252</t>
  </si>
  <si>
    <t>9.1.253</t>
  </si>
  <si>
    <t>9.1.254</t>
  </si>
  <si>
    <t>9.1.255</t>
  </si>
  <si>
    <t>9.1.256</t>
  </si>
  <si>
    <t>9.1.257</t>
  </si>
  <si>
    <t>9.1.258</t>
  </si>
  <si>
    <t>9.1.259</t>
  </si>
  <si>
    <t>9.1.260</t>
  </si>
  <si>
    <t>9.1.261</t>
  </si>
  <si>
    <t>9.1.262</t>
  </si>
  <si>
    <t>9.1.263</t>
  </si>
  <si>
    <t>9.1.264</t>
  </si>
  <si>
    <t>9.1.265</t>
  </si>
  <si>
    <t>9.1.266</t>
  </si>
  <si>
    <t>9.1.267</t>
  </si>
  <si>
    <t>9.1.268</t>
  </si>
  <si>
    <t>9.1.269</t>
  </si>
  <si>
    <t>9.1.270</t>
  </si>
  <si>
    <t>9.1.271</t>
  </si>
  <si>
    <t>9.1.272</t>
  </si>
  <si>
    <t>9.1.273</t>
  </si>
  <si>
    <t>9.1.274</t>
  </si>
  <si>
    <t>9.1.275</t>
  </si>
  <si>
    <t>9.1.276</t>
  </si>
  <si>
    <t>9.1.277</t>
  </si>
  <si>
    <t>9.1.278</t>
  </si>
  <si>
    <t>9.1.279</t>
  </si>
  <si>
    <t>9.1.280</t>
  </si>
  <si>
    <t>9.1.281</t>
  </si>
  <si>
    <t>9.1.282</t>
  </si>
  <si>
    <t>9.1.283</t>
  </si>
  <si>
    <t>9.1.284</t>
  </si>
  <si>
    <t>9.1.285</t>
  </si>
  <si>
    <t>9.1.286</t>
  </si>
  <si>
    <t>9.1.287</t>
  </si>
  <si>
    <t>9.1.288</t>
  </si>
  <si>
    <t>9.1.289</t>
  </si>
  <si>
    <t>9.1.290</t>
  </si>
  <si>
    <t>9.1.291</t>
  </si>
  <si>
    <t>9.1.292</t>
  </si>
  <si>
    <t>9.1.293</t>
  </si>
  <si>
    <t>9.1.294</t>
  </si>
  <si>
    <t>9.2</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</si>
  <si>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</si>
  <si>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</si>
  <si>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</si>
  <si>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</si>
  <si>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</si>
  <si>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</si>
  <si>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</si>
  <si>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</si>
  <si>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</si>
  <si>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</si>
  <si>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</si>
  <si>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</si>
  <si>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</si>
  <si>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</si>
  <si>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</si>
  <si>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</si>
  <si>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</si>
  <si>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</si>
  <si>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</si>
  <si>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</si>
  <si>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</si>
  <si>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</si>
  <si>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</si>
  <si>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</si>
  <si>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</si>
  <si>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</si>
  <si>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</si>
  <si>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</si>
  <si>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</si>
  <si>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</si>
  <si>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</si>
  <si>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</si>
  <si>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</si>
  <si>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</si>
  <si>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</si>
  <si>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</si>
  <si>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</si>
  <si>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</si>
  <si>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</si>
  <si>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</si>
  <si>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</si>
  <si>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</si>
  <si>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</si>
  <si>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</si>
  <si>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9.2.44.1</t>
  </si>
  <si>
    <t>9.2.44.2</t>
  </si>
  <si>
    <t>9.2.44.3</t>
  </si>
  <si>
    <t>9.2.44.4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</si>
  <si>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</si>
  <si>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</si>
  <si>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</si>
  <si>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</si>
  <si>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</si>
  <si>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</si>
  <si>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</si>
  <si>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</si>
  <si>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</si>
  <si>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</si>
  <si>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</si>
  <si>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</si>
  <si>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</si>
  <si>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</si>
  <si>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</si>
  <si>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</si>
  <si>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</si>
  <si>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</si>
  <si>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</si>
  <si>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</si>
  <si>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</si>
  <si>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</si>
  <si>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</si>
  <si>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</si>
  <si>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</si>
  <si>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</si>
  <si>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</si>
  <si>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</si>
  <si>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</si>
  <si>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</si>
  <si>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</si>
  <si>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</si>
  <si>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</si>
  <si>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</si>
  <si>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</si>
  <si>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</si>
  <si>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</si>
  <si>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</si>
  <si>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</si>
  <si>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</si>
  <si>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</si>
  <si>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</si>
  <si>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</si>
  <si>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</si>
  <si>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</si>
  <si>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</si>
  <si>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</si>
  <si>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</si>
  <si>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</si>
  <si>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</si>
  <si>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</si>
  <si>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</si>
  <si>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</si>
  <si>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</si>
  <si>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</si>
  <si>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9.2.100</t>
  </si>
  <si>
    <t>9.2.101</t>
  </si>
  <si>
    <t>9.2.102</t>
  </si>
  <si>
    <t>9.2.103</t>
  </si>
  <si>
    <t>9.2.104</t>
  </si>
  <si>
    <t>9.2.105</t>
  </si>
  <si>
    <t>9.2.106</t>
  </si>
  <si>
    <t>9.2.107</t>
  </si>
  <si>
    <t>9.2.108</t>
  </si>
  <si>
    <t>9.2.109</t>
  </si>
  <si>
    <t>9.2.110</t>
  </si>
  <si>
    <t>9.2.111</t>
  </si>
  <si>
    <t>9.2.112</t>
  </si>
  <si>
    <t>9.2.113</t>
  </si>
  <si>
    <t>9.2.114</t>
  </si>
  <si>
    <t>9.2.115</t>
  </si>
  <si>
    <t>9.2.116</t>
  </si>
  <si>
    <t>9.2.117</t>
  </si>
  <si>
    <t>9.2.118</t>
  </si>
  <si>
    <t>9.2.119</t>
  </si>
  <si>
    <t>9.2.120</t>
  </si>
  <si>
    <t>9.2.121</t>
  </si>
  <si>
    <t>9.2.122</t>
  </si>
  <si>
    <t>9.2.123</t>
  </si>
  <si>
    <t>9.2.124</t>
  </si>
  <si>
    <t>9.2.125</t>
  </si>
  <si>
    <t>9.2.126</t>
  </si>
  <si>
    <t>9.2.127</t>
  </si>
  <si>
    <t>9.2.128</t>
  </si>
  <si>
    <t>9.2.129</t>
  </si>
  <si>
    <t>9.2.130</t>
  </si>
  <si>
    <t>9.2.131</t>
  </si>
  <si>
    <t>9.2.132</t>
  </si>
  <si>
    <t>9.2.133</t>
  </si>
  <si>
    <t>9.2.134</t>
  </si>
  <si>
    <t>9.2.135</t>
  </si>
  <si>
    <t>9.2.136</t>
  </si>
  <si>
    <t>9.2.137</t>
  </si>
  <si>
    <t>9.2.138</t>
  </si>
  <si>
    <t>9.2.139</t>
  </si>
  <si>
    <t>9.2.140</t>
  </si>
  <si>
    <t>9.2.141</t>
  </si>
  <si>
    <t>9.2.142</t>
  </si>
  <si>
    <t>9.2.143</t>
  </si>
  <si>
    <t>9.2.144</t>
  </si>
  <si>
    <t>9.2.145</t>
  </si>
  <si>
    <t>9.2.146</t>
  </si>
  <si>
    <t>9.2.147</t>
  </si>
  <si>
    <t>9.2.148</t>
  </si>
  <si>
    <t>9.2.149</t>
  </si>
  <si>
    <t>9.2.150</t>
  </si>
  <si>
    <t>9.2.151</t>
  </si>
  <si>
    <t>9.2.152</t>
  </si>
  <si>
    <t>9.2.153</t>
  </si>
  <si>
    <t>9.2.154</t>
  </si>
  <si>
    <t>9.2.155</t>
  </si>
  <si>
    <t>9.2.156</t>
  </si>
  <si>
    <t>9.2.157</t>
  </si>
  <si>
    <t>9.2.158</t>
  </si>
  <si>
    <t>9.2.159</t>
  </si>
  <si>
    <t>9.2.160</t>
  </si>
  <si>
    <t>9.2.161</t>
  </si>
  <si>
    <t>9.2.162</t>
  </si>
  <si>
    <t>9.2.163</t>
  </si>
  <si>
    <t>9.2.164</t>
  </si>
  <si>
    <t>9.2.165</t>
  </si>
  <si>
    <t>9.2.166</t>
  </si>
  <si>
    <t>9.2.167</t>
  </si>
  <si>
    <t>9.2.168</t>
  </si>
  <si>
    <t>9.2.169</t>
  </si>
  <si>
    <t>9.2.170</t>
  </si>
  <si>
    <t>9.2.171</t>
  </si>
  <si>
    <t>9.2.172</t>
  </si>
  <si>
    <t>9.2.173</t>
  </si>
  <si>
    <t>9.2.174</t>
  </si>
  <si>
    <t>9.2.175</t>
  </si>
  <si>
    <t>9.2.176</t>
  </si>
  <si>
    <t>9.2.177</t>
  </si>
  <si>
    <t>9.2.178</t>
  </si>
  <si>
    <t>9.2.179</t>
  </si>
  <si>
    <t>9.2.180</t>
  </si>
  <si>
    <t>9.2.181</t>
  </si>
  <si>
    <t>9.2.182</t>
  </si>
  <si>
    <t>9.2.183</t>
  </si>
  <si>
    <t>9.2.184</t>
  </si>
  <si>
    <t>9.2.185</t>
  </si>
  <si>
    <t>9.2.186</t>
  </si>
  <si>
    <t>9.2.187</t>
  </si>
  <si>
    <t>9.2.188</t>
  </si>
  <si>
    <t>9.2.189</t>
  </si>
  <si>
    <t>9.2.190</t>
  </si>
  <si>
    <t>9.2.191</t>
  </si>
  <si>
    <t>9.2.192</t>
  </si>
  <si>
    <t>9.2.193</t>
  </si>
  <si>
    <t>9.2.194</t>
  </si>
  <si>
    <t>9.2.195</t>
  </si>
  <si>
    <t>9.2.196</t>
  </si>
  <si>
    <t>9.2.197</t>
  </si>
  <si>
    <t>9.2.198</t>
  </si>
  <si>
    <t>9.2.199</t>
  </si>
  <si>
    <t>9.2.200</t>
  </si>
  <si>
    <t>9.2.201</t>
  </si>
  <si>
    <t>9.2.202</t>
  </si>
  <si>
    <t>9.2.203</t>
  </si>
  <si>
    <t>9.2.204</t>
  </si>
  <si>
    <t>9.2.205</t>
  </si>
  <si>
    <t>9.2.206</t>
  </si>
  <si>
    <t>9.2.207</t>
  </si>
  <si>
    <t>9.2.208</t>
  </si>
  <si>
    <t>9.2.209</t>
  </si>
  <si>
    <t>9.2.210</t>
  </si>
  <si>
    <t>9.2.211</t>
  </si>
  <si>
    <t>9.2.212</t>
  </si>
  <si>
    <t>9.2.213</t>
  </si>
  <si>
    <t>9.2.214</t>
  </si>
  <si>
    <t>9.2.215</t>
  </si>
  <si>
    <t>9.2.216</t>
  </si>
  <si>
    <t>9.2.217</t>
  </si>
  <si>
    <t>9.2.218</t>
  </si>
  <si>
    <t>9.2.219</t>
  </si>
  <si>
    <t>9.2.220</t>
  </si>
  <si>
    <t>9.2.221</t>
  </si>
  <si>
    <t>9.2.222</t>
  </si>
  <si>
    <t>9.2.223</t>
  </si>
  <si>
    <t>9.2.224</t>
  </si>
  <si>
    <t>9.2.225</t>
  </si>
  <si>
    <t>9.2.226</t>
  </si>
  <si>
    <t>9.2.227</t>
  </si>
  <si>
    <t>9.2.228</t>
  </si>
  <si>
    <t>9.2.229</t>
  </si>
  <si>
    <t>9.2.230</t>
  </si>
  <si>
    <t>9.2.231</t>
  </si>
  <si>
    <t>9.2.232</t>
  </si>
  <si>
    <t>9.2.233</t>
  </si>
  <si>
    <t>9.2.234</t>
  </si>
  <si>
    <t>9.2.235</t>
  </si>
  <si>
    <t>9.2.236</t>
  </si>
  <si>
    <t>9.2.237</t>
  </si>
  <si>
    <t>9.2.238</t>
  </si>
  <si>
    <t>9.2.239</t>
  </si>
  <si>
    <t>9.2.240</t>
  </si>
  <si>
    <t>9.2.241</t>
  </si>
  <si>
    <t>9.2.242</t>
  </si>
  <si>
    <t>9.2.243</t>
  </si>
  <si>
    <t>9.2.244</t>
  </si>
  <si>
    <t>9.2.245</t>
  </si>
  <si>
    <t>9.2.246</t>
  </si>
  <si>
    <t>9.2.247</t>
  </si>
  <si>
    <t>9.2.248</t>
  </si>
  <si>
    <t>9.2.249</t>
  </si>
  <si>
    <t>9.2.250</t>
  </si>
  <si>
    <t>9.2.251</t>
  </si>
  <si>
    <t>9.2.252</t>
  </si>
  <si>
    <t>9.2.253</t>
  </si>
  <si>
    <t>9.2.254</t>
  </si>
  <si>
    <t>9.2.255</t>
  </si>
  <si>
    <t>9.2.256</t>
  </si>
  <si>
    <t>9.2.257</t>
  </si>
  <si>
    <t>9.2.258</t>
  </si>
  <si>
    <t>9.2.259</t>
  </si>
  <si>
    <t>9.2.260</t>
  </si>
  <si>
    <t>9.2.261</t>
  </si>
  <si>
    <t>9.2.262</t>
  </si>
  <si>
    <t>9.2.263</t>
  </si>
  <si>
    <t>9.2.264</t>
  </si>
  <si>
    <t>9.2.265</t>
  </si>
  <si>
    <t>9.2.266</t>
  </si>
  <si>
    <t>9.2.267</t>
  </si>
  <si>
    <t>9.2.268</t>
  </si>
  <si>
    <t>9.2.269</t>
  </si>
  <si>
    <t>9.2.270</t>
  </si>
  <si>
    <t>9.2.271</t>
  </si>
  <si>
    <t>9.2.272</t>
  </si>
  <si>
    <t>9.2.273</t>
  </si>
  <si>
    <t>9.2.274</t>
  </si>
  <si>
    <t>9.2.275</t>
  </si>
  <si>
    <t>9.2.276</t>
  </si>
  <si>
    <t>9.2.277</t>
  </si>
  <si>
    <t>9.2.278</t>
  </si>
  <si>
    <t>9.2.279</t>
  </si>
  <si>
    <t>9.2.280</t>
  </si>
  <si>
    <t>9.2.281</t>
  </si>
  <si>
    <t>9.2.282</t>
  </si>
  <si>
    <t>9.2.283</t>
  </si>
  <si>
    <t>9.2.284</t>
  </si>
  <si>
    <t>9.2.285</t>
  </si>
  <si>
    <t>9.2.286</t>
  </si>
  <si>
    <t>9.2.287</t>
  </si>
  <si>
    <t>9.2.288</t>
  </si>
  <si>
    <t>9.2.289</t>
  </si>
  <si>
    <t>9.2.290</t>
  </si>
  <si>
    <t>9.2.291</t>
  </si>
  <si>
    <t>9.2.292</t>
  </si>
  <si>
    <t>9.2.293</t>
  </si>
  <si>
    <t>9.2.294</t>
  </si>
  <si>
    <t>9.2.295</t>
  </si>
  <si>
    <t>9.2.296</t>
  </si>
  <si>
    <t>9.2.297</t>
  </si>
  <si>
    <t>9.2.298</t>
  </si>
  <si>
    <t>9.2.299</t>
  </si>
  <si>
    <t>9.2.300</t>
  </si>
  <si>
    <t>9.2.301</t>
  </si>
  <si>
    <t>9.2.302</t>
  </si>
  <si>
    <t>9.2.303</t>
  </si>
  <si>
    <t>9.2.304</t>
  </si>
  <si>
    <t>9.2.305</t>
  </si>
  <si>
    <t>9.2.306</t>
  </si>
  <si>
    <t>9.2.307</t>
  </si>
  <si>
    <t>9.2.308</t>
  </si>
  <si>
    <t>9.2.309</t>
  </si>
  <si>
    <t>9.2.310</t>
  </si>
  <si>
    <t>9.2.311</t>
  </si>
  <si>
    <t>9.2.312</t>
  </si>
  <si>
    <t>9.2.313</t>
  </si>
  <si>
    <t>9.2.314</t>
  </si>
  <si>
    <t>9.2.315</t>
  </si>
  <si>
    <t>9.2.316</t>
  </si>
  <si>
    <t>9.2.317</t>
  </si>
  <si>
    <t>9.2.318</t>
  </si>
  <si>
    <t>9.2.319</t>
  </si>
  <si>
    <t>9.2.320</t>
  </si>
  <si>
    <t>9.2.321</t>
  </si>
  <si>
    <t>9.2.322</t>
  </si>
  <si>
    <t>9.2.323</t>
  </si>
  <si>
    <t>9.2.324</t>
  </si>
  <si>
    <t>9.2.325</t>
  </si>
  <si>
    <t>9.2.326</t>
  </si>
  <si>
    <t>10.</t>
  </si>
  <si>
    <t>10.1</t>
  </si>
  <si>
    <t>10.1.1</t>
  </si>
  <si>
    <t>10.1.2</t>
  </si>
  <si>
    <t>10.1.3</t>
  </si>
  <si>
    <t>10.1.4</t>
  </si>
  <si>
    <t>10.1.5</t>
  </si>
  <si>
    <t>10.1.6</t>
  </si>
  <si>
    <t>10.1.7</t>
  </si>
  <si>
    <t>10.1.8</t>
  </si>
  <si>
    <t>10.1.9</t>
  </si>
  <si>
    <t>10.1.10</t>
  </si>
  <si>
    <t>10.1.11</t>
  </si>
  <si>
    <t>10.1.12</t>
  </si>
  <si>
    <t>10.1.13</t>
  </si>
  <si>
    <t>10.1.14</t>
  </si>
  <si>
    <t>10.1.15</t>
  </si>
  <si>
    <t>10.1.16</t>
  </si>
  <si>
    <t>10.1.17</t>
  </si>
  <si>
    <t>10.1.17.1</t>
  </si>
  <si>
    <t>10.1.17.2</t>
  </si>
  <si>
    <t>10.1.17.3</t>
  </si>
  <si>
    <t>10.1.17.4</t>
  </si>
  <si>
    <t>10.1.17.5</t>
  </si>
  <si>
    <t>10.1.17.6</t>
  </si>
  <si>
    <t>10.1.17.7</t>
  </si>
  <si>
    <t>10.1.17.8</t>
  </si>
  <si>
    <t>10.1.17.9</t>
  </si>
  <si>
    <t>10.1.17.10</t>
  </si>
  <si>
    <t>10.1.17.11</t>
  </si>
  <si>
    <t>10.1.17.12</t>
  </si>
  <si>
    <t>10.1.17.13</t>
  </si>
  <si>
    <t>10.1.17.14</t>
  </si>
  <si>
    <t>10.1.18</t>
  </si>
  <si>
    <t>10.1.19</t>
  </si>
  <si>
    <t>10.1.20</t>
  </si>
  <si>
    <t>10.1.21</t>
  </si>
  <si>
    <t>10.1.22</t>
  </si>
  <si>
    <t>10.1.23</t>
  </si>
  <si>
    <t>10.1.24</t>
  </si>
  <si>
    <t>10.1.25</t>
  </si>
  <si>
    <t>10.1.26</t>
  </si>
  <si>
    <t>10.1.27</t>
  </si>
  <si>
    <t>10.1.28</t>
  </si>
  <si>
    <t>10.2</t>
  </si>
  <si>
    <t>10.2.1</t>
  </si>
  <si>
    <t>10.2.1.1</t>
  </si>
  <si>
    <t>10.2.1.2</t>
  </si>
  <si>
    <t>10.2.1.3</t>
  </si>
  <si>
    <t>10.2.1.4</t>
  </si>
  <si>
    <t>10.2.1.5</t>
  </si>
  <si>
    <t>10.2.1.6</t>
  </si>
  <si>
    <t>10.2.1.7</t>
  </si>
  <si>
    <t>10.2.1.8</t>
  </si>
  <si>
    <t>10.2.1.9</t>
  </si>
  <si>
    <t>10.2.1.10</t>
  </si>
  <si>
    <t>10.2.1.11</t>
  </si>
  <si>
    <t>10.2.1.12</t>
  </si>
  <si>
    <t>10.2.1.13</t>
  </si>
  <si>
    <t>10.2.1.14</t>
  </si>
  <si>
    <t>10.2.1.15</t>
  </si>
  <si>
    <t>10.2.2</t>
  </si>
  <si>
    <t>10.2.2.1</t>
  </si>
  <si>
    <t>10.2.2.2</t>
  </si>
  <si>
    <t>10.2.2.3</t>
  </si>
  <si>
    <t>10.2.2.4</t>
  </si>
  <si>
    <t>10.2.2.5</t>
  </si>
  <si>
    <t>10.2.2.6</t>
  </si>
  <si>
    <t>10.2.2.7</t>
  </si>
  <si>
    <t>10.2.2.8</t>
  </si>
  <si>
    <t>10.2.2.9</t>
  </si>
  <si>
    <t>10.2.2.10</t>
  </si>
  <si>
    <t>10.2.2.11</t>
  </si>
  <si>
    <t>10.2.2.12</t>
  </si>
  <si>
    <t>10.2.2.13</t>
  </si>
  <si>
    <t>10.2.2.14</t>
  </si>
  <si>
    <t>10.2.3</t>
  </si>
  <si>
    <t>10.2.3.1</t>
  </si>
  <si>
    <t>10.2.3.2</t>
  </si>
  <si>
    <t>10.2.3.3</t>
  </si>
  <si>
    <t>10.2.3.4</t>
  </si>
  <si>
    <t>10.2.3.5</t>
  </si>
  <si>
    <t>10.2.3.6</t>
  </si>
  <si>
    <t>10.2.3.7</t>
  </si>
  <si>
    <t>10.2.3.8</t>
  </si>
  <si>
    <t>10.2.3.9</t>
  </si>
  <si>
    <t>10.2.3.10</t>
  </si>
  <si>
    <t>10.2.3.11</t>
  </si>
  <si>
    <t>10.2.3.12</t>
  </si>
  <si>
    <t>10.2.3.13</t>
  </si>
  <si>
    <t>10.2.4</t>
  </si>
  <si>
    <t>10.2.4.1</t>
  </si>
  <si>
    <t>10.2.4.2</t>
  </si>
  <si>
    <t>10.2.4.3</t>
  </si>
  <si>
    <t>10.2.4.4</t>
  </si>
  <si>
    <t>10.2.4.5</t>
  </si>
  <si>
    <t>10.2.4.6</t>
  </si>
  <si>
    <t>10.2.4.7</t>
  </si>
  <si>
    <t>10.2.4.8</t>
  </si>
  <si>
    <t>10.2.4.9</t>
  </si>
  <si>
    <t>10.2.4.10</t>
  </si>
  <si>
    <t>10.2.4.11</t>
  </si>
  <si>
    <t>10.2.4.12</t>
  </si>
  <si>
    <t>10.2.4.13</t>
  </si>
  <si>
    <t>10.2.4.14</t>
  </si>
  <si>
    <t>10.2.4.15</t>
  </si>
  <si>
    <t>10.2.4.16</t>
  </si>
  <si>
    <t>10.2.4.17</t>
  </si>
  <si>
    <t>10.2.4.18</t>
  </si>
  <si>
    <t>10.2.4.19</t>
  </si>
  <si>
    <t>10.2.4.20</t>
  </si>
  <si>
    <t>10.2.4.21</t>
  </si>
  <si>
    <t>10.2.4.22</t>
  </si>
  <si>
    <t>10.2.4.23</t>
  </si>
  <si>
    <t>10.2.4.24</t>
  </si>
  <si>
    <t>10.2.4.25</t>
  </si>
  <si>
    <t>10.2.4.26</t>
  </si>
  <si>
    <t>10.2.4.27</t>
  </si>
  <si>
    <t>10.2.4.28</t>
  </si>
  <si>
    <t>10.2.4.29</t>
  </si>
  <si>
    <t>10.2.4.30</t>
  </si>
  <si>
    <t>10.2.4.31</t>
  </si>
  <si>
    <t>10.2.4.32</t>
  </si>
  <si>
    <t>10.2.4.33</t>
  </si>
  <si>
    <t>10.2.4.34</t>
  </si>
  <si>
    <t>10.2.4.35</t>
  </si>
  <si>
    <t>10.2.4.36</t>
  </si>
  <si>
    <t>10.2.4.37</t>
  </si>
  <si>
    <t>10.2.4.38</t>
  </si>
  <si>
    <t>10.2.4.39</t>
  </si>
  <si>
    <t>10.2.4.40</t>
  </si>
  <si>
    <t>10.2.4.41</t>
  </si>
  <si>
    <t>10.2.4.42</t>
  </si>
  <si>
    <t>10.2.4.43</t>
  </si>
  <si>
    <t>10.2.4.44</t>
  </si>
  <si>
    <t>10.2.4.45</t>
  </si>
  <si>
    <t>10.2.4.46</t>
  </si>
  <si>
    <t>10.2.4.47</t>
  </si>
  <si>
    <t>10.2.4.48</t>
  </si>
  <si>
    <t>10.2.4.49</t>
  </si>
  <si>
    <t>10.2.4.50</t>
  </si>
  <si>
    <t>10.2.4.51</t>
  </si>
  <si>
    <t>10.2.4.52</t>
  </si>
  <si>
    <t>10.2.4.53</t>
  </si>
  <si>
    <t>10.2.4.54</t>
  </si>
  <si>
    <t>10.2.4.55</t>
  </si>
  <si>
    <t>10.2.4.56</t>
  </si>
  <si>
    <t>10.2.4.57</t>
  </si>
  <si>
    <t>10.2.4.58</t>
  </si>
  <si>
    <t>10.2.4.59</t>
  </si>
  <si>
    <t>10.2.4.60</t>
  </si>
  <si>
    <t>10.2.4.61</t>
  </si>
  <si>
    <t>10.2.4.62</t>
  </si>
  <si>
    <t>10.2.4.63</t>
  </si>
  <si>
    <t>10.2.4.64</t>
  </si>
  <si>
    <t>10.2.4.65</t>
  </si>
  <si>
    <t>10.2.4.66</t>
  </si>
  <si>
    <t>10.2.4.67</t>
  </si>
  <si>
    <t>10.2.4.68</t>
  </si>
  <si>
    <t>10.2.4.69</t>
  </si>
  <si>
    <t>10.2.4.70</t>
  </si>
  <si>
    <t>10.2.4.71</t>
  </si>
  <si>
    <t>10.2.4.72</t>
  </si>
  <si>
    <t>10.2.4.73</t>
  </si>
  <si>
    <t>10.2.4.74</t>
  </si>
  <si>
    <t>10.2.4.75</t>
  </si>
  <si>
    <t>10.2.4.76</t>
  </si>
  <si>
    <t>10.2.4.77</t>
  </si>
  <si>
    <t>10.2.4.78</t>
  </si>
  <si>
    <t>10.2.4.79</t>
  </si>
  <si>
    <t>10.2.4.80</t>
  </si>
  <si>
    <t>10.2.4.81</t>
  </si>
  <si>
    <t>10.2.4.82</t>
  </si>
  <si>
    <t>10.2.4.83</t>
  </si>
  <si>
    <t>10.2.4.84</t>
  </si>
  <si>
    <t>10.2.4.85</t>
  </si>
  <si>
    <t>10.2.4.86</t>
  </si>
  <si>
    <t>10.2.4.87</t>
  </si>
  <si>
    <t>10.2.4.88</t>
  </si>
  <si>
    <t>10.2.4.89</t>
  </si>
  <si>
    <t>10.2.4.90</t>
  </si>
  <si>
    <t>10.2.4.91</t>
  </si>
  <si>
    <t>10.2.4.92</t>
  </si>
  <si>
    <t>10.2.4.93</t>
  </si>
  <si>
    <t>10.2.4.94</t>
  </si>
  <si>
    <t>10.2.4.95</t>
  </si>
  <si>
    <t>10.2.4.96</t>
  </si>
  <si>
    <t>10.2.4.97</t>
  </si>
  <si>
    <t>10.2.4.98</t>
  </si>
  <si>
    <t>10.2.4.99</t>
  </si>
  <si>
    <t>10.2.4.100</t>
  </si>
  <si>
    <t>10.2.4.101</t>
  </si>
  <si>
    <t>10.2.4.102</t>
  </si>
  <si>
    <t>10.2.4.103</t>
  </si>
  <si>
    <t>10.2.4.104</t>
  </si>
  <si>
    <t>10.2.4.105</t>
  </si>
  <si>
    <t>10.2.4.106</t>
  </si>
  <si>
    <t>10.2.4.107</t>
  </si>
  <si>
    <t>10.2.4.108</t>
  </si>
  <si>
    <t>10.2.4.109</t>
  </si>
  <si>
    <t>10.2.4.110</t>
  </si>
  <si>
    <t>10.2.4.111</t>
  </si>
  <si>
    <t>10.2.4.112</t>
  </si>
  <si>
    <t>10.2.4.113</t>
  </si>
  <si>
    <t>10.2.4.114</t>
  </si>
  <si>
    <t>10.2.4.115</t>
  </si>
  <si>
    <t>10.2.4.116</t>
  </si>
  <si>
    <t>10.2.4.117</t>
  </si>
  <si>
    <t>10.2.4.118</t>
  </si>
  <si>
    <t>10.2.4.119</t>
  </si>
  <si>
    <t>10.2.4.120</t>
  </si>
  <si>
    <t>10.2.4.121</t>
  </si>
  <si>
    <t>10.2.4.122</t>
  </si>
  <si>
    <t>10.2.4.123</t>
  </si>
  <si>
    <t>10.2.4.124</t>
  </si>
  <si>
    <t>10.2.4.125</t>
  </si>
  <si>
    <t>10.2.4.126</t>
  </si>
  <si>
    <t>10.2.4.127</t>
  </si>
  <si>
    <t>10.2.4.128</t>
  </si>
  <si>
    <t>10.2.4.129</t>
  </si>
  <si>
    <t>10.2.4.130</t>
  </si>
  <si>
    <t>10.2.4.131</t>
  </si>
  <si>
    <t>10.2.4.132</t>
  </si>
  <si>
    <t>10.2.4.133</t>
  </si>
  <si>
    <t>10.2.4.134</t>
  </si>
  <si>
    <t>10.2.4.135</t>
  </si>
  <si>
    <t>10.2.4.136</t>
  </si>
  <si>
    <t>10.2.4.137</t>
  </si>
  <si>
    <t>10.2.4.138</t>
  </si>
  <si>
    <t>10.2.4.139</t>
  </si>
  <si>
    <t>10.2.4.140</t>
  </si>
  <si>
    <t>10.2.4.141</t>
  </si>
  <si>
    <t>10.2.4.142</t>
  </si>
  <si>
    <t>10.2.4.143</t>
  </si>
  <si>
    <t>10.2.4.144</t>
  </si>
  <si>
    <t>10.2.4.145</t>
  </si>
  <si>
    <t>10.2.5</t>
  </si>
  <si>
    <t>10.2.5.1</t>
  </si>
  <si>
    <t>10.2.5.2</t>
  </si>
  <si>
    <t>10.2.5.3</t>
  </si>
  <si>
    <t>10.2.5.4</t>
  </si>
  <si>
    <t>10.2.5.5</t>
  </si>
  <si>
    <t>10.2.5.6</t>
  </si>
  <si>
    <t>10.2.5.7</t>
  </si>
  <si>
    <t>10.2.5.8</t>
  </si>
  <si>
    <t>10.2.5.9</t>
  </si>
  <si>
    <t>10.2.5.10</t>
  </si>
  <si>
    <t>10.2.5.11</t>
  </si>
  <si>
    <t>10.2.5.12</t>
  </si>
  <si>
    <t>10.2.5.13</t>
  </si>
  <si>
    <t>10.2.5.14</t>
  </si>
  <si>
    <t>10.2.5.15</t>
  </si>
  <si>
    <t>10.2.5.16</t>
  </si>
  <si>
    <t>10.2.5.17</t>
  </si>
  <si>
    <t>10.2.5.18</t>
  </si>
  <si>
    <t>10.2.5.19</t>
  </si>
  <si>
    <t>10.2.5.20</t>
  </si>
  <si>
    <t>10.2.5.21</t>
  </si>
  <si>
    <t>10.2.5.22</t>
  </si>
  <si>
    <t>10.2.5.23</t>
  </si>
  <si>
    <t>10.2.5.24</t>
  </si>
  <si>
    <t>10.2.5.25</t>
  </si>
  <si>
    <t>10.2.5.26</t>
  </si>
  <si>
    <t>10.2.5.27</t>
  </si>
  <si>
    <t>10.2.5.28</t>
  </si>
  <si>
    <t>10.2.5.29</t>
  </si>
  <si>
    <t>10.2.5.30</t>
  </si>
  <si>
    <t>10.2.5.31</t>
  </si>
  <si>
    <t>10.2.5.32</t>
  </si>
  <si>
    <t>10.2.5.33</t>
  </si>
  <si>
    <t>10.2.5.34</t>
  </si>
  <si>
    <t>10.2.5.35</t>
  </si>
  <si>
    <t>10.2.5.36</t>
  </si>
  <si>
    <t>10.2.5.37</t>
  </si>
  <si>
    <t>10.2.5.38</t>
  </si>
  <si>
    <t>10.2.5.39</t>
  </si>
  <si>
    <t>10.2.5.40</t>
  </si>
  <si>
    <t>10.2.5.41</t>
  </si>
  <si>
    <t>10.2.5.42</t>
  </si>
  <si>
    <t>10.2.5.43</t>
  </si>
  <si>
    <t>10.2.5.44</t>
  </si>
  <si>
    <t>10.2.5.45</t>
  </si>
  <si>
    <t>10.2.5.46</t>
  </si>
  <si>
    <t>11.</t>
  </si>
  <si>
    <t>11.1</t>
  </si>
  <si>
    <t>11.2</t>
  </si>
  <si>
    <t>11.3</t>
  </si>
  <si>
    <t>12.</t>
  </si>
  <si>
    <t>12.1</t>
  </si>
  <si>
    <t>13.</t>
  </si>
  <si>
    <t>13.1</t>
  </si>
  <si>
    <t>13.1.1</t>
  </si>
  <si>
    <t>13.1.2</t>
  </si>
  <si>
    <t>13.1.3</t>
  </si>
  <si>
    <t>13.1.4</t>
  </si>
  <si>
    <t>13.1.5</t>
  </si>
  <si>
    <t>13.1.6</t>
  </si>
  <si>
    <t>13.1.7</t>
  </si>
  <si>
    <t>13.1.8</t>
  </si>
  <si>
    <t>13.2</t>
  </si>
  <si>
    <t>13.2.1</t>
  </si>
  <si>
    <t>13.2.1.1</t>
  </si>
  <si>
    <t>13.2.1.2</t>
  </si>
  <si>
    <t>13.2.1.3</t>
  </si>
  <si>
    <t>13.2.1.4</t>
  </si>
  <si>
    <t>13.2.1.5</t>
  </si>
  <si>
    <t>13.2.1.6</t>
  </si>
  <si>
    <t>13.2.1.7</t>
  </si>
  <si>
    <t>13.2.1.8</t>
  </si>
  <si>
    <t>13.2.1.9</t>
  </si>
  <si>
    <t>13.2.1.10</t>
  </si>
  <si>
    <t>13.2.1.11</t>
  </si>
  <si>
    <t>13.2.1.12</t>
  </si>
  <si>
    <t>13.2.1.13</t>
  </si>
  <si>
    <t>13.2.1.14</t>
  </si>
  <si>
    <t>13.2.1.15</t>
  </si>
  <si>
    <t>13.2.1.16</t>
  </si>
  <si>
    <t>13.2.1.17</t>
  </si>
  <si>
    <t>13.2.1.18</t>
  </si>
  <si>
    <t>13.2.1.19</t>
  </si>
  <si>
    <t>13.2.1.20</t>
  </si>
  <si>
    <t>13.2.1.21</t>
  </si>
  <si>
    <t>13.2.1.22</t>
  </si>
  <si>
    <t>13.2.1.23</t>
  </si>
  <si>
    <t>13.2.1.24</t>
  </si>
  <si>
    <t>13.2.1.25</t>
  </si>
  <si>
    <t>13.2.1.26</t>
  </si>
  <si>
    <t>13.2.1.27</t>
  </si>
  <si>
    <t>13.2.1.28</t>
  </si>
  <si>
    <t>13.2.1.29</t>
  </si>
  <si>
    <t>13.2.1.30</t>
  </si>
  <si>
    <t>13.2.1.31</t>
  </si>
  <si>
    <t>13.2.1.32</t>
  </si>
  <si>
    <t>13.2.1.33</t>
  </si>
  <si>
    <t>13.2.1.34</t>
  </si>
  <si>
    <t>13.2.1.35</t>
  </si>
  <si>
    <t>13.2.1.36</t>
  </si>
  <si>
    <t>13.2.1.37</t>
  </si>
  <si>
    <t>13.2.1.38</t>
  </si>
  <si>
    <t>13.2.1.39</t>
  </si>
  <si>
    <t>13.2.1.40</t>
  </si>
  <si>
    <t>13.2.1.41</t>
  </si>
  <si>
    <t>13.2.1.42</t>
  </si>
  <si>
    <t>13.2.1.43</t>
  </si>
  <si>
    <t>13.2.1.44</t>
  </si>
  <si>
    <t>13.2.1.45</t>
  </si>
  <si>
    <t>13.2.2</t>
  </si>
  <si>
    <t>13.2.2.1</t>
  </si>
  <si>
    <t>13.2.2.2</t>
  </si>
  <si>
    <t>13.2.2.3</t>
  </si>
  <si>
    <t>13.2.2.4</t>
  </si>
  <si>
    <t>13.2.2.5</t>
  </si>
  <si>
    <t>13.2.2.6</t>
  </si>
  <si>
    <t>13.2.2.7</t>
  </si>
  <si>
    <t>13.2.2.8</t>
  </si>
  <si>
    <t>13.2.2.9</t>
  </si>
  <si>
    <t>13.2.2.10</t>
  </si>
  <si>
    <t>13.2.2.11</t>
  </si>
  <si>
    <t>13.2.2.12</t>
  </si>
  <si>
    <t>13.2.2.13</t>
  </si>
  <si>
    <t>13.2.2.14</t>
  </si>
  <si>
    <t>13.2.2.15</t>
  </si>
  <si>
    <t>13.2.2.16</t>
  </si>
  <si>
    <t>13.2.2.17</t>
  </si>
  <si>
    <t>13.2.2.18</t>
  </si>
  <si>
    <t>13.2.2.19</t>
  </si>
  <si>
    <t>13.2.2.20</t>
  </si>
  <si>
    <t>13.2.2.21</t>
  </si>
  <si>
    <t>13.2.3</t>
  </si>
  <si>
    <t>13.2.3.1</t>
  </si>
  <si>
    <t>13.2.3.2</t>
  </si>
  <si>
    <t>13.2.3.3</t>
  </si>
  <si>
    <t>13.2.3.4</t>
  </si>
  <si>
    <t>13.2.3.5</t>
  </si>
  <si>
    <t>13.2.3.6</t>
  </si>
  <si>
    <t>13.2.3.7</t>
  </si>
  <si>
    <t>13.2.3.8</t>
  </si>
  <si>
    <t>13.2.3.9</t>
  </si>
  <si>
    <t>13.2.3.10</t>
  </si>
  <si>
    <t>13.2.3.11</t>
  </si>
  <si>
    <t>13.2.3.12</t>
  </si>
  <si>
    <t>13.2.4</t>
  </si>
  <si>
    <t>13.2.4.1</t>
  </si>
  <si>
    <t>13.2.4.2</t>
  </si>
  <si>
    <t>13.2.4.3</t>
  </si>
  <si>
    <t>13.2.4.4</t>
  </si>
  <si>
    <t>13.2.5</t>
  </si>
  <si>
    <t>13.2.5.1</t>
  </si>
  <si>
    <t>13.2.5.2</t>
  </si>
  <si>
    <t>13.2.6</t>
  </si>
  <si>
    <t>13.2.6.1</t>
  </si>
  <si>
    <t>13.2.6.2</t>
  </si>
  <si>
    <t>13.2.6.3</t>
  </si>
  <si>
    <t>13.2.6.4</t>
  </si>
  <si>
    <t>13.2.6.5</t>
  </si>
  <si>
    <t>13.2.6.6</t>
  </si>
  <si>
    <t>13.2.6.7</t>
  </si>
  <si>
    <t>13.2.6.8</t>
  </si>
  <si>
    <t>13.2.6.9</t>
  </si>
  <si>
    <t>13.2.6.10</t>
  </si>
  <si>
    <t>13.2.6.11</t>
  </si>
  <si>
    <t>13.2.6.12</t>
  </si>
  <si>
    <t>13.2.6.13</t>
  </si>
  <si>
    <t>13.2.6.14</t>
  </si>
  <si>
    <t>13.2.7</t>
  </si>
  <si>
    <t>13.2.7.1</t>
  </si>
  <si>
    <t>13.2.7.2</t>
  </si>
  <si>
    <t>13.2.7.3</t>
  </si>
  <si>
    <t>13.2.7.4</t>
  </si>
  <si>
    <t>13.2.7.5</t>
  </si>
  <si>
    <t>13.2.7.6</t>
  </si>
  <si>
    <t>13.2.7.7</t>
  </si>
  <si>
    <t>13.2.7.8</t>
  </si>
  <si>
    <t>13.2.7.9</t>
  </si>
  <si>
    <t>13.2.7.10</t>
  </si>
  <si>
    <t>13.2.7.11</t>
  </si>
  <si>
    <t>13.2.7.12</t>
  </si>
  <si>
    <t>13.2.8</t>
  </si>
  <si>
    <t>13.2.8.1</t>
  </si>
  <si>
    <t>13.2.8.2</t>
  </si>
  <si>
    <t>13.2.8.3</t>
  </si>
  <si>
    <t>13.2.8.4</t>
  </si>
  <si>
    <t>13.2.8.5</t>
  </si>
  <si>
    <t>13.2.8.6</t>
  </si>
  <si>
    <t>13.2.8.7</t>
  </si>
  <si>
    <t>13.2.8.8</t>
  </si>
  <si>
    <t>13.2.8.9</t>
  </si>
  <si>
    <t>13.2.8.10</t>
  </si>
  <si>
    <t>13.2.8.11</t>
  </si>
  <si>
    <t>13.2.8.12</t>
  </si>
  <si>
    <t>13.2.8.13</t>
  </si>
  <si>
    <t>13.2.8.14</t>
  </si>
  <si>
    <t>13.2.8.15</t>
  </si>
  <si>
    <t>13.2.8.16</t>
  </si>
  <si>
    <t>13.2.8.17</t>
  </si>
  <si>
    <t>13.2.8.18</t>
  </si>
  <si>
    <t>13.2.9</t>
  </si>
  <si>
    <t>13.2.9.1</t>
  </si>
  <si>
    <t>13.2.9.2</t>
  </si>
  <si>
    <t>13.2.9.3</t>
  </si>
  <si>
    <t>13.2.9.4</t>
  </si>
  <si>
    <t>13.2.9.5</t>
  </si>
  <si>
    <t>13.2.9.6</t>
  </si>
  <si>
    <t>13.2.9.7</t>
  </si>
  <si>
    <t>13.2.9.8</t>
  </si>
  <si>
    <t>13.2.10</t>
  </si>
  <si>
    <t>13.2.10.1</t>
  </si>
  <si>
    <t>13.2.10.2</t>
  </si>
  <si>
    <t>13.2.10.3</t>
  </si>
  <si>
    <t>13.2.10.4</t>
  </si>
  <si>
    <t>13.2.10.5</t>
  </si>
  <si>
    <t>13.2.10.6</t>
  </si>
  <si>
    <t>13.2.10.7</t>
  </si>
  <si>
    <t>13.2.10.8</t>
  </si>
  <si>
    <t>13.2.10.9</t>
  </si>
  <si>
    <t>13.2.11</t>
  </si>
  <si>
    <t>13.2.11.1</t>
  </si>
  <si>
    <t>13.2.11.2</t>
  </si>
  <si>
    <t>13.2.11.3</t>
  </si>
  <si>
    <t>13.2.11.4</t>
  </si>
  <si>
    <t>13.2.11.5</t>
  </si>
  <si>
    <t>13.2.12</t>
  </si>
  <si>
    <t>13.2.12.1</t>
  </si>
  <si>
    <t>14.</t>
  </si>
  <si>
    <t>14.1</t>
  </si>
  <si>
    <t>14.2</t>
  </si>
  <si>
    <t>15.</t>
  </si>
  <si>
    <t>15.01</t>
  </si>
  <si>
    <t>16.</t>
  </si>
  <si>
    <t>17.</t>
  </si>
  <si>
    <t>17.1</t>
  </si>
  <si>
    <t>18.</t>
  </si>
  <si>
    <t>1 - SERVIÇOS PRELIMINARES</t>
  </si>
  <si>
    <t>MONTAGEM</t>
  </si>
  <si>
    <t xml:space="preserve">FORNECIMENTO (BDI do item 3.2 foi reduzido de 40% para 37,2%) </t>
  </si>
  <si>
    <t>Conjuntos Motobombas</t>
  </si>
  <si>
    <t>Ligação Bombas - Barrilete</t>
  </si>
  <si>
    <t>4 - ADUTORA PRINCIPAL 1</t>
  </si>
  <si>
    <t>OBRAS CIVIS  E MONTAGEM</t>
  </si>
  <si>
    <t>Adutora e One Ways</t>
  </si>
  <si>
    <t>FORNECIMENTO (O BDI do item 4.2 foi reduzido de 40% para 37,2%)</t>
  </si>
  <si>
    <t>Adutora</t>
  </si>
  <si>
    <t>One ways</t>
  </si>
  <si>
    <t>5 - EBP 2</t>
  </si>
  <si>
    <t>OBRAS CIVIS</t>
  </si>
  <si>
    <t>Escoramento</t>
  </si>
  <si>
    <t>Chapisco</t>
  </si>
  <si>
    <t>Ligação Bomba - Barrilete</t>
  </si>
  <si>
    <t>T - 3/4"</t>
  </si>
  <si>
    <t>X - 3/4"</t>
  </si>
  <si>
    <t>6 - ADUTORA PRINCIPAL  2</t>
  </si>
  <si>
    <t>OBRAS CIVIS E MONTAGEM</t>
  </si>
  <si>
    <t>7 - PROTEÇÃO CATÓDICA</t>
  </si>
  <si>
    <t>FORNECIMENTO (O BDI do item 7.2 foi reduzido de 40% para 37,2%)</t>
  </si>
  <si>
    <t>8 - CANAIS</t>
  </si>
  <si>
    <t>8.1 - CANAIS SECUNDÁRIO E TERCIÁRIOS</t>
  </si>
  <si>
    <t xml:space="preserve">OBRAS CIVIS </t>
  </si>
  <si>
    <t>DRENO DE FUNDO</t>
  </si>
  <si>
    <t>MURETA DO CANAL PRINCIPAL</t>
  </si>
  <si>
    <t>PARTIDOR CP-CS1 E CS2</t>
  </si>
  <si>
    <t>Junta Fungemband - Tipo O-22</t>
  </si>
  <si>
    <t>8.2 - SIFÕES DE SEGURANÇA E DESCARGAS DE FUNDO</t>
  </si>
  <si>
    <t>FORNECIMENTO (O BDI do item 8.2.2 foi reduzido de 40% para 37,2%)</t>
  </si>
  <si>
    <t>8.3 - SIFÕES INVERTIDOS</t>
  </si>
  <si>
    <t>Fornecimento e instalação de tubo de concreto CA-2, Ø 1,500  mm</t>
  </si>
  <si>
    <t>Imprimação</t>
  </si>
  <si>
    <t>FORNECIMENTO (O BDI do item 8.3.2 foi reduzido de 40% para 37,2%)</t>
  </si>
  <si>
    <t>GALERIA CONCRETO - SIFÃO ESTACA 503 A 515</t>
  </si>
  <si>
    <t>FORNECIMENTO (O BDI do item 8.3.4 foi reduzido de 40% para 37,2%)</t>
  </si>
  <si>
    <t>8.4 - PONTILHÃO</t>
  </si>
  <si>
    <t>8.5- CONTROLE DE NÍVEL DE JUSANTE</t>
  </si>
  <si>
    <t>FORNECIMENTO (O BDI do item 8.5.2 foi reduzido de 40% para 37,2%)</t>
  </si>
  <si>
    <t>FORNECIMENTO (O BDI do item 8.6.2 foi reduzido de 40% para 37,2%)</t>
  </si>
  <si>
    <t>8.7 - CONTROLE DE NÍVEL MISTO</t>
  </si>
  <si>
    <t>Junta Fugemband - Tipo O-22</t>
  </si>
  <si>
    <t>FORNECIMENTO (O BDI do item 8.7.2 foi reduzido de 40% para 37,2%)</t>
  </si>
  <si>
    <t>FORNECIMENTO (O BDI do item 9.2 foi reduzido de 40% para 37,2%)</t>
  </si>
  <si>
    <t>10 - REDE PRESSURIZADA</t>
  </si>
  <si>
    <t>Tomada de lote Detalhe 1 (tipo 1)</t>
  </si>
  <si>
    <t>Niple, Ferro Galvanizado, Ø1"</t>
  </si>
  <si>
    <t>Tomada de lote Detalhe 2 (tipo 2)</t>
  </si>
  <si>
    <t>Tomada de lote Detalhe 2 (tipo 3)</t>
  </si>
  <si>
    <t>Rede Pressurizada</t>
  </si>
  <si>
    <t>Caixas de ventosa e descarga</t>
  </si>
  <si>
    <t>Registro de gaveta chato FoFo com flanges e cabeçote, PN 10, Ø50 mm.</t>
  </si>
  <si>
    <t>Ventosa de tríplice função , com flanges, FoFo, PN10, Ø50 mm.</t>
  </si>
  <si>
    <t>11 - REDE BAIXA PRESSÃO</t>
  </si>
  <si>
    <t>Montagem</t>
  </si>
  <si>
    <t>12 - DESMATAMENTO</t>
  </si>
  <si>
    <t>Linha principal</t>
  </si>
  <si>
    <t>Redes móveis</t>
  </si>
  <si>
    <t>Irrigação localizada</t>
  </si>
  <si>
    <t>Gotejamento</t>
  </si>
  <si>
    <t>Transição distribuição linha mestra, d=100mm</t>
  </si>
  <si>
    <t>Filtros (em cavalete)</t>
  </si>
  <si>
    <t>Fertirrigação tipo venturi (interligado no cavalete dos filtros)</t>
  </si>
  <si>
    <t>Hidrantes PVC PBS CL-15 (marrom) para diâmetros até 85mm ou 3"</t>
  </si>
  <si>
    <t>Equipamentos da microaspersão (obs.: as conexões deverão ser compatíveis com os tubos)</t>
  </si>
  <si>
    <t>Equipamentos do gotejamento (obs.: as conexões deverão ser compatíveis com os tubos)</t>
  </si>
  <si>
    <t>Complementos</t>
  </si>
  <si>
    <t>Peças especiais</t>
  </si>
  <si>
    <t>14 - REDE DE DRENAGEM</t>
  </si>
  <si>
    <t>DRENOS E QUEDAS</t>
  </si>
  <si>
    <t>BUEIROS</t>
  </si>
  <si>
    <t>15 - REDE VIÁRIA</t>
  </si>
  <si>
    <t>16 - INFRA-ESTRUTURA URBANA (AGROVILAS)</t>
  </si>
  <si>
    <t>Piso Cimentado</t>
  </si>
  <si>
    <t>17 - TERRACEAMENTO</t>
  </si>
  <si>
    <t>OBRAS CIVIS (ANOS I, II e III)</t>
  </si>
  <si>
    <t>18 - DESMOBILIZAÇÃO</t>
  </si>
  <si>
    <t>%</t>
  </si>
  <si>
    <t>m³</t>
  </si>
  <si>
    <t>un</t>
  </si>
  <si>
    <t>ha</t>
  </si>
  <si>
    <t>m²</t>
  </si>
  <si>
    <t>kg</t>
  </si>
  <si>
    <t>m</t>
  </si>
  <si>
    <t>cj</t>
  </si>
  <si>
    <t>hpxh</t>
  </si>
  <si>
    <t>m³xkm</t>
  </si>
  <si>
    <t>vara</t>
  </si>
  <si>
    <t>-</t>
  </si>
  <si>
    <t xml:space="preserve"> kg</t>
  </si>
  <si>
    <t>t</t>
  </si>
  <si>
    <t>pç</t>
  </si>
  <si>
    <t>km</t>
  </si>
  <si>
    <t xml:space="preserve"> </t>
  </si>
  <si>
    <t>DNOCS-25/2013</t>
  </si>
  <si>
    <t>Execução do remanescente das Obras Civis, fornecimento e  montagem</t>
  </si>
  <si>
    <t>de equipamentos do Projeto de Irrigação Tabuleiros Litorâneos de</t>
  </si>
  <si>
    <t>Parnaíba-PI - 2ª  Etapa, do Estado do Piauí.</t>
  </si>
  <si>
    <t>DNOCS - Comissão de Fiscalização</t>
  </si>
  <si>
    <t xml:space="preserve">Mendes Júnior Trading e Engenharia SA </t>
  </si>
  <si>
    <t>DESCRIÇÃO</t>
  </si>
  <si>
    <t>FATOR</t>
  </si>
  <si>
    <t>COLUNA</t>
  </si>
  <si>
    <t>CÓDIGO</t>
  </si>
  <si>
    <r>
      <t>(I</t>
    </r>
    <r>
      <rPr>
        <b/>
        <vertAlign val="subscript"/>
        <sz val="10"/>
        <rFont val="Arial"/>
        <family val="2"/>
      </rPr>
      <t>1</t>
    </r>
    <r>
      <rPr>
        <b/>
        <sz val="10"/>
        <rFont val="Arial"/>
        <family val="2"/>
      </rPr>
      <t>)</t>
    </r>
  </si>
  <si>
    <r>
      <t>(I</t>
    </r>
    <r>
      <rPr>
        <b/>
        <vertAlign val="subscript"/>
        <sz val="10"/>
        <rFont val="Arial"/>
        <family val="2"/>
      </rPr>
      <t>0</t>
    </r>
    <r>
      <rPr>
        <b/>
        <sz val="10"/>
        <rFont val="Arial"/>
        <family val="2"/>
      </rPr>
      <t>)</t>
    </r>
  </si>
  <si>
    <t>NOV/2008</t>
  </si>
  <si>
    <t>NOV/2002</t>
  </si>
  <si>
    <t>02</t>
  </si>
  <si>
    <t>32</t>
  </si>
  <si>
    <t>AÇO, FERRO E DERIVADOS</t>
  </si>
  <si>
    <t>272</t>
  </si>
  <si>
    <t>PRODUTOS SIDERÚRGICOS</t>
  </si>
  <si>
    <t>273</t>
  </si>
  <si>
    <t>TUBOS DE FERRO E AÇO</t>
  </si>
  <si>
    <t>35</t>
  </si>
  <si>
    <t>CUSTO NACIONAL DE CONSTRUÇÃO CIVIL E OBRA PÚBLICAS - EDIFICAÇÕES</t>
  </si>
  <si>
    <t>38</t>
  </si>
  <si>
    <t>CUSTO NACIONAL DE CONSTRUÇÃO CIVIL E OBRA PÚBLICAS - TERRAPLENAGEM</t>
  </si>
  <si>
    <t>40</t>
  </si>
  <si>
    <t>CUSTO NACIONAL DE CONSTRUÇÃO CIVIL E OBRA PÚBLICAS - ESTRUTURAS E OBRAS EM CONCRETO ARMADO</t>
  </si>
  <si>
    <t>COLUNAS</t>
  </si>
  <si>
    <t>FÓRMULAS</t>
  </si>
  <si>
    <t>RESULTADO</t>
  </si>
  <si>
    <t>CÁLCULO DO FATOR</t>
  </si>
  <si>
    <t>Coluna 32</t>
  </si>
  <si>
    <r>
      <t>1+ ( (I</t>
    </r>
    <r>
      <rPr>
        <vertAlign val="subscript"/>
        <sz val="10"/>
        <rFont val="Arial"/>
        <family val="2"/>
      </rPr>
      <t>1</t>
    </r>
    <r>
      <rPr>
        <sz val="10"/>
        <rFont val="Arial"/>
        <family val="2"/>
      </rPr>
      <t xml:space="preserve"> - I</t>
    </r>
    <r>
      <rPr>
        <vertAlign val="subscript"/>
        <sz val="10"/>
        <rFont val="Arial"/>
        <family val="2"/>
      </rPr>
      <t>0</t>
    </r>
    <r>
      <rPr>
        <sz val="10"/>
        <rFont val="Arial"/>
        <family val="2"/>
      </rPr>
      <t>) / I</t>
    </r>
    <r>
      <rPr>
        <vertAlign val="subscript"/>
        <sz val="10"/>
        <rFont val="Arial"/>
        <family val="2"/>
      </rPr>
      <t>0</t>
    </r>
    <r>
      <rPr>
        <sz val="10"/>
        <rFont val="Arial"/>
        <family val="2"/>
      </rPr>
      <t>)</t>
    </r>
  </si>
  <si>
    <t>Coluna 273</t>
  </si>
  <si>
    <r>
      <t>1+ ( (I</t>
    </r>
    <r>
      <rPr>
        <vertAlign val="subscript"/>
        <sz val="10"/>
        <rFont val="Arial"/>
        <family val="2"/>
      </rPr>
      <t>2</t>
    </r>
    <r>
      <rPr>
        <sz val="10"/>
        <rFont val="Arial"/>
        <family val="2"/>
      </rPr>
      <t xml:space="preserve"> - I</t>
    </r>
    <r>
      <rPr>
        <vertAlign val="subscript"/>
        <sz val="10"/>
        <rFont val="Arial"/>
        <family val="2"/>
      </rPr>
      <t>1</t>
    </r>
    <r>
      <rPr>
        <sz val="10"/>
        <rFont val="Arial"/>
        <family val="2"/>
      </rPr>
      <t>) / I</t>
    </r>
    <r>
      <rPr>
        <vertAlign val="subscript"/>
        <sz val="10"/>
        <rFont val="Arial"/>
        <family val="2"/>
      </rPr>
      <t>1</t>
    </r>
    <r>
      <rPr>
        <sz val="10"/>
        <rFont val="Arial"/>
        <family val="2"/>
      </rPr>
      <t>)</t>
    </r>
  </si>
  <si>
    <t>Coluna 272</t>
  </si>
  <si>
    <t>Tabuleiros Litorâneos de Parnaíba - 2ª Etapa</t>
  </si>
  <si>
    <t>S  E  R  V  I  Ç  O  S</t>
  </si>
  <si>
    <t>02 - IGP-DI</t>
  </si>
  <si>
    <t>35 - Edificações</t>
  </si>
  <si>
    <t>38 - Terraplenagem</t>
  </si>
  <si>
    <t>272 - Produtos siderurgicos</t>
  </si>
  <si>
    <t>273 - Tubos de ferro e aço</t>
  </si>
  <si>
    <t>40 - Estr.obras-conc.armado</t>
  </si>
  <si>
    <t>DIRETORIA DE INFRA-ESTRUTURA HÍDRICA DNOCS</t>
  </si>
  <si>
    <t>DIRETORIA DE INFRA-ESTRUTURA HÍDRICA DO DNOCS</t>
  </si>
  <si>
    <t>Data Base: nov/2002</t>
  </si>
  <si>
    <t>Execução do remanescentes das obras civis, fornecimento e montagem de equipamentos</t>
  </si>
  <si>
    <t>QUANT.</t>
  </si>
  <si>
    <r>
      <t>(I</t>
    </r>
    <r>
      <rPr>
        <b/>
        <sz val="8"/>
        <rFont val="Arial"/>
        <family val="2"/>
      </rPr>
      <t>3</t>
    </r>
    <r>
      <rPr>
        <b/>
        <sz val="10"/>
        <rFont val="Arial"/>
        <family val="2"/>
      </rPr>
      <t>)</t>
    </r>
  </si>
  <si>
    <t>K TOTAL</t>
  </si>
  <si>
    <t>SUPERVISORA</t>
  </si>
  <si>
    <t>ORDEM DE SERVIÇO: Nº 13/2018/DI - 09 agosto 2018</t>
  </si>
  <si>
    <t>Engº Inácio R. L. Mascarenhas</t>
  </si>
  <si>
    <t>PRAZO: 205 (Duzentos e cinco) dias, conforme 10º TA</t>
  </si>
  <si>
    <t>P0</t>
  </si>
  <si>
    <t>Coluna</t>
  </si>
  <si>
    <t>8.8</t>
  </si>
  <si>
    <t>LIMPEZA DO CANAL</t>
  </si>
  <si>
    <t>8.8.1</t>
  </si>
  <si>
    <t>8.8.2</t>
  </si>
  <si>
    <t>19</t>
  </si>
  <si>
    <t>19.1</t>
  </si>
  <si>
    <t>FORNECIMENTO</t>
  </si>
  <si>
    <t>19.2</t>
  </si>
  <si>
    <t>20.1</t>
  </si>
  <si>
    <t>20.2</t>
  </si>
  <si>
    <t>22</t>
  </si>
  <si>
    <t>22.1</t>
  </si>
  <si>
    <t>22.2</t>
  </si>
  <si>
    <t>21</t>
  </si>
  <si>
    <t>21.1</t>
  </si>
  <si>
    <t>21.2</t>
  </si>
  <si>
    <t>10.1.29</t>
  </si>
  <si>
    <t>10.1.30</t>
  </si>
  <si>
    <t>10.1.31</t>
  </si>
  <si>
    <t>10.1.32</t>
  </si>
  <si>
    <t>10.1.33</t>
  </si>
  <si>
    <t>Poste De Concreto Armado, Seção Duplo "T", 12 / 1000</t>
  </si>
  <si>
    <t>Enrocamento Com Pedra Arrumada Com Dmt &lt;= 100 M</t>
  </si>
  <si>
    <t>Preparo, Lançamento E Adensamento De Concreto  (Ca-4 B)</t>
  </si>
  <si>
    <t>Demolição De Concreto Armado</t>
  </si>
  <si>
    <t>Demolição De Concreto Simples</t>
  </si>
  <si>
    <t>Drenagem E Esgotamento D'Água</t>
  </si>
  <si>
    <t xml:space="preserve">Escavação Mecânica Subaquática Com Dragline Em Material De 1ª Categoria, Dmt &lt;= 100 M </t>
  </si>
  <si>
    <t>Escavação Mecânica Em Material De 1ª Categoria, Dmt &lt;= 300 M</t>
  </si>
  <si>
    <t>Reaterro Compactado Com Reaproveitamento Do Material Escavado</t>
  </si>
  <si>
    <t>Formas Planas Para Concreto</t>
  </si>
  <si>
    <t>Armadura Para Concreto Estrutural (Aço Ca-50)</t>
  </si>
  <si>
    <t>Preparo, Lançamento E Adensamento De Concreto  (Ca-7J)</t>
  </si>
  <si>
    <t>Escav. Manual  Em Material De  1ª Cat. Com Dmt&lt;= 100 M. (Até 1,5M)</t>
  </si>
  <si>
    <t>Preparo, Lançamento E Adensamento De Concreto  (Ca-7 J)</t>
  </si>
  <si>
    <t>Impermeabilização Com Sikatop 100</t>
  </si>
  <si>
    <t>Desmatamento, Destocamento E Limpeza Do Terreno</t>
  </si>
  <si>
    <t>Aterro Compactado, Compreendendo Escavação, Carga, Descarga E Transporte Até 300 M, Umeddecimento, Espalhamento, Homogenização E Compactação</t>
  </si>
  <si>
    <t>Reboco Interno Ou Externo, Argamassa De Cal Hidratada 1:3</t>
  </si>
  <si>
    <t>Emboço Para Revestimento De Azuleijo, Argamassa Cal Hidratada 1:4 Com 130 Kg De Cimento</t>
  </si>
  <si>
    <t>Pintura Em Parede Com Tinta Hidrocor</t>
  </si>
  <si>
    <t>Cobogó De Concreto</t>
  </si>
  <si>
    <t>Momento Extraordinário De Transporte Para Material De 1ª Categoria</t>
  </si>
  <si>
    <t>Revestimento Primário Com Laterita, Espes.= De 15 Cm</t>
  </si>
  <si>
    <t>Colchão De Brita</t>
  </si>
  <si>
    <t>Meiofio De Concreto Prefabricado</t>
  </si>
  <si>
    <t>Alvenaria De Pedra</t>
  </si>
  <si>
    <t>Porta De Ferro Para Acesso</t>
  </si>
  <si>
    <t>Geomembrana Impermeável</t>
  </si>
  <si>
    <t>Passeio Cimentado (Calçada), Sob Base Concreto</t>
  </si>
  <si>
    <t>Prateleira Para Cabos Comprimento Por Peça De 3,0 M. (Pos 79) Ref.: Tipo Srs-500-3 Da Sisa Ou Similar.</t>
  </si>
  <si>
    <t>Lr - 3/4"</t>
  </si>
  <si>
    <t>Aparelho Para Iluminação, Tipo Refletor, Estampado Em Chapa De Aço, Soqueteria De Alumínio Fundido, Para Lâmpada Mista 250 W, 220 V Com Entrada 3/4" (Com Lâmpada).</t>
  </si>
  <si>
    <t>Cabo De Cobre Nú, Tempera Meio Dura, Bitola 25 Mm2, Formação 7 Fios (Pireli Ou Similar)</t>
  </si>
  <si>
    <t>Cabo Elétrico De Controle, 4 Condutores, Cobre, Têmpera Mole, Seção Nominal, 1,5 Mm2, Formação 7 Fios, Isolamento De Pvc, Capa De Pvc Anti-Chama, Cor Preta, 0,6/1 Kv, Blindado. (Pos 66)  Ref.: Sintenax Da Pirelli Ou Similar</t>
  </si>
  <si>
    <t>Montagem De Cabo De Cobre Nú, Tempera Meio Dura, Seção De 70Mm2</t>
  </si>
  <si>
    <t>Montagem De Cabo De Cobre Nú,Tempera Meio Dura, Seção De 35Mm2</t>
  </si>
  <si>
    <t>Terminal Aereo Em Aço Galvanizado Com Base De Fixaçao H - 30Cm</t>
  </si>
  <si>
    <t>Terminal Ou Conector De Pressão Para Cabo De 35Mm2</t>
  </si>
  <si>
    <t>Caixa De Equalização De Terra Embutir Com 9 Terminais</t>
  </si>
  <si>
    <t>Quadro De Serviços Auxiliares</t>
  </si>
  <si>
    <t>Dutos Flexíveis Em Pead (Polietileno De Alta Densidade) - D=6", Inclusive Conexões</t>
  </si>
  <si>
    <t>Dutos Flexíveis Em Pead (Polietileno De Alta Densidade) - D=4", Inclusive Conexões</t>
  </si>
  <si>
    <t>Montagem De Cabo De Controle, Condutores De Cobre Estanhados, Tentos Coloridos, Com Blindagem, Isolamento Epr, 750V, Seção 4 X 1,5 Mm²</t>
  </si>
  <si>
    <t>Luminária Fluorescente Completa (2 X 32)W</t>
  </si>
  <si>
    <t>Caixa Metalica Octogonal 4X4" Fundo Movel</t>
  </si>
  <si>
    <t>Montagem De Eletroduto De Pvc Rígido, Diam 3/4"X 3,00M,Com1 Luva</t>
  </si>
  <si>
    <t>Montagem De Cabo De Cobre Singelo, Isolamento Pvc,750V,70Oc,Seção 2,5 Mm2</t>
  </si>
  <si>
    <t>Montagem De Cabo De Cobre ,Singelo, Isolamento De Pvc,750V,70 Oc ,Seção 4 Mm2</t>
  </si>
  <si>
    <t>Montagem De Eletroduto De Pvc Rígido, Diam 1 1/4"X 3,00M,Com1 Luva</t>
  </si>
  <si>
    <t>Curva 90º De Aço Galvanizado Sem Costura, Raio Longo, Para Ligação Em Eletroduto 4" Rosca Bsp. (Pos 35) Ref.: Blinda Ou Similar</t>
  </si>
  <si>
    <t>Caixa De Ligação Tipo Condulete, A Prova De Tempo, Gases, Vapores E Pó, Em Liga De Alumínio Fundido Com Tampa Estampada De Alumínio, Fixada Por Parafusos, Com Vedação De Junta De Borracha, Nos Seguintes Tipos E Diâmetros:</t>
  </si>
  <si>
    <t>Cabo De Cobre Nú, Tempera Meio Dura, Bitola 25 Mm2, Formação 7 Fios (Pos 49) Ref.: Pirelli Ou Similar.</t>
  </si>
  <si>
    <t>Cabo Elétrico De Controle, 4 Condutores, Cobre, Têmpera Mole,Seção Nominal, 1,5 Mm2, Formação 7 Fios, Isolamento De Pvc, Capa De Pvc Anti-Chama, Cor Preta, 0,6/1 Kv, Blindado. (Pos 66) Ref.: Sintenax Da Pirelli Ou Similar.</t>
  </si>
  <si>
    <t>Cabo De Cobre Nú,Tempera Meio Dura, Seção De 35Mm2</t>
  </si>
  <si>
    <t>Cabo De Controle, Condutores De Cobre Estanhados, Tentos Coloridos, Com Blindagem, Isolamento Epr, 750V, Seção 4 X 1,5 Mm²</t>
  </si>
  <si>
    <t>Split System Completo C/ Controle Remoto - Cap. 4,00 Tr (Fornecimento E Montagem)</t>
  </si>
  <si>
    <t>Ventosa De Tríplice Função , Com Flanges, Fofo, Pn10, Ø150 Mm.</t>
  </si>
  <si>
    <t>Ventosa De Tríplice Função , Com Flanges, Fofo, Pn10, Ø200 Mm.</t>
  </si>
  <si>
    <t>Registro De Gaveta , Chato, Com Bolsas, Junta Elástica, Cabeçote, Ferro Dúctil, Ø200 Mm</t>
  </si>
  <si>
    <t>Registro De Gaveta , Chato, Com Bolsas, Junta Elástica, Cabeçote, Ferro Dúctil, Ø150 Mm</t>
  </si>
  <si>
    <t>Escavação Manual Em Material De 1ª Categoria Com Dmt &lt;= 100 M (Até 1,5 M)</t>
  </si>
  <si>
    <t>Raspagem Da Camada Vegetal, Espes.= De 15Cm, Com Dmt &lt;= 100 M</t>
  </si>
  <si>
    <t>Aterro Compactado  Com Laterita</t>
  </si>
  <si>
    <t>Proteção Vegetal De Taludes</t>
  </si>
  <si>
    <t>Proteção Vegetal De Taludes Com "Grama Armada"</t>
  </si>
  <si>
    <t>Conformação E Regularização Final Dos Taludes</t>
  </si>
  <si>
    <t>Escadas De Segurança Para Canais</t>
  </si>
  <si>
    <t>Revestimento De Canal Com Concreto, Espes.= 5 Cm</t>
  </si>
  <si>
    <t>Junta Com Mastique Elástico</t>
  </si>
  <si>
    <t>Geotextil Não Tecido - Resistência À Tração &gt;= 15 Kn/M</t>
  </si>
  <si>
    <t>Fornecimento E Montagem De Cabo De Segurança</t>
  </si>
  <si>
    <t>Regularização E Compactação De Subleito Nas Pistas De Rolamento</t>
  </si>
  <si>
    <t>Regularização Final Dos Taludes Do Canal Com Solo  Melhorado Com Cimento (6% Peso)</t>
  </si>
  <si>
    <t>Valeta De Concreto Simples - Berma Em Corte</t>
  </si>
  <si>
    <t>Reaterro Manual De Vala Com Aproveitamento Do Material Escavado</t>
  </si>
  <si>
    <t>Preparo, Lançamento E Adensamento De Concreto  (Ca-4 E)</t>
  </si>
  <si>
    <t>Armadura Para Concreto Estrutural Ca-50B</t>
  </si>
  <si>
    <t>Material Para Fixação Do  Geosintético</t>
  </si>
  <si>
    <t>Aterro Com Material Granuloso Selecionado</t>
  </si>
  <si>
    <t>Demolição E Recomposição De Revestimento Primário (Estrada)</t>
  </si>
  <si>
    <t>Execução De Revestimento Com Pedra Argamassada, Espes.=20 Cm</t>
  </si>
  <si>
    <t>Fornecimento E Instalação De Tubo De Concreto Ca-2, Ø 1000  Mm</t>
  </si>
  <si>
    <t>Montagem De Comporta Plana = 300 X 300  Mm</t>
  </si>
  <si>
    <t>Montagem De Sifão De Segurança Tipo Si-1400</t>
  </si>
  <si>
    <t>Fornecimento E Instalação De Caixa Pré-Moldada De Concreto Com Dimensões Internas = 50 X 50 X 50 Cm Com Tampa Em Concreto Pré-Moldado</t>
  </si>
  <si>
    <t>Fornecimento E Instalação De Tubulação Para Instalação Dos Sensores De Alarme</t>
  </si>
  <si>
    <t>Instalação De Guia Para Stop-Log, 0,63 X7,04 M</t>
  </si>
  <si>
    <t>Material Para Fixação Do  Geossintético</t>
  </si>
  <si>
    <t>Enrocamento Com Pedra Arrumada  Com Dmt &lt;= 100 M</t>
  </si>
  <si>
    <t>Montagem - Stop-Log, 630 X 1.450  Mm - Tipo I.</t>
  </si>
  <si>
    <t>Comporta Plana De Fundo, Deslizante, Com Acionamento Manual, 250 X 250  Mm</t>
  </si>
  <si>
    <t>Sifão De Segurança, Tipo Neyrtec Si-1400</t>
  </si>
  <si>
    <t>Stop-Log, 630 X 500  Mm - Tipo I</t>
  </si>
  <si>
    <t>Guia Para Stop-Log, Dimensões = 0,63 X 7,04 M</t>
  </si>
  <si>
    <t>Stop-Log, 630 X 1.450  Mm - Tipo I.</t>
  </si>
  <si>
    <t>Demolição E Recomposição De Pavimento Asfáltico   (Travessia Da Br-343)</t>
  </si>
  <si>
    <t>Fornecimento E Instalação De Tubo De Concreto Ca-2, Ø 1,500  Mm</t>
  </si>
  <si>
    <t>Montagem De Tubo De Aço, Ø 1,500  Mm, Com  Conexões E Peças Para Drenagem Do Sifão</t>
  </si>
  <si>
    <t>Instalação De Guia Para Stop-Log,1,73 X 3,00 M</t>
  </si>
  <si>
    <t>Instalação De Guia Para Stop-Log,1,73 X 2,85 M</t>
  </si>
  <si>
    <t>Fornecimento E Instalação De Tampa Em Concreto Pré-Moldado Com Dimensões = 120 X 225 X 8 Cm</t>
  </si>
  <si>
    <t>Instalação De Guias Para Grade De Retenção De Sólidos, Com Dimensões = 1,80 X 3,35 M</t>
  </si>
  <si>
    <t>Fornecimento E Instalação De Cabo De Segurança</t>
  </si>
  <si>
    <t>Montagem, Extremidades Para Solda, Aço Carbono, Espessura 5/16", Ø 1500 Mm, Travessia Br</t>
  </si>
  <si>
    <t>Preparo, Lançamento E Adensamento De Concreto (Ca-5E)</t>
  </si>
  <si>
    <t>Fabricação, Montagem, Acabamento E Pintura De Guarda-Corpo Em Tubo Galvanizado, Ø 2"</t>
  </si>
  <si>
    <t>Sinalização Vertical Com Fornecimento E Instalação De Placas Em Chapa De Aço Galvanizada</t>
  </si>
  <si>
    <t>Sinalização Horizontal Com Pintura Mecanizada A Base De Resina Acrílica - Faixas De Eixo E Bordo</t>
  </si>
  <si>
    <t>Sub-Base Estabilizada Granulometricamente Sem Mistura</t>
  </si>
  <si>
    <t>Base Estabilizada Granulometricamente Sem Mistura</t>
  </si>
  <si>
    <t>Pintura De Ligação Incluindo Capa Selante Com Areia E Tratamento Superficial Simples</t>
  </si>
  <si>
    <t>Montagem - Grade Inclinada Fixa De L X H = 2,50 M X 3,50 M X Hs = 0,5 Mca No Sifão Sob A Br 343.</t>
  </si>
  <si>
    <t>Montagem - Comporta Ensecadeira De L X H = 2,50 M X 2,60 M X Hs = 2,40 Mca X Hconcreto = 2,80 M No Sifão Sob A Br 343.</t>
  </si>
  <si>
    <t>Montagem - Guia Em Aço Inox E Aço Carbono De 2900 X 2800 Mm Para O Sifão Da Br-343.</t>
  </si>
  <si>
    <t>Stop-Log, - Tipo 3 - 1,73 X 0,50 M</t>
  </si>
  <si>
    <t>Stop-Log - Tipo 3 - 1,73 X 0,57 M</t>
  </si>
  <si>
    <t xml:space="preserve">Guia Para Stop-Log, Dimensões =1,73 X 3,00 M </t>
  </si>
  <si>
    <t xml:space="preserve">Guia Para Stop-Log, Dimensões =1,73 X 2,85 M </t>
  </si>
  <si>
    <t>Grade De Retenção De Sólidos Com Dimensões = 1.800 X 3.350 Mm</t>
  </si>
  <si>
    <t>Tubo De Aço, Ø 1,500  Mm, Com  Conexões E Peças Para Drenagem Do Sifão</t>
  </si>
  <si>
    <t>Tubo, Extremidades Para Solda, Aço Carbono, Espessura 5/16", Ø 1500Mm, Travessia Br</t>
  </si>
  <si>
    <t>Grade Inclinada Fixa De L X H = 2,50 M X 3,50 M X Hs = 0,5 Mca X Espaçamento Entre Barras Verticais De 56 Mm, Completas A Serem Instaladas Duas Nas Entradas E Duas Nas Saídas Do Sifão Sob A Br 343.</t>
  </si>
  <si>
    <t>Comporta Ensecadeira De L X H = 2,50 M X 2,60 M X Hs = 2,40 Mca X Hconcreto = 2,80 M, Completa A Ser Instalada Nas Entradas E Nas Saídas Do Sifão Sob A Br 343.</t>
  </si>
  <si>
    <t>Guia Em Aço Inox E Aço Carbono De 2900 X 2800 Mm Para O Sifão Da Br-343.</t>
  </si>
  <si>
    <t>Montagem - Grade Inclinada Fixa De L X H = 2,50 M X 3,70 M Na Galeria Sob A Rede Elétrica Da Cepisa/Cemar.</t>
  </si>
  <si>
    <t>Montagem - Comporta Ensecadeira De L X H = 2,50 M X 2,63 M Na Galeria Sob A Rede Elétrica Da Cepisa/Cemar.</t>
  </si>
  <si>
    <t>Montagem - Guia Em Aço Inox E Aço Carbono De 3150 X 3100 Mm Para A Galeria De Concreto - E=503 A 515.</t>
  </si>
  <si>
    <t>Grade Inclinada Fixa De L X H = 2,50 M X 3,70 M X Hs = 0,5 Mca X Espaçamento Entre Barras Verticais De 56 Mm, Completas A Serem Instaladas Uma Na Entrada E Outra Na Saída Da Galeria Sob A Rede Elétrica Da Cepisa/Cemar.</t>
  </si>
  <si>
    <t>Comporta Ensecadeira De L X H = 2,50 M X 2,63 M X Hs = 2,43 Mca X Hconcreto = 3,13 M, Completa A Ser Instalada Na Entrada E Saída Da Galeria Sob A Rede Elétrica Da Cepisa/Cemar.</t>
  </si>
  <si>
    <t>Guia Em Aço Inox E Aço Carbono De 3150 X 3100 Mm Para A Galeria De Concreto - E=503 A 515.</t>
  </si>
  <si>
    <t>Fornecimento E Instalação De Aparelho De Apoio</t>
  </si>
  <si>
    <t>Estacas Ø 330 Mm</t>
  </si>
  <si>
    <t>Cantoneira Metálica Com Dimensões = 50 X 50 X 5 Mm</t>
  </si>
  <si>
    <t>Placa Metálica 100 X 5 Mm</t>
  </si>
  <si>
    <t>Argamassa De Revestimento</t>
  </si>
  <si>
    <t>Aterro Compactado Com Laterita</t>
  </si>
  <si>
    <t>Preparo, Lançamento E Adensamento De Concreto  (Ca-5 E)</t>
  </si>
  <si>
    <t>Montagem De Comporta Automática Tipo Avio 71/80</t>
  </si>
  <si>
    <t>Montagem De Comporta Plana Deslizante - Vg 125 X 220</t>
  </si>
  <si>
    <t>Instalação De Guia Para Stop-Log/Grades 2,00 X 2,32</t>
  </si>
  <si>
    <t>Instalação De Guia Para    Stop-Log/Grades 2,00 X 1,70 M</t>
  </si>
  <si>
    <t>Guia Para    Stop-Log/Grades 2,00 X 2,32 M</t>
  </si>
  <si>
    <t>Guia Para    Stop-Log/Grades 2,00 X 1,70 M</t>
  </si>
  <si>
    <t>Comporta Automática Tipo Avio 71/80</t>
  </si>
  <si>
    <t>Comporta Plana Deslizante, Vg 125 X 220</t>
  </si>
  <si>
    <t>Preparo, Lançamento E Adensamento De Concreto   (Ca-4 E)</t>
  </si>
  <si>
    <t>Armadura Para Concreto Estrutural, Aço Ca-50B</t>
  </si>
  <si>
    <t>Fornecimento E Instalação De Tubo Pvc Esgoto, Ø300 Mm</t>
  </si>
  <si>
    <t>Instalação De Guia Para Stop-Log/Grade 0,48 X 3,51 M</t>
  </si>
  <si>
    <t>Montagem De Tubulação Ferro Dúctil Ø 250 Mm</t>
  </si>
  <si>
    <t>Montagem - Comporta Avio® 71/40, Incluindo Instalação De Guias, Stop-Log Montante, Stop-Log Jusante E Grade Metálica-Transição Cs2 Para Ct2-4.</t>
  </si>
  <si>
    <t>Guia 0,48 X 3,51 M</t>
  </si>
  <si>
    <t>Stop-Log 480 X 500 Mm - Tipo 1</t>
  </si>
  <si>
    <t>Fornecimento De Grade 480 X 500 Mm - Tipo 1</t>
  </si>
  <si>
    <t>Tubo De Ferro Dúctil, Com Ponta E Bolsa, Junta Elástica, Classe 1 Mpa, Ø250 Mm.</t>
  </si>
  <si>
    <t>Comporta Automática De Controle De Nível A Jusante, Tipo Avio® Tamanho 71/40-Transição Cs2 Para Ct2-4.</t>
  </si>
  <si>
    <t>Comporta Deslizante De Manutenção Da Comporta Avio® 71/40, Para Operar Em Abertura Com Dimensões Livres L = 0,63 M X H = 0,63 M X Hs = 3,36 M.C.A. X Hconcr.= 4,06 M, Com Acionamento Manual-Transição Cs2 Para Ct2-4.</t>
  </si>
  <si>
    <t>Jogo De Peças Fixas De 2ª Concretagem Para Stop-Log / Grade A Ser Instalado A Montante Da Comporta Avio® 71/40 Com Abertura Com Dimensões Livres De L X H= 1,80 M X 4,06 M-Transição Cs2 Para Ct2-4.</t>
  </si>
  <si>
    <t>Grade Metálica Vertical Com Abertura Livre De L X H = 1,80 X 3,50 M X Hs= 1,00 Mca X Hconcr= 4,06 M, Espaçamento Entre Barras Verticais De 56Mm A Ser Instalada A Montante Da Comporta Avio® 71/40, Sem Viga Pescadora-Transição Cs2 Para Ct2-4.</t>
  </si>
  <si>
    <t>Jogo De Peças Fixas De 2ª Concretagem Para Stop-Log / Grade A Ser Instalado A Jusante Da Comporta Avio® 71/40 Com Abertura Com Dimensões Livres De L X H= 1,80 M X 1,60 M-Transição Cs2 Para Ct2-4.</t>
  </si>
  <si>
    <t>Comporta Ensecadeira De L X H = 1,80 M X 1,20 M X Hs = 1,00 Mca X Hconcreto = 1,60 M, Completa A Ser Instalada A Jusante Da Comporta Avio® 71/40, Sem Viga Pescadora-Transição Cs2 Para Ct2-4.</t>
  </si>
  <si>
    <t>Guia Em Aço Inox E Aço Carbono De 3800 X 2100 Mm Para Comporta Avio®-Transição Cs2 Para Ct2-4.</t>
  </si>
  <si>
    <t>Material Para Fixação Do Geosintético</t>
  </si>
  <si>
    <t>Fornecimento E Instalação De Tubo Pvc Rígido Soldável, Ø150 Mm</t>
  </si>
  <si>
    <t>Fornecimento E Instalação De Tubo Pvc Rígido Soldável, Ø300 Mm</t>
  </si>
  <si>
    <t>Instalação De Guia Para Stop-Log/Grade2,42 X 2,95 M</t>
  </si>
  <si>
    <t>Instalação De Guia Para Stop-Log/Grade2,22 X 2,75 M</t>
  </si>
  <si>
    <t>Montagem De Comporta Mista 160/140 - 55º</t>
  </si>
  <si>
    <t>Montagem De Comporta De Emergência 2,50 X 2,85 M</t>
  </si>
  <si>
    <t>Montagem - Stop-Log 2.420 X 1.300 Mm - Tipo 3.</t>
  </si>
  <si>
    <t>Montagem - Stop-Log 2.220 X 1.300 Mm - Tipo 3.</t>
  </si>
  <si>
    <t>Guia 2,42 X 2,95 M</t>
  </si>
  <si>
    <t>Guia 2,22 X 2,75 M</t>
  </si>
  <si>
    <t>Stop-Log 2.420 X 550 Mm - Tipo 3</t>
  </si>
  <si>
    <t>Stop-Log 2.220 X 415 Mm - Tipo 3</t>
  </si>
  <si>
    <t>Grade 2,42 X 2,75 M - Tipo 2</t>
  </si>
  <si>
    <t>Comporta Mista 160/140 - 55º</t>
  </si>
  <si>
    <t>Comporta De Emergência 2,50 X 2,85 M</t>
  </si>
  <si>
    <t>Stop-Log 2.420 X 1.300 Mm - Tipo 3.</t>
  </si>
  <si>
    <t>Stop-Log 2.220 X 1.300 Mm - Tipo 3.</t>
  </si>
  <si>
    <t>Limpeza Manual Interior Do Canal</t>
  </si>
  <si>
    <t>Carga Manual De Entulho Em Caminhão Basculante</t>
  </si>
  <si>
    <t>Cercas Com Estacas De Concreto Armado, Com 9 (Nove) Fios  De Arame Farpado</t>
  </si>
  <si>
    <t>Desmatamento, Destocamento E Limpeza De Terreno</t>
  </si>
  <si>
    <t>Escavação Mecânica Em Material De 2ª Categoria, Dmt&lt;=300 M</t>
  </si>
  <si>
    <t>Momento Extraordinário De Transporte, Para Material De 1ª Categoria</t>
  </si>
  <si>
    <t>Preparo, Lançamento E Adensamento De Concreto  (Ca-7 A)</t>
  </si>
  <si>
    <t>Escoramento De Estacas, Pranchas Cravadas, Mad. Aço, Prof. Até 5,0 M</t>
  </si>
  <si>
    <t>Armadura Para Concreto Estrutural Aço Ca-50B</t>
  </si>
  <si>
    <t>Alvenaria De Tijolo Cerâmico, 10Cmx20Cmx20Cm, Espes.= De 15Cm</t>
  </si>
  <si>
    <t>Concreto Betuminoso Usinado A Quente</t>
  </si>
  <si>
    <t>Base De Macadame Betuminoso Para Asfalto</t>
  </si>
  <si>
    <t>Piso Tipo Plurigoma Cor Preta</t>
  </si>
  <si>
    <t>Fabricação E Instalação De Escada Tipo Marinheiro, Com Chapa , Espes.= ¼"</t>
  </si>
  <si>
    <t>Porta Em Esquadria De Madeira, Pintura Acrílica Cor Cinza</t>
  </si>
  <si>
    <t>Porta,  2 Folhas, Em Chapa Galvanizada Nº 16, Lisa, Com Proteção Contra Oxidação E Anti-Corrosivo</t>
  </si>
  <si>
    <t>Janela Em Esquadria Alumínio Anodizado Natural, Vidro Liso</t>
  </si>
  <si>
    <t>Veneziana Horizontal Em Alumínio Anodizado Natural</t>
  </si>
  <si>
    <t xml:space="preserve">Painel De Vidro Liso Fixo </t>
  </si>
  <si>
    <t>Vaso Sanitário Com Caixa Acoplada</t>
  </si>
  <si>
    <t>Lavatório Para Sanitário</t>
  </si>
  <si>
    <t>Chuveiro Para Sanitário</t>
  </si>
  <si>
    <t>Pia Para Copa (1,20 Mx0,60 M)</t>
  </si>
  <si>
    <t>Caixa D'Água (1,612 Mx1,062 Mx0,74 M) - Capac. 1000L</t>
  </si>
  <si>
    <t>Azulejo Branco 0,15X0,15 M</t>
  </si>
  <si>
    <t>Escada Metálica, Chapa ¼", Com Corrimão 0,85 M Altura</t>
  </si>
  <si>
    <t>Plantio De Grama E Jardinagem</t>
  </si>
  <si>
    <t>Chapa Xadrez 0,50 Mx0,50 Mx¼"</t>
  </si>
  <si>
    <t>Grade De Piso 1,00X2,50X‘¼"</t>
  </si>
  <si>
    <t>Cobertura Com Telha Tipo Canelete 90</t>
  </si>
  <si>
    <t>Montagem De Conj. Motobomba Horizontal Com Motor De Indução, Tipo Gaiola, Trifásico, 380V , Inst. Abrigada Q=275L/S H=61,8 M</t>
  </si>
  <si>
    <t>Montagem De Conj. Motobomba Horizontal Com Motor De Indução, Tipo Gaiola, Trifásico, 380V , Inst. Abrigada Q=138L/S H=61,8 M</t>
  </si>
  <si>
    <t>Montagem De Conj. Motobomba Horizontal Com Motor De Indução, Tipo Gaiola, Trifásico, 380V , Inst. Abrigada Q=69L/S H=61,8 M</t>
  </si>
  <si>
    <t>Montagem De Conj. Motobomba De Drenagem, Motor Trifásico 380V, Q=5 M³/H, H=10 M</t>
  </si>
  <si>
    <t>Montagem De Conj. Motobomba De Drenagem, Motor Trifásico 380V, Q=40 M³/H, H=6 M</t>
  </si>
  <si>
    <t>Montagem Ponte Rolante Mecânica, Vão De 5,7 M, Capacidade 5 Ton, Talha 8,5 M</t>
  </si>
  <si>
    <t>Montagem Conj. Filtro Rotativo, Completo, Motobomba, 380V, Mecanismo Comando D/L=2400/3350</t>
  </si>
  <si>
    <t>Montagem Redução Concêntrica Aço Carbono, Esp. ¼", Ø450 Mm Flange, Ø 300 Mm, Peso ±  201 Kg</t>
  </si>
  <si>
    <t>Montagem Redução Concêntrica Aço Carbono, Esp. ¼", Ø350 Mm Flange, Ø200 Mm, Peso ± 59 Kg</t>
  </si>
  <si>
    <t>Montagem Redução Concêntrica Aço Carbono, Esp. ¼", Ø200 Mm Flange, Ø150 Mm, Peso ±  32,5 Kg</t>
  </si>
  <si>
    <t>Montagem Redução Excêntrica Aço Carbono, Esp. ¼", Ø500 Mm Flange, Ø350 Mm, L=0,9 M, Peso  78 Kg</t>
  </si>
  <si>
    <t>Montagem Redução Excêntrica Aço Carbono, Esp. ¼", Ø350 Mm Flange, Ø200 Mm, L=0,9 M, Peso  52 Kg</t>
  </si>
  <si>
    <t>Montagem Redução Excêntrica Aço Carbono, Esp. ¼", Ø250 Mm Flange, Ø200 Mm, L=0,9 M, Peso  43 Kg</t>
  </si>
  <si>
    <t>Montagem Toco Flangeado Aba De Vedação Aço Carbono, Esp. ¼", Ø700 Mm, L=0,70 M, Peso ±  154 Kg</t>
  </si>
  <si>
    <t>Montagem Toco Flangeado Com Aba Vedação Aço Carbono Esp. ¼", Ø500 Mm, L=0,70 M, Peso ±110 Kg</t>
  </si>
  <si>
    <t>Montagem Toco Flangeado Com Aba Vedação Aço Carbono Esp. ¼", Ø350 Mm, L=0,70 M, Peso ±  73 Kg</t>
  </si>
  <si>
    <t>Montagem Toco Flangeado Com Aba  Vedação Aço Carbono Esp. ¼", Ø250 Mm, L=0,70 M, Peso ±  48 Kg</t>
  </si>
  <si>
    <t>Montagem Curva 90º Flange/Ponta, Em Aço Carbono, Esp. ¼", Ø500 Mm, Peso ±  158 Kg</t>
  </si>
  <si>
    <t>Montagem Curva 90º Flange/Ponta, Em Aço Carbono, Esp. ¼", Ø350 Mm, Peso ±  102 Kg</t>
  </si>
  <si>
    <t>Montagem Curva 90º Flange/Ponta, Em Aço Carbono, Esp. ¼", Ø250 Mm, Peso ±  66 Kg</t>
  </si>
  <si>
    <t>Montagem Curva 45º Flange/Ponta, Em Aço Carbono, Esp. ¼", Ø700 Mm, Peso ±  110 Kg</t>
  </si>
  <si>
    <t>Montagem Curva 90º Flange/Ponta, Em Aço Carbono, Esp. ¼", Ø450 Mm, Peso ±  110 Kg</t>
  </si>
  <si>
    <t>Montagem Curva 90º Flange/Ponta, Em Aço Carbono, Esp. ¼", Ø350 Mm, Peso ±  63 Kg</t>
  </si>
  <si>
    <t>Montagem Curva 90º Flange/Ponta, Em Aço Carbono, Esp. ¼", Ø200 Mm, Peso ±  31 Kg</t>
  </si>
  <si>
    <t>Montagem Junta De Expansão Metálica Ø1000 Mm, C/Deslocamento Máximo De 50 Mm</t>
  </si>
  <si>
    <t>Montagem Junta Dresser Ø700 Mm</t>
  </si>
  <si>
    <t xml:space="preserve">Montagem Redução Concêntrica Ø1000 Mm/700 Mm Aço Carbono, Esp. 3/8", L=3,1 M, Peso ±  595 Kg    </t>
  </si>
  <si>
    <t>Montagem Junta Dresser Ø200 Mm</t>
  </si>
  <si>
    <t>Montagem Junta Dresser Ø200 Mm, Atirantada</t>
  </si>
  <si>
    <t>Montagem Junta Dresser Ø350 Mm</t>
  </si>
  <si>
    <t>Montagem Junta Dresser Ø350 Mm, Atirantada</t>
  </si>
  <si>
    <t>Montagem Junta Dresser Ø450 Mm, Atirantada</t>
  </si>
  <si>
    <t>Montagem Válvula Borboleta Ø450 Mm</t>
  </si>
  <si>
    <t>Montagem Válvula Borboleta Ø350 Mm</t>
  </si>
  <si>
    <t>Montagem Válvula Borboleta Ø300 Mm</t>
  </si>
  <si>
    <t>Montagem Válvula Borboleta Ø200 Mm</t>
  </si>
  <si>
    <t>Montagem Válvula Borboleta Ø1000 Mm</t>
  </si>
  <si>
    <t>Montagem Válvula Retenção De Portinhola Dupla Ø450 Mm</t>
  </si>
  <si>
    <t>Montagem Válvula Retenção De Portinhola Dupla Ø350 Mm</t>
  </si>
  <si>
    <t>Montagem Válvula Retenção De Portinhola Dupla Ø200 Mm</t>
  </si>
  <si>
    <t>Montagem Toco Com Flanges Em Aço Carbono, Ø350 Mm, L=0,90 M, Peso ±  73 Kg</t>
  </si>
  <si>
    <t>Montagem Toco Com Flanges Em Aço Carbono, Ø200 Mm, L=0,90 M, Peso ±  50 Kg</t>
  </si>
  <si>
    <t>Montagem Toco, Flange/Ponta Em Aço Carbono, Ø700 Mm, L=0,85 M, Peso ±  141,5 Kg</t>
  </si>
  <si>
    <t>Tubo Em Aço Carbono Com Pontas, Com Derivações, Espes.=3/8" Dn = 1.000 Mm (Conf. Desenho):</t>
  </si>
  <si>
    <t>Montagem Tubo Astm-A 283C ¼"X1596X3171 Mm, Ø1000 Mm, Peso ±  252 Kg</t>
  </si>
  <si>
    <t>Montagem Tubo Astm-A 283C ¼"X2000X3171 Mm, Ø1000 Mm, Peso ±  316 Kg</t>
  </si>
  <si>
    <t>Montagem Tubo Astm-A 283C ¼"X1000X1600 Mm, Ø500 Mm, Peso ±  80 Kg</t>
  </si>
  <si>
    <t>Montagem Tubo Astm-A 283C ¼"X2500X3171 Mm, Ø1000 Mm, Peso ±  395 Kg</t>
  </si>
  <si>
    <t>Montagem Colarinho Astm-A 283C ¼"X600X1600 Mm, Peso ±  48 Kg</t>
  </si>
  <si>
    <t>Montagem Curva 15,54º,  ± 20 Kg</t>
  </si>
  <si>
    <t>Montagem Tubo Em Aço Carbono, Flange/Ponta, Ø1000 Mm, Esp. 3/8", L=3.100 M, Peso 734 Kg</t>
  </si>
  <si>
    <t>Montagem Toco Em Aço Carbono Com Flange, Esp.=3/8", Ø700 Mm, L =0,895 M, Peso ± 183 Kg</t>
  </si>
  <si>
    <t>Montagem Toco Em Aço Carbono Com Flange, Esp.=1/4", Ø450  Mm, Peso ±  43 Kg, L = 0,40 M</t>
  </si>
  <si>
    <t>Montagem Toco Em Aço Carbono Com Flange, Esp.=1/4", Ø350 Mm, Peso ±  30 Kg, L = 0,36 M</t>
  </si>
  <si>
    <t>Montagem Toco Em Aço Carbono Com Flange, Esp.=1/4", Ø200 Mm, Peso ±  17 Kg, L = 0,35 M</t>
  </si>
  <si>
    <t>Montagem Curva 90º Com Flanges, Aço Carbono, Esp.=3/8", Ø700 Mm, Peso ±  203 Kg</t>
  </si>
  <si>
    <t xml:space="preserve">Montagem Toco Com Flanges E Aba De Vedação, Ø300 Mm, Fofo, L = 0,70 M </t>
  </si>
  <si>
    <t>Montagem Curva 90º,  Com Flanges Em Fofo -Ø100 Mm</t>
  </si>
  <si>
    <t>Montagem Curva 90º Com Flanges Em Fofo, Ø300 Mm</t>
  </si>
  <si>
    <t>Montagem Tubo, Fofo, Ø 100 Mm - L= 6,60 M</t>
  </si>
  <si>
    <t>Montagem Curva 45º Com Pontas, Aço Carbono, Ø1000 Mm Esp=3/8", Peso ± 248 Kg</t>
  </si>
  <si>
    <t>Montagem De Toco Ponta/Ponta Com Anel De Engaste, Aço-Carbono, Peso ± 282 Kg, L=1,19 M, Ø1000 Mm</t>
  </si>
  <si>
    <t>Montagem Toco Ponta/Flange, Aço-Carbono, L=0,79 M, Ø1000 Mm, Peso ± 187 Kg</t>
  </si>
  <si>
    <t>Montagem Toco Com Flange, Anel De Engaste, Aço Carbono, L=1,30 M, Ø1000 Mm, Peso ±  308 Kg</t>
  </si>
  <si>
    <t>Montagem Tubo Em Aço Carbono, L=2020 Mm, Ø500 Mm, Peso ±  161 Kg</t>
  </si>
  <si>
    <t>Montagem Tubo Em Aço Carbono, L=5420 Mm, Ø500 Mm, Peso ±  365,5 Kg</t>
  </si>
  <si>
    <t>Montagem Curva 90º, Aço Carbono, Ø500 Mm, Espes.= 1/4", Peso ±  126 Kg</t>
  </si>
  <si>
    <t>Montagem Junta Dresser Ø1000 Mm</t>
  </si>
  <si>
    <t>Montagem Curva 90º, Aço-Carbono, Ø500 Mm, Esp.=1/4", Peso ± 113 Kg</t>
  </si>
  <si>
    <t>Montagem Curva 90º, Aço-Carbono, Ø500 Mm, Esp.=1/4", Peso ± 330 Kg</t>
  </si>
  <si>
    <t>Barrilete Em Aço Carbono, Espes.=3/8", Dn = 1.000 Mm, L = 12,70 M, Com Duas Reduções 1000 X 700 Mm, Com Saídas Flangedas De 3 X Dn = 450 Mm, 1 X Dn = 350 Mm E 2 X Dn = 200 Mm ( Conforme Desenho) :</t>
  </si>
  <si>
    <t>Montagem Tubo 3/8"X1400X2229 Mm, Ø700 Mm, Peso ± 308 Kg</t>
  </si>
  <si>
    <t>Montagem Redução Excêntrica  3/8"X2100 Mm, Ø1000 Mm/700 Mm, Peso ± 423 Kg</t>
  </si>
  <si>
    <t>Montagem Tubo 3/8"X1100X1444 Mm, Ø450 Mm, Peso ± 119 Kg</t>
  </si>
  <si>
    <t>Montagem Tubo 3/8"X2055X3171 Mm, Ø1000 Mm, Peso ± 486 Kg</t>
  </si>
  <si>
    <t>Montagem Curva-Tubo 3/8"X550X344 Mm, Ø100 Mm, Peso ± 29 Kg</t>
  </si>
  <si>
    <t>Montagem Tubo 3/8"X700X1129 Mm, Ø350 Mm, Peso ± 59 Kg</t>
  </si>
  <si>
    <t>Montagem Tubo 3/8"X2600X3171 Mm, Ø1000 Mm, Peso ± 615,5 Kg</t>
  </si>
  <si>
    <t>Montagem Tubo 3/8"X500X658 Mm, Ø200 Mm, Peso ± 24,5 Kg</t>
  </si>
  <si>
    <t>Montagem Tubo 3/8"X1645X3171 Mm, Ø1000 Mm, Peso ± 389,5 Kg</t>
  </si>
  <si>
    <t>Montagem Redução Concêntrica 3/8"X1258 Mm, Ø1000 Mm/700 Mm, Peso ± 197 Kg</t>
  </si>
  <si>
    <t>Montagem Tubo 3/8"X750X2229 Mm, Ø700 Mm, Peso ± 125 Kg</t>
  </si>
  <si>
    <t>Montagem Colarinho 3/8"X600X1444 Mm, Peso ± 65 Kg</t>
  </si>
  <si>
    <t>Montagem Colarinho 3/8"X500X1129 Mm, Peso ± 42 Kg</t>
  </si>
  <si>
    <t>Montagem Colarinho 3/8"X350X658 Mm, Peso ± 17 Kg</t>
  </si>
  <si>
    <t>Montagem Colarinho 3/8"X255X344 Mm, Peso ± 6,5 Kg</t>
  </si>
  <si>
    <t>Montagem Flange Ø 18"X150 Mm - Astm-Aibi-Gri, Peso ± 10,5 Kg</t>
  </si>
  <si>
    <t>Montagem Flange Ø 14"X150 Mm - Astm-Aibi-Gri, Peso ± 17 Kg</t>
  </si>
  <si>
    <t>Montagem Flange Ø 8"X150 Mm - Astm-Aibi-Gri, Peso ± 4 Kg</t>
  </si>
  <si>
    <t>Montagem Flange Ø 4"X150 Mm - Astm-Aibi-Gri, Peso ± 3,5 Kg</t>
  </si>
  <si>
    <t>Montagem Flange Ø 12"X150 Mm - Astm-Aibi-Gri, Peso ± 13 Kg</t>
  </si>
  <si>
    <t>Montagem Tubo 3/8"X420X972 Mm, Ø300 Mm, Peso ± 30,5 Kg</t>
  </si>
  <si>
    <t>Montagem De Medidor Eletromagnético De Vazões Para Água Bruta Ø 700  Mm</t>
  </si>
  <si>
    <t>Montagem Tanque Hidropneumático, Mont. Vertical, Com Balão Interno De Borracha Para Separação Água/Ar, Em Aço Carbono Esp. 3/8", Indic. Nível, Saídas Flangeadas, V= 20 M³</t>
  </si>
  <si>
    <t>Montagem Tanque Hidropneumático, Mont. Vertical, Com Balão Interno De Borracha Para Separação Água/Ar, Em Aço Carbono Esp. 3/8", Indic. Nível, Saídas Flangeadas, V= 25 M³</t>
  </si>
  <si>
    <t>Montagem De Monovia</t>
  </si>
  <si>
    <t>Montagem De Turco, H = 4,10 M</t>
  </si>
  <si>
    <t>Montagem De Guia De Deslizamento Dos Stop-Log'S, Completa, Com Peça De Ancoragem</t>
  </si>
  <si>
    <t>Montagem De Guia De Deslizamento Das Grades, Em Viga "U", 3"X3", Completa, Com Peça De Ancoragem</t>
  </si>
  <si>
    <t>Montagem De Ventosa De Tríplice Função. Ø100 Mm</t>
  </si>
  <si>
    <t>Montagem De Válvula De Retenção C/Portinhola Dupla, Ø700 Mm</t>
  </si>
  <si>
    <t>Montagem De Flange Cego, Fofo, P/Manutenção Das Bombas, Ø300 Mm</t>
  </si>
  <si>
    <t>Montagem De Flange Cego, Fofo, P/Manutenção Das Bombas, Ø200 Mm</t>
  </si>
  <si>
    <t>Montagem De Flange Cego, Fofo, P/Manutenção Das Bombas, Ø150 Mm</t>
  </si>
  <si>
    <t>Montagem De Tubo, Fogo, Roscável, Ø1/2", L = 1,85 M</t>
  </si>
  <si>
    <t>Montagem De Registro De Gaveta, Fofo,  Roscável, Ø1/2"</t>
  </si>
  <si>
    <t>Montagem De Te, Fogo,  Roscável, Ø1/2"</t>
  </si>
  <si>
    <t>Montagem De Ventosa Simples, C/Rosca, Ø1/2"</t>
  </si>
  <si>
    <t>Montagem De Medidor De Pressão Com Emissão De Sinal De 4-20 Ma, Roscável, Ø1/2"</t>
  </si>
  <si>
    <t>Montagem De Luva, Fogo, Ø1/2"</t>
  </si>
  <si>
    <t>Montagem De Válvula De Retenção, Portinhola Dupla Perfurada, Ø500 Mm, P/Tanque Hidropneumático</t>
  </si>
  <si>
    <t>Montagem De Junta Dresser Ø500 Mm</t>
  </si>
  <si>
    <t>Montagem De Curva 45º, Fºfº, C/Flanges, Dn = 300 Mm</t>
  </si>
  <si>
    <t>Montagem De  Válvula De Gaveta, Fºfº, Dn = 100 Mm</t>
  </si>
  <si>
    <t>Montagem De Ventilador Axial</t>
  </si>
  <si>
    <t>Montagem De Para-Raios Monopolares 12 Kv,  5 Ka</t>
  </si>
  <si>
    <t>Montagem De Chaves Fusíveis Indicadora Monopolar,15Kv-100A-5Ka,Elos 40 K</t>
  </si>
  <si>
    <t>Montagem De Transformador  De Corrente,15 Kv, Relação 400/5A</t>
  </si>
  <si>
    <t>Montagem De Chave Secionadora Tripolar ,15 Kv-400A</t>
  </si>
  <si>
    <t>Montagem De Disjuntor Tripolar,15 Kv-630A,350 Mva De Ruptura</t>
  </si>
  <si>
    <t>Montagem De Transformador De Potencia,13800/380-220V-750 Kva</t>
  </si>
  <si>
    <t>Montagem De Painel De Relés De Proteção Da Subestação</t>
  </si>
  <si>
    <t>Montagem De Poste De Concreto Duplo T, 7,00 M De Altura</t>
  </si>
  <si>
    <t>Montagem De Tubo De Ferro Galvanizado Diam 4"X 3,00M ,Para Mourão De Cerca</t>
  </si>
  <si>
    <t>Montagem De Painel Para Cerca Em Perfis, Ferro Chato E Tela De Arame Galv. 2,00 X 2,50M</t>
  </si>
  <si>
    <t>Montagem De Painel Para Cerca Em Perfis, Ferro Chato E Tela De Arame Galv. 2,50 X 2,50M</t>
  </si>
  <si>
    <t>Montagem De Painel Para Cerca Em Perfis, Ferro Chato E Tela De Arame Galv. 2,30 X 2,50M</t>
  </si>
  <si>
    <t>Montagem De Portão Em Perfis, Ferro Chato E Tela De Arame Galv. 1,20 X 2,20M</t>
  </si>
  <si>
    <t>Montagem De Cabo De Cobre Nú, Tempera Meio Dura, Seção 16Mm2</t>
  </si>
  <si>
    <t>Montagem De Luminária Com Lâmpada Mista 250W-220V</t>
  </si>
  <si>
    <t>Montagem De Eletroduto De Pvc Rígido ,Diam 4"X 3,0M Com 1 Luva</t>
  </si>
  <si>
    <t>Montagem De Eletroduto De Pvc Rígido ,Diam 1"X 3,0M Com 1 Luva</t>
  </si>
  <si>
    <t>Montagem De Caixa  De Ligação ,4'X 4" Com Espelho Cego</t>
  </si>
  <si>
    <t>Montagem De Caixa Padronizada Para Medição De Energia Ativa E Reativa , Para Embutir Em Parede, Padrão Cepisa</t>
  </si>
  <si>
    <t>Mc Calha De Madeira  Com 3,00 M De Comprimento, Para Proteção Do  Cabo Terra</t>
  </si>
  <si>
    <t>Montagem De Poste De Ferro Galvanizado Duplo, Curvo, Com Base  300X300Mm Com 4 Chumbadores, Diam. 3/4" X 700 Mm, Altura De 8,00 M, Tipo 222B Da Aço Poste, Ou Similar</t>
  </si>
  <si>
    <t xml:space="preserve">Montagem De Poste De Ferro Galvanizado,Curvo,Com Base 300 X 300 Mm, Com 4 Chumbadores, Diam. 3/4" X 700 Mm, Altura = 8 M </t>
  </si>
  <si>
    <t>Montagem De Luminária Para Lâmpada Vapor De Mercúrio 250W,Com Reator Afp Embutido Na Montagem De Luminária Com Base E Relé Fotoelétrico Instalado Na Parte Superior, Inclusive Lâmpada.</t>
  </si>
  <si>
    <t xml:space="preserve">Montagem De Eletroduto De Pvc Rígido Diam 3/4"X3,00M Com 1 Luva </t>
  </si>
  <si>
    <t>Montagem De Eletroduto De Pvc Rígido Diam 1 "X 3,00M Com 1 Luva</t>
  </si>
  <si>
    <t>Montagem De Cabo De Cobre ,Singelo, Isolamento De Pvc,750V,70 Oc ,Seção 6 Mm2</t>
  </si>
  <si>
    <t>Montagem De Cabo De Cobre ,Singelo, Isolamento De Pvc,750V,70 Oc ,Seção 10 Mm2</t>
  </si>
  <si>
    <t>Fio De Cobre ,Isolamento De Pvc,750V,70 Oc, Seção 2,5 Mm 2</t>
  </si>
  <si>
    <t>Montagem Painel Distribuição Luz, Para Sobrepor Em Parede,Sem Disjuntor Geral E Contendo 1 Disjunt. Tripolar Para 15 A E 16 Disjuntores Monopolares Para 15A Para Sistema De 380/220V-60Hz, 10Ka</t>
  </si>
  <si>
    <t>Montagem De Quadro De Comando De Bomba, Para Operação Manual E Automática, Com 2 Chaves De Bóia, Cisterna E Caixa D'Água, Para Motor De 1/4 Cv</t>
  </si>
  <si>
    <t>Montagem De Luminária Tipo Projetor, Com Lâmpada Halógena De 300W-220V</t>
  </si>
  <si>
    <t>Montagem De Luminária Tipo Drops, Com Lâmpada Incandescente 100W-220V</t>
  </si>
  <si>
    <t>Montagem De Luminária Com Lâmpada Incandescente 200W-220V</t>
  </si>
  <si>
    <t xml:space="preserve">Montagem De Equipamento Para Iluminação De Emergência, Sistema Monofásico, Entrada Para 220/60Hz, Autonomia Para 90 Min, Com 2 Lâmpadas De 75W, </t>
  </si>
  <si>
    <t>Montagem De Eletroduto De Pvc Rígido Diam 3/4"X3,00M,Com 1 Luva</t>
  </si>
  <si>
    <t>Montagem De Tubo Sealtite Com 850Mm De Comprimento</t>
  </si>
  <si>
    <t>Montagem De Petrolete Em Liga De Alumínio Fundida R-15/Lr-22</t>
  </si>
  <si>
    <t>Montagem De Petrolete Em Liga De Alumínio Fundida R-15/Ll-22</t>
  </si>
  <si>
    <t>Montagem De Petrolete Em Liga De Alumínio Fundida R-15/ T-22</t>
  </si>
  <si>
    <t>Montagem De Petrolete Em Liga De Alumínio Fundida R-15/Lb-22</t>
  </si>
  <si>
    <t>Montagem De Petrolete C Em Liga De Alumínio Fundida ,Para Tubo Diam 3/4",Com Tampa ,Com Tomada 2 Pinos Para 250V-10A</t>
  </si>
  <si>
    <t>Montagem De Petrolete E Em Liga De Alumínio Fundida ,Para Tubo Diam 3/4",Com Tampa ,Com Tomada 2 Pinos Para 250V-10A</t>
  </si>
  <si>
    <t>Montagem De Petrolete T Em Liga De Alumínio Fundida ,Para Tubo Diam 3/4",Com Tampa ,Com Tomada 2 Pinos Para 250V-10A</t>
  </si>
  <si>
    <t>Montagem De Petrolete Lr Em Liga De Alumínio Fundida ,Para Tubo Diam 3/4",Com Tampa ,Com Tomada 2 Pinos Para 250V-10A</t>
  </si>
  <si>
    <t>Montagem De Petrolete E Em Liga De Alumínio Fundida ,Para Tubo Diam 3/4",Com Tampa ,Com Interruptor De Uma Seção Para 250V-10A</t>
  </si>
  <si>
    <t>Montagem De Tomada Trifásica ,Três Fases Mais Terra ,Para Uso Ao Tempo ,Para 380V</t>
  </si>
  <si>
    <t>Montagem De Plug Para Tomada  R-20Tr/415</t>
  </si>
  <si>
    <t>Montagem De Caixa De Ferro Esmaltado  4"X2"</t>
  </si>
  <si>
    <t>Montagem De Espelho  4"X 2",Com Um Interruptor De Uma Seção</t>
  </si>
  <si>
    <t>Montagem De Quadro Geral De Baixa Tensão</t>
  </si>
  <si>
    <t>Montagem De Quadro De Serviços Auxiliares</t>
  </si>
  <si>
    <t>Montagem De Quadro De Comando Dos Motores Dos Exaustores</t>
  </si>
  <si>
    <t>Montagem De Quadro De Partida  De Motor Por Tensão Reduzida, Transistorizada, Para Motor Trifásico De 250 Kw, 380 V/60Hz</t>
  </si>
  <si>
    <t>Montagem De Quadro De Partida  De Motor Por Tensão Reduzida, Transistorizada, Para Motor Trifásico De 150 Kw, 380 V/60Hz</t>
  </si>
  <si>
    <t>Montagem De Quadro De Partida  De Motor Por Tensão Reduzida, Transistorizada, Para Motor Trifásico De 75 Kw, 380 V/60Hz</t>
  </si>
  <si>
    <t>Montagem De Mesa De Comando E Medição</t>
  </si>
  <si>
    <t>Montagem De Retificador Carregador Da Bateria,Monofasico,220V-60Hz,Saida 25A-48Vcc</t>
  </si>
  <si>
    <t>Montagem De Prateleira De Chapa Dobrada E Galvanizada, Tipo Srs 300, Comprimento De 2000 Mm</t>
  </si>
  <si>
    <t xml:space="preserve">Montagem De Prateleira De Chapa Dobrada E Galvanizada, Tipo Srs 300, Comprimento De 2500 Mm </t>
  </si>
  <si>
    <t xml:space="preserve">Montagem De Prateleira De Chapa Dobrada E Galvanizada, Tipo Srs 300, Comprimento De 3000 Mm </t>
  </si>
  <si>
    <t xml:space="preserve">Montagem De Prateleira De Chapa Dobrada E Galvanizada, Tipo Srs 300, Comprimento De 3500 Mm </t>
  </si>
  <si>
    <t>Montagem De Mensola Simples Para Montagem De Prateleira, Comprimento De 300Mm,Tipo Srs-553</t>
  </si>
  <si>
    <t>Montagem De Curva Horizontal, Galvanizada, Tipo Srs-301</t>
  </si>
  <si>
    <t>Montagem De Junção Articulada ,Galvanizada, Tipo Srs-325</t>
  </si>
  <si>
    <t>Montagem De Junção Simples, Galvanizada, Tipo Srs-326</t>
  </si>
  <si>
    <t>Montagem De Grapa Galvanizada Para Montagem De Prateleira</t>
  </si>
  <si>
    <t>Montagem De Eletroduto De Pvc Rígido, Diam 3"X 3,00M,Com1 Luva</t>
  </si>
  <si>
    <t>Montagem De Eletroduto De Pvc Rígido, Diam 2 1/2"X 3,00M,Com1 Luva</t>
  </si>
  <si>
    <t>Montagem De Eletroduto De Pvc Rígido, Diam 2"X 3,00M,Com1 Luva</t>
  </si>
  <si>
    <t>Montagem De Eletroduto De Pvc Rígido, Diam 1 1/2"X 3,00M,Com1 Luva</t>
  </si>
  <si>
    <t>Montagem De Eletroduto De Pvc Rígido, Diam 1"X 3,00M,Com1 Luva</t>
  </si>
  <si>
    <t>Tubo Sealtaite Diam 3/4"X 1,2M,Tipo Cp-B/22</t>
  </si>
  <si>
    <t>Montagem De Petrolete Em Liga De Alumínio Fundida R-15/Lr-33</t>
  </si>
  <si>
    <t>Montagem De Petrolete Em Liga De Alumínio Fundida R-15/Ll-33</t>
  </si>
  <si>
    <t>Montagem De Petrolete Em Liga De Alumínio Fundida R-15/ T-33</t>
  </si>
  <si>
    <t>Montagem De Petrolete Em Liga De Alumínio Fundida R-15/Lb-33</t>
  </si>
  <si>
    <t>Montagem De Tomada Trifásica ,Três Fases Mais Terra ,Para Uso Ao Tempo ,Para 380V, R-20Tr/415</t>
  </si>
  <si>
    <t>Montagem De Plug Para Tomada  R-20Tr/415,Tipo R-40T/415</t>
  </si>
  <si>
    <t xml:space="preserve">Montagem De Tomada Bifásica ,Com Fase Mais Terra ,Para Uso Ao Tempo , Para 220V, Tipo R-20Tr/415 </t>
  </si>
  <si>
    <t>Montagem De Plug Para Tomada  R-20Tr/210, Tipo R-40T/210</t>
  </si>
  <si>
    <t>Montagem De Caixa Em Liga De Alumínio Fundida, Com Tampa ,Para Fixação Em Parede, Com Furos Lisos</t>
  </si>
  <si>
    <t xml:space="preserve">Montagem De Caixa Em Liga De Alumínio Fundida, Com Tampa ,Para Fixação Em Parede, Com Furos Lisos </t>
  </si>
  <si>
    <t>Montagem De Caixa Em Liga De Alumínio Fundida, Com Tampa , Para Fixação No Piso, Com Furos Lisos</t>
  </si>
  <si>
    <t xml:space="preserve">Montagem De Caixa Em Liga De Alumínio Fundida, Com Tampa , Para Fixação No Piso, Com Furos Lisos </t>
  </si>
  <si>
    <t xml:space="preserve">Montagem De Cabo  De Cobre Singelo, Isolamento Epr, 0,6/1 Kv, 90 Graus Centígrados, Seção Do Condutor = 185 Mm² </t>
  </si>
  <si>
    <t xml:space="preserve">Montagem De Cabo  De Cobre Singelo, Isolamento Epr, 0,6/1 Kv, 90 Graus Centígrados, Seção Do Condutor = 120 Mm² </t>
  </si>
  <si>
    <t xml:space="preserve">Montagem De Cabo  De Cobre Singelo, Isolamento Epr, 0,6/1 Kv, 90 Graus Centígrados, Seção Do Condutor = 70 Mm² </t>
  </si>
  <si>
    <t xml:space="preserve">Montagem De Cabo  De Cobre Singelo, Isolamento Epr, 0,6/1 Kv, 90 Graus Centígrados, Seção Do Condutor = 16 Mm² </t>
  </si>
  <si>
    <t>Montagem De Cabo  De Cobre Singelo, Isolamento Epr, 0,6/1 Kv, 90 Graus Centígrados, Seção Do Condutor = 4 Mm²</t>
  </si>
  <si>
    <t xml:space="preserve">Montagem De Cabo  De Cobre Singelo, Isolamento Epr, 0,6/1 Kv, 90 Graus Centígrados, Seção Do Condutor = 2,5 Mm² </t>
  </si>
  <si>
    <t>Montagem De Cabo De Controle, Condutores De Cobre Estanhados, Tentos Coloridos, Com Blindagem, Isolamento Epr, 750V, Seção 6 X 1,5 Mm²</t>
  </si>
  <si>
    <t>Montagem De Cabo De Controle, Condutores De Cobre Estanhados, Tentos Coloridos, Com Blindagem, Isolamento Epr, 750V, Seção 8 X 1,5 Mm²</t>
  </si>
  <si>
    <t>Montagem De Cabo De Controle, Condutores De Cobre Estanhados, Tentos Coloridos, Com Blindagem, Isolamento Epr, 750V, Seção 2 X 4 Mm²</t>
  </si>
  <si>
    <t>Montagem De Cabo De Controle, Condutores De Cobre Estanhados, Tentos Coloridos, Com Blindagem, Isolamento Epr, 750V, Seção 4 X 4 Mm²</t>
  </si>
  <si>
    <t>Montagem De Cabo De Cobre Nú, Tempera Mio Duro, Seção 70Mm2,Formação 7 Fios</t>
  </si>
  <si>
    <t>Montagem De Cabo De Cobre Nú, Tempera Macia, Seção De 35Mm2,Formação 7 Fios</t>
  </si>
  <si>
    <t>Montagem De Haste De Aterramento Cobreada, Diam 3/4"X 2,50M</t>
  </si>
  <si>
    <t>Montagem - Curva 90º Com Flanges 450 Mm, Esp 1/4", Aço Carbono.</t>
  </si>
  <si>
    <t>Montagem - Tubo Ponta/Flange Com Aba De Vedação Esp. 1/4", 450 Mm, Localizado A 35Cm Do Flange - L = 847 Mm, Aço Carbono.</t>
  </si>
  <si>
    <t>Montagem - Tubo Flange/Ponta Esp. 1/4", 450 Mm - L = 350 Mm, Aço Carbono.</t>
  </si>
  <si>
    <t>Montagem - Tubo Flange/Ponta Esp. 1/4", 450 Mm - L = 339 Mm, Aço Carbono.</t>
  </si>
  <si>
    <t>Montagem - Tê Com Flanges Esp. 1/4" - 450 X 50 Mm - L = 250 Mm, Aço Carbono.</t>
  </si>
  <si>
    <t>Montagem - Tubo Flangeado Esp. 1/4", 450 Mm - L = 600 Mm, Aço Carbono.</t>
  </si>
  <si>
    <t>Montagem - Curva 90° Com Flange E Pé 450 Mm Esp. 1/4", Aço Carbono.</t>
  </si>
  <si>
    <t>Montagem - Tubo Dn=1.000 Mm Com 04 Derivações 450 Mm E Duas 500 Mm, Esp. 3/8" - L = 10.450 Mm, Aço Carbono.</t>
  </si>
  <si>
    <t>Montagem - Tubo Flange/Ponta Esp. 1/4", 450 Mm - L = 2.000 Mm, Aço Carbono.</t>
  </si>
  <si>
    <t>Montagem - Calota Torisférica Esp. 3/8",  1.000 Mm, Aço Carbono.</t>
  </si>
  <si>
    <t>Montagem - Derivação Com Pontas Esp. 1/4",  450 Mm - L = 425 Mm, Aço Carbono.</t>
  </si>
  <si>
    <t>Montagem - Colarinho  Esp. 1/4", 450 Mm, Aço Carbono.</t>
  </si>
  <si>
    <t>Montagem - Derivação Flangeada Com Ponta Esp. 1/4",  500 Mm - L = 425 Mm, Aço Carbono.</t>
  </si>
  <si>
    <t>Montagem - Colarinho Esp. 1/4", 500 Mm, Aço Carbono.</t>
  </si>
  <si>
    <t>Montagem - Tubo Ponta/Ponta Esp. 1/4", 500 Mm - L = 1.640 Mm, Aço Carbono.</t>
  </si>
  <si>
    <t>Montagem - Tubo Flange/Ponta Esp. 1/4" 500 Mm - L = 800 Mm, Aço Carbono.</t>
  </si>
  <si>
    <t>Montagem - Válvula Borboleta Flangeada Esp. 1/4" Awwa  500 Mm, Aço Carbono.</t>
  </si>
  <si>
    <t>Montagem - Tubo Flangeado Esp. 1/4", 500 Mm - L = 800 Mm, Aço Carbono.</t>
  </si>
  <si>
    <t>Montagem - Curva 90º Com Flange E Pé Esp. 1/4", 500 Mm, Aço Carbono.</t>
  </si>
  <si>
    <t>Montagem - Tubo Com Flange E Ponta Esp. 1/4", 450 Mm - L = 600 Mm, Aço Carbono.</t>
  </si>
  <si>
    <t>Montagem - Tubo Ponta Flange Esp. 5/16", 700 Mm - L = 7.000 Mm, Aço Carbono.</t>
  </si>
  <si>
    <t>Pedra Argamassada</t>
  </si>
  <si>
    <t>Aterro Compactado, Compreendendo Escavação, Carga, Descarga E Transporte Até 300 M, Umedecimento, Espalhamento, Homogenização E Compactação</t>
  </si>
  <si>
    <t>Colchão De Areia</t>
  </si>
  <si>
    <t>Tubulação Ponta E Bolsa De Concreto Armado, Ø 600  Mm</t>
  </si>
  <si>
    <t>Conj. Motobomba Horizontal Com Motor De Indução, Tipo Gaiola, Trifásico, 380V , Inst. Abrigada Q=275L/S H=61,8 M</t>
  </si>
  <si>
    <t>Conj. Motobomba Horizontal Com Motor De Indução, Tipo Gaiola, Trifásico, 380V , Inst. Abrigada Q=138L/S H=61,8 M</t>
  </si>
  <si>
    <t>Conj. Motobomba Horizontal Com Motor De Indução, Tipo Gaiola, Trifásico, 380V , Inst. Abrigada Q=69L/S H=61,8 M</t>
  </si>
  <si>
    <t>Conj. Motobomba De Drenagem, Motor Trifásico 380V, Q=5 M³/H, H=10 M</t>
  </si>
  <si>
    <t>Conj. Motobomba De Drenagem, Motor Trifásico 380V, Q=40 M³/H, H=6 M</t>
  </si>
  <si>
    <t>Ponte Rolante Mecânica, Vão De 5,7 M, Capacidade 5 Ton, Talha 8,5 M</t>
  </si>
  <si>
    <t>Conj. Filtro Rotativo, Completo, Motobomba, 380V, Mecanismo Comando D/L=2400/3350</t>
  </si>
  <si>
    <t>Redução Concêntrica Em Aço Carbono, Esp. ¼", Ø450 Mm Com Flange, Ø 300 Mm, Peso ±  201 Kg</t>
  </si>
  <si>
    <t>Redução Concêntrica Em Aço Carbono, Esp. ¼", Ø350 Mm Com Flange, Ø200 Mm, Peso ± 59 Kg</t>
  </si>
  <si>
    <t>Redução Concêntrica Em Aço Carbono, Esp. ¼", Ø200 Mm Com Flange, Ø150 Mm, Peso ±  32,5 Kg</t>
  </si>
  <si>
    <t>Redução Excêntrica Em Aço Carbono, Esp. ¼", Ø500 Mm Com Flange, Ø350 Mm, L=0,9 M, Peso ±  78 Kg</t>
  </si>
  <si>
    <t>Redução Excêntrica Em Aço Carbono, Esp. ¼", Ø350 Mm Com Flange, Ø200 Mm, L=0,9 M, Peso ±  52 Kg</t>
  </si>
  <si>
    <t>Redução Excêntrica Em Aço Carbono, Esp. ¼", Ø250 Mm Com Flange, Ø200 Mm, L=0,9 M, Peso ±  43 Kg</t>
  </si>
  <si>
    <t>Toco Flangeado Com Aba De Vedação Em Aço Carbono, Esp. ¼", Ø700 Mm, L=0,70 M, Peso ±  154 Kg</t>
  </si>
  <si>
    <t>Toco Flangeado Com Aba De Vedação Em Aço Carbono Esp. ¼", Ø500 Mm, L=0,70 M, Peso ±  110 Kg</t>
  </si>
  <si>
    <t>Toco Flangeado Com Aba De Vedação Em Aço Carbono Esp. ¼", Ø350 Mm, L=0,70 M, Peso ±  73 Kg</t>
  </si>
  <si>
    <t>Toco Flangeado Com Aba De Vedação Em Aço Carbono Esp. ¼", Ø250 Mm, L=0,70 M, Peso ±  48 Kg</t>
  </si>
  <si>
    <t xml:space="preserve"> Curva 90º Flange/Ponta, Em Aço Carbono, Esp. ¼", Ø500 Mm, Peso ±  158 Kg</t>
  </si>
  <si>
    <t xml:space="preserve"> Curva 90º Flange/Ponta, Em Aço Carbono, Esp. ¼", Ø350 Mm, Peso ±  102 Kg</t>
  </si>
  <si>
    <t xml:space="preserve"> Curva 90º Flange/Ponta, Em Aço Carbono, Esp. ¼", Ø250 Mm, Peso ±  66 Kg</t>
  </si>
  <si>
    <t xml:space="preserve"> Curva 45º Flange/Ponta, Em Aço Carbono, Esp. ¼", Ø700 Mm, Peso ±  110 Kg</t>
  </si>
  <si>
    <t xml:space="preserve"> Curva 90º Flange/Ponta, Em Aço Carbono, Esp. ¼", Ø450 Mm, Peso ±  110 Kg</t>
  </si>
  <si>
    <t xml:space="preserve"> Curva 90º Flange/Ponta, Em Aço Carbono, Esp. ¼", Ø350 Mm, Peso ±  63 Kg</t>
  </si>
  <si>
    <t xml:space="preserve"> Curva 90º Flange/Ponta, Em Aço Carbono, Esp. ¼", Ø200 Mm, Peso ±  31 Kg</t>
  </si>
  <si>
    <t xml:space="preserve"> Junta De Expansão Metálica Ø1000 Mm, C/Deslocamento Máximo De 50 Mm</t>
  </si>
  <si>
    <t xml:space="preserve"> Junta Dresser Ø700 Mm</t>
  </si>
  <si>
    <t xml:space="preserve"> Redução Concêntrica Ø1000 Mm/700 Mm Em Aço Carbono, Esp. 3/8", L=3,1 M, Peso ±  595 Kg    </t>
  </si>
  <si>
    <t xml:space="preserve"> Junta Dresser Ø200 Mm</t>
  </si>
  <si>
    <t xml:space="preserve"> Junta Dresser Ø200 Mm, Atirantada</t>
  </si>
  <si>
    <t xml:space="preserve"> Junta Dresser Ø350 Mm</t>
  </si>
  <si>
    <t xml:space="preserve"> Junta Dresser Ø350 Mm, Atirantada</t>
  </si>
  <si>
    <t xml:space="preserve"> Junta Dresser Ø450 Mm, Atirantada</t>
  </si>
  <si>
    <t xml:space="preserve"> Válvula Borboleta Ø450 Mm</t>
  </si>
  <si>
    <t xml:space="preserve"> Válvula Borboleta Ø350 Mm</t>
  </si>
  <si>
    <t xml:space="preserve"> Válvula Borboleta Ø300 Mm</t>
  </si>
  <si>
    <t xml:space="preserve"> Válvula Borboleta Ø200 Mm</t>
  </si>
  <si>
    <t xml:space="preserve"> Válvula Borboleta Ø1000 Mm</t>
  </si>
  <si>
    <t xml:space="preserve"> Válvula De Retenção De Portinhola Dupla Ø450 Mm</t>
  </si>
  <si>
    <t xml:space="preserve"> Válvula De Retenção De Portinhola Dupla Ø350 Mm</t>
  </si>
  <si>
    <t xml:space="preserve"> Válvula De Retenção De Portinhola Dupla Ø200 Mm</t>
  </si>
  <si>
    <t xml:space="preserve"> Toco Com Flanges Em Aço Carbono, Ø350 Mm, L=0,90 M, Peso ±  73 Kg</t>
  </si>
  <si>
    <t xml:space="preserve"> Toco Com Flanges Em Aço Carbono, Ø200 Mm, L=0,90 M, Peso ±  50 Kg</t>
  </si>
  <si>
    <t xml:space="preserve"> Toco, Flange/Ponta Em Aço Carbono, Ø700 Mm, L=0,85 M, Peso ±  141,5 Kg</t>
  </si>
  <si>
    <t>Tubo Em Aço Carbono Com Pontas, Com Derivações, Espes.=3/8" Dn = 1.000 Mm (Conforme Desenho):</t>
  </si>
  <si>
    <t xml:space="preserve"> Tubo Astm-A 283C ¼"X1596X3171 Mm, Ø1000 Mm, Peso ±  252 Kg</t>
  </si>
  <si>
    <t xml:space="preserve"> Tubo Astm-A 283C ¼"X2000X3171 Mm, Ø1000 Mm, Peso ±  316 Kg</t>
  </si>
  <si>
    <t xml:space="preserve"> Tubo Astm-A 283C ¼"X1000X1600 Mm, Ø500 Mm, Peso ±  80 Kg</t>
  </si>
  <si>
    <t xml:space="preserve"> Tubo Astm-A 283C ¼"X2500X3171 Mm, Ø1000 Mm, Peso ±  395 Kg</t>
  </si>
  <si>
    <t xml:space="preserve"> Colarinho Astm-A 283C ¼"X600X1600 Mm, Peso ±  48 Kg</t>
  </si>
  <si>
    <t xml:space="preserve"> Curva 15,54º, ± 20 Kg</t>
  </si>
  <si>
    <t xml:space="preserve"> Tubo Em Aço Carbono, Flange/Ponta, Ø1000 Mm, Esp. 3/8", L=3.100 M, Peso 734 Kg</t>
  </si>
  <si>
    <t xml:space="preserve"> Toco Em Aço Carbono Com Flange, Esp.=3/8", Ø700 Mm, L =0,895 M, Peso ± 183 Kg</t>
  </si>
  <si>
    <t xml:space="preserve"> Toco Em Aço Carbono Com Flange, Esp.=1/4", Ø450  Mm, Peso ±  43 Kg, L = 0,40 M</t>
  </si>
  <si>
    <t xml:space="preserve"> Toco Em Aço Carbono Com Flange, Esp.=1/4", Ø350 Mm, Peso ±  30 Kg, L = 0,36 M</t>
  </si>
  <si>
    <t xml:space="preserve"> Toco Em Aço Carbono Com Flange, Esp.=1/4", Ø200 Mm, Peso ±  17 Kg, L = 0,35 M</t>
  </si>
  <si>
    <t xml:space="preserve"> Curva 90º Com Flanges, Aço Carbono, Esp.=3/8", Ø700 Mm, Peso ±  203 Kg</t>
  </si>
  <si>
    <t xml:space="preserve"> Toco Com Flanges E Aba De Vedação, Ø300 Mm, Fofo, L = 0,70 M </t>
  </si>
  <si>
    <t xml:space="preserve"> Curva 90º,  Com Flanges Ø300 Mm Em Fofo -Ø100 Mm</t>
  </si>
  <si>
    <t xml:space="preserve"> Tubo, Fofo, Ø 100 Mm - L= 6,60 M</t>
  </si>
  <si>
    <t xml:space="preserve"> Curva 45º Com Pontas, Aço Carbono, Ø1000 Mm Esp=3/8", Peso ± 248 Kg</t>
  </si>
  <si>
    <t xml:space="preserve"> Toco Ponta/Ponta Com Anel De Engaste, Aço-Carbono, Peso ± 282 Kg, L=1,19 M, Ø1000 Mm</t>
  </si>
  <si>
    <t xml:space="preserve"> Toco Ponta/Flange, Aço-Carbono, L=0,79 M, Ø1000 Mm, Peso ± 187 Kg</t>
  </si>
  <si>
    <t xml:space="preserve"> Toco Com Flange, Anel De Engaste, Aço Carbono, L=1,30 M, Ø1000 Mm, Peso ±  308 Kg</t>
  </si>
  <si>
    <t xml:space="preserve"> Tubo Em Aço Carbono, L=2020 Mm, Ø500 Mm, Peso ±  161 Kg</t>
  </si>
  <si>
    <t xml:space="preserve"> Tubo Em Aço Carbono, L=5420 Mm, Ø500 Mm, Peso ±  365,5 Kg</t>
  </si>
  <si>
    <t xml:space="preserve"> Curva 90º, Aço Carbono, Ø500 Mm, Espes.= 1/4", Peso ±  126 Kg</t>
  </si>
  <si>
    <t xml:space="preserve"> Junta Dresser Ø1000 Mm</t>
  </si>
  <si>
    <t xml:space="preserve"> Curva 90º, Aço-Carbono, Ø500 Mm, Esp.=1/4", Peso ± 113 Kg</t>
  </si>
  <si>
    <t xml:space="preserve"> Curva 90º, Aço-Carbono, Ø500 Mm, Esp.=1/4", Peso ± 330 Kg</t>
  </si>
  <si>
    <t xml:space="preserve"> Tubo 3/8"X1400X2229 Mm, Ø700 Mm, Peso ± 308 Kg</t>
  </si>
  <si>
    <t xml:space="preserve"> Redução Excêntrica  3/8"X2100 Mm, Ø1000 Mm/700 Mm, Peso ± 423 Kg</t>
  </si>
  <si>
    <t xml:space="preserve"> Tubo 3/8"X1100X1444 Mm, Ø450 Mm, Peso ± 119 Kg</t>
  </si>
  <si>
    <t xml:space="preserve"> Tubo 3/8"X2055X3171 Mm, Ø1000 Mm, Peso ± 486 Kg</t>
  </si>
  <si>
    <t xml:space="preserve"> Curva-Tubo 3/8"X550X344 Mm, Ø100 Mm, Peso ± 29 Kg</t>
  </si>
  <si>
    <t xml:space="preserve"> Tubo 3/8"X700X1129 Mm, Ø350 Mm, Peso ± 59 Kg</t>
  </si>
  <si>
    <t xml:space="preserve"> Tubo 3/8"X2600X3171 Mm, Ø1000 Mm, Peso ± 615,5 Kg</t>
  </si>
  <si>
    <t xml:space="preserve"> Tubo 3/8"X500X658 Mm, Ø200 Mm, Peso ± 24,5 Kg</t>
  </si>
  <si>
    <t xml:space="preserve"> Tubo 3/8"X1645X3171 Mm, Ø1000 Mm, Peso ± 389,5 Kg</t>
  </si>
  <si>
    <t xml:space="preserve"> Redução Concêntrica 3/8"X1258 Mm, Ø1000 Mm/700 Mm, Peso ± 197 Kg</t>
  </si>
  <si>
    <t xml:space="preserve"> Tubo 3/8"X750X2229 Mm, Ø700 Mm, Peso ± 125 Kg</t>
  </si>
  <si>
    <t xml:space="preserve"> Colarinho 3/8"X600X1444 Mm, Peso ± 65 Kg</t>
  </si>
  <si>
    <t xml:space="preserve"> Colarinho 3/8"X500X1129 Mm, Peso ± 42 Kg</t>
  </si>
  <si>
    <t xml:space="preserve"> Colarinho 3/8"X350X658 Mm, Peso ± 17 Kg</t>
  </si>
  <si>
    <t xml:space="preserve"> Colarinho 3/8"X255X344 Mm, Peso ± 6,5 Kg</t>
  </si>
  <si>
    <t xml:space="preserve"> Flange Ø 18"X150 Mm - Astm-Aibi-Gri, Peso ± 10,5 Kg</t>
  </si>
  <si>
    <t xml:space="preserve"> Flange Ø 14"X150 Mm - Astm-Aibi-Gri, Peso ± 17 Kg</t>
  </si>
  <si>
    <t xml:space="preserve"> Flange Ø 8"X150 Mm - Astm-Aibi-Gri, Peso ± 4 Kg</t>
  </si>
  <si>
    <t xml:space="preserve"> Flange Ø 4"X150 Mm - Astm-Aibi-Gri, Peso ± 3,5 Kg</t>
  </si>
  <si>
    <t xml:space="preserve"> Flange Ø 12"X150 Mm - Astm-Aibi-Gri, Peso ± 13 Kg</t>
  </si>
  <si>
    <t xml:space="preserve"> Tubo 3/8"X420X972 Mm, Ø300 Mm, Peso ± 30,5 Kg</t>
  </si>
  <si>
    <t xml:space="preserve"> Medidor Eletromagnético De Vazões Para Água Bruta Ø 700  Mm</t>
  </si>
  <si>
    <t xml:space="preserve"> Tanque Hidropneumático, Mont. Vertical, Com Balão Interno De Borracha Para Separação Água/Ar, Em Aço Carbono Esp. 3/8", Indic. Nível, Saídas Flangeadas, V= 20 M³</t>
  </si>
  <si>
    <t xml:space="preserve"> Tanque Hidropneumático, Mont. Vertical, Com Balão Interno De Borracha Para Separação Água/Ar, Em Aço Carbono Esp. 3/8", Indic. Nível, Saídas Flangeadas, V= 25 M³</t>
  </si>
  <si>
    <t xml:space="preserve"> Compressor De Ar Portátil P/Tanque Hidropneumático</t>
  </si>
  <si>
    <t>Talha Manual, Carga 2 Ton</t>
  </si>
  <si>
    <t xml:space="preserve"> Carro Troley</t>
  </si>
  <si>
    <t xml:space="preserve"> Monovia</t>
  </si>
  <si>
    <t>Forca Metálica (Turco) Para Suspensão Das Monovias</t>
  </si>
  <si>
    <t xml:space="preserve"> Guia De Deslizamento Dos Stop-Log'S, Completa, Com Peça De Ancoragem </t>
  </si>
  <si>
    <t xml:space="preserve"> Stop-Log Metálico, 0,80 X 1,50 M</t>
  </si>
  <si>
    <t xml:space="preserve"> Guia De Deslizamento Das Grades, Em Viga "U", 3"X3", Completa, Com Peça De Ancoragem</t>
  </si>
  <si>
    <t xml:space="preserve"> Viga Pescadora P/ Stop-Log, Larg.= 1,50 M</t>
  </si>
  <si>
    <t xml:space="preserve"> Grade Metálica</t>
  </si>
  <si>
    <t xml:space="preserve"> Ventosa De Tríplice Função. Ø100 Mm</t>
  </si>
  <si>
    <t xml:space="preserve"> Válvula De Retenção C/Portinhola Dupla, Ø700 Mm</t>
  </si>
  <si>
    <t xml:space="preserve"> Flange Cego, Fofo, P/Manutenção Das Bombas, Ø300 Mm</t>
  </si>
  <si>
    <t xml:space="preserve"> Flange Cego, Fofo, P/Manutenção Das Bombas, Ø200 Mm</t>
  </si>
  <si>
    <t xml:space="preserve"> Flange Cego, Fofo, P/Manutenção Das Bombas, Ø150 Mm</t>
  </si>
  <si>
    <t xml:space="preserve"> Tubo, Fogo, Roscável, Ø1/2", L = 1,85 M</t>
  </si>
  <si>
    <t xml:space="preserve"> Registro De Gaveta, Fofo,  Roscável, Ø1/2"</t>
  </si>
  <si>
    <t xml:space="preserve"> Te, Fogo,  Roscável, Ø1/2"</t>
  </si>
  <si>
    <t xml:space="preserve"> Ventosa Simples, C/Rosca, Ø1/2"</t>
  </si>
  <si>
    <t xml:space="preserve"> Medidor De Pressão Com Emissão De Sinal De 4-20 Ma, Roscável, Ø1/2"</t>
  </si>
  <si>
    <t xml:space="preserve"> Luva, Fogo, Ø1/2"</t>
  </si>
  <si>
    <t xml:space="preserve"> Válvula De Retenção, Portinhola Dupla Perfurada, Ø500 Mm, P/Tanque Hidropneumático</t>
  </si>
  <si>
    <t xml:space="preserve"> Junta Dresser, Ø500 Mm</t>
  </si>
  <si>
    <t xml:space="preserve"> Acessórios P/Flanges, Fofo, Ø100 Mm</t>
  </si>
  <si>
    <t xml:space="preserve"> Acessórios P/Flanges, Aço, Ø150 Mm</t>
  </si>
  <si>
    <t xml:space="preserve"> Acessórios P/Flanges, Aço, Ø200 Mm</t>
  </si>
  <si>
    <t xml:space="preserve"> Acessórios P/Flanges, Aço, Ø250 Mm</t>
  </si>
  <si>
    <t xml:space="preserve"> Acessórios P/Flanges, Fofo, Ø300 Mm</t>
  </si>
  <si>
    <t xml:space="preserve"> Acessórios P/Flanges, Aço, Ø300 Mm</t>
  </si>
  <si>
    <t xml:space="preserve"> Acessórios P/Flanges, Aço, Ø350 Mm</t>
  </si>
  <si>
    <t xml:space="preserve"> Acessórios P/Flanges, Aço, Ø450 Mm</t>
  </si>
  <si>
    <t xml:space="preserve"> Acessórios P/Flanges, Aço, Ø500 Mm</t>
  </si>
  <si>
    <t xml:space="preserve"> Acessórios P/Flanges, Aço, Ø700 Mm</t>
  </si>
  <si>
    <t xml:space="preserve"> Acessórios P/Flanges, Aço, Ø1000 Mm</t>
  </si>
  <si>
    <t xml:space="preserve"> Ventilador Axial</t>
  </si>
  <si>
    <t>Curva 45º, Fºfº, C/Flanges, Dn = 300 Mm</t>
  </si>
  <si>
    <t xml:space="preserve"> Válvula De Gaveta, Fºfº, Dn = 100 Mm</t>
  </si>
  <si>
    <t>Para-Raios Monopolares 12 Kv,  5 Ka</t>
  </si>
  <si>
    <t>Chaves Fusíveis Indicadora Monopolar,15Kv-100A-5Ka,Elos 40 K</t>
  </si>
  <si>
    <t>Transformador  De Corrente,15 Kv, Relação 400/5A</t>
  </si>
  <si>
    <t>Chave Secionadora Tripolar ,15 Kv-400A</t>
  </si>
  <si>
    <t>Disjuntor Tripolar,15 Kv-630A,350 Mva De Ruptura</t>
  </si>
  <si>
    <t>Transformador De Potencia,13800/380-220V-750 Kva</t>
  </si>
  <si>
    <t>Painel De Relés De Proteção Da Subestação</t>
  </si>
  <si>
    <t>Poste De Concreto Duplo T, 7,00 M De Altura</t>
  </si>
  <si>
    <t xml:space="preserve">Perfil  L 3 X 4 X 5/16 X 2760Mm, 7,94 Kg/ M ,Galvanizado </t>
  </si>
  <si>
    <t>Perfil C, 4"X 1 5/8"X 2760Mm ; 9,30 Kg/M, Galvanizado</t>
  </si>
  <si>
    <t xml:space="preserve">Chapa De Ferro Galvanizada,100 X 380Mm X 1/4" </t>
  </si>
  <si>
    <t xml:space="preserve">Chapa De Ferro Galvanizada,100 X 220 Mmx 1/4" </t>
  </si>
  <si>
    <t xml:space="preserve">Chapa De Ferro Galvanizada,300 X1250 Mm X 1/4" </t>
  </si>
  <si>
    <t>Perfil L  2"X 100Mm X 5/16 "Para Fixação De Chave Fusível</t>
  </si>
  <si>
    <t>Perfil L  2"X 2 "X 1750Mm Para Fixação Dos Para-Raios</t>
  </si>
  <si>
    <t>Perfil C 4"X1 5/8" X 1250Mm Para Fixação Dos Isoladores De Pedestal</t>
  </si>
  <si>
    <t>Tubo De Ferro Galvanizado Diam 4"X 3,00M ,Para Mourão De Cerca</t>
  </si>
  <si>
    <t>Cap Para Tubo Diam 4 ", Ferro Galvanizado</t>
  </si>
  <si>
    <t>Painel Para Cerca Em Perfis, Ferro Chato E Tela De Arame Galv. 2,00 X 2,50M</t>
  </si>
  <si>
    <t>Painel Para Cerca Em Perfis, Ferro Chato E Tela De Arame Galv. 2,50 X 2,50M</t>
  </si>
  <si>
    <t>Painel Para Cerca Em Perfis, Ferro Chato E Tela De Arame Galv. 2,30 X 2,50M</t>
  </si>
  <si>
    <t>Portão Em Perfis, Ferro Chato E Tela De Arame Galv. 1,20 X 2,20M</t>
  </si>
  <si>
    <t>Cinta Para Poste Duplo T ,130 X 170Mm ,Galvanizado</t>
  </si>
  <si>
    <t>Parafuso De Máquina Diam 5/8 "X 350Mm,Cabeça Quadrada,2 Porcas E 2 Arruelas</t>
  </si>
  <si>
    <t>Parafuso De Máquina Diam. 5/8"X 200 Mm ,Com Porca ,Arruela Lisa E De Pressão</t>
  </si>
  <si>
    <t>Porca Olhal ,Ferro Fundido Nodular, Para Parafuso Diam 5/8",Tipo Ad-1522 Wetzel</t>
  </si>
  <si>
    <t xml:space="preserve">Gancho Olhal Galvanizado </t>
  </si>
  <si>
    <t>Grampo De Ancoragem Universal,Ferro Fundido Nodular</t>
  </si>
  <si>
    <t>Isolador De Disco ,Vidro Temperado, Garfo-Olhal</t>
  </si>
  <si>
    <t>Isolador Pedestal Para 15 Kv</t>
  </si>
  <si>
    <t>Isolador De Passagem 15Kv-160A</t>
  </si>
  <si>
    <t>Conector Para 2 Cabos De Cobre 35Mm2</t>
  </si>
  <si>
    <t>Conector Para Isolador Pedestal E Cabo 35Mm2 Ou Vergalhão 6,5Mm2</t>
  </si>
  <si>
    <t>Conector Barra Chata 4 Furos Nema E 2 Cabos 185Mm2</t>
  </si>
  <si>
    <t>Conector Para 2 Cabos De Cobre 16Mm2</t>
  </si>
  <si>
    <t xml:space="preserve">Vergalhão De Cobre Têmpera Dura ,Diam De 6,5Mm2 X 10,0 M  </t>
  </si>
  <si>
    <t>Cabo De Cobre Nú, Tempera Meio Dura, Seção De 70Mm2</t>
  </si>
  <si>
    <t>Cabo De Cobre Nú, Tempera Meio Dura, Seção 16Mm2</t>
  </si>
  <si>
    <t>Luminária Com Lâmpada Mista 250W-220V</t>
  </si>
  <si>
    <t>Eletroduto De Pvc Rígido ,Diam 4"X 3,0M Com 1 Luva</t>
  </si>
  <si>
    <t>Eletroduto De Pvc Rígido ,Diam 1"X 3,0M Com 1 Luva</t>
  </si>
  <si>
    <t>Curva  90 Graus De Pvc Rígido ,Diam 4",Com 2 Luvas</t>
  </si>
  <si>
    <t>Caixa  De Ligação ,4'X 4" Com Espelho Cego</t>
  </si>
  <si>
    <t>Caixa Padronizada Para Medição De Energia Ativa E Reativa , Para Embutir Em Parede, Conforme Padão Cepisa</t>
  </si>
  <si>
    <t>Calha De Madeira  Com 3,00 M De Comprimento, Para Proteção Do Cabo Terra</t>
  </si>
  <si>
    <t>Poste De Ferro Galvanizado Duplo, Curvo, Com Base  300X300Mm Com 4 Chumbadores Diam. 3/4"X 700 Mm, Altura De 8,00 M, Tipo 222B Da Aço Poste, Ou Simil;Ar</t>
  </si>
  <si>
    <t xml:space="preserve">Poste De Ferro Galvanizado,Curvo,Com Base 300 X 300 Mm, Com 4 Chumbadores, Diam. 3/4" X 700 Mm, Altura = 8 M </t>
  </si>
  <si>
    <t>Luminária Para Lâmpada Vapor De Mercúrio 250W,Com Reator Afp Embutido Na Luminária Com Base E Relé Fotoelétrico Instalado Na Parte Superior, Inclusive Lâmpada.</t>
  </si>
  <si>
    <t xml:space="preserve">Eletroduto De Pvc Rígido Diam 3/4"X3,00M Com 1 Luva </t>
  </si>
  <si>
    <t>Eletroduto De Pvc Rígido Diam 1 "X 3,00M Com 1 Luva</t>
  </si>
  <si>
    <t>Curva 90 Graus De Pvc Rígido, Diam 3/4 "Com 2 Luvas</t>
  </si>
  <si>
    <t>Curva 90 Graus De Pvc Rígido, Diam 1 " Com 2 Luvas</t>
  </si>
  <si>
    <t>Cabo De Cobre ,Singelo, Isolamento De Pvc,750V,70 Oc ,Seção 4 Mm2</t>
  </si>
  <si>
    <t>Cabo De Cobre ,Singelo, Isolamento De Pvc,750V,70 Oc ,Seção 6 Mm2</t>
  </si>
  <si>
    <t>Cabo De Cobre ,Singelo, Isolamento De Pvc,750V,70 Oc ,Seção 10 Mm2</t>
  </si>
  <si>
    <t>Painel De Distribuição  De Luz, Para Sobrepor Em Parede,Sem Disjuntor Geral E Contendo 1 Disjuntor Tripolar Para 15 A E 16 Disjuntores Monopolares Para 15A Para Sistema De 380/220V-60Hz, 10Ka</t>
  </si>
  <si>
    <t>Quadro De Comando De Bomba, Para Operação Manual E Automática, Com 2 Chaves De Bóia, Cisterna E Caixa D'Água, Para Motor De 1/4 Cv</t>
  </si>
  <si>
    <t>Luminária Tipo Projetor, Com Lâmpada Halógena De 300W-220V</t>
  </si>
  <si>
    <t>Luminária Tipo Drops, Com Lâmpada Incandescente 100W-220V</t>
  </si>
  <si>
    <t>Luminária Com Lâmpada Incandescente 200W-220V</t>
  </si>
  <si>
    <t>Equipamento Para Iluminação De Emergência, Sistema Monofásico, Entrada Para 220/60Hz, Autonomia Para 90 Min, Com 2 Lâmpadas De 75W</t>
  </si>
  <si>
    <t>Eletroduto De Pvc Rígido Diam 3/4"X3,00M,Com 1 Luva</t>
  </si>
  <si>
    <t>Curva 45 Graus, De Pvc Rígido , Diam 3/4",Com 2 Luvas</t>
  </si>
  <si>
    <t xml:space="preserve">União De Pvc Para Tubo Rígido Diam 3/4 </t>
  </si>
  <si>
    <t>Tubo Sealtite Com 850Mm De Comprimento</t>
  </si>
  <si>
    <t>Suporte Para Tubo Diam 3/4"</t>
  </si>
  <si>
    <t>Petrolete Em Liga De Alumínio Fundida R-15/Lr-22</t>
  </si>
  <si>
    <t>Petrolete Em Liga De Alumínio Fundida R-15/Ll-22</t>
  </si>
  <si>
    <t>Petrolete Em Liga De Alumínio Fundida R-15/ T-22</t>
  </si>
  <si>
    <t>Petrolete Em Liga De Alumínio Fundida R-15/Lb-22</t>
  </si>
  <si>
    <t>Petrolete C Em Liga De Alumínio Fundida ,Para Tubo Diam 3/4",Com Tampa ,Com Tomada 2 Pinos Para 250V-10A</t>
  </si>
  <si>
    <t>Petrolete E Em Liga De Alumínio Fundida ,Para Tubo Diam 3/4",Com Tampa ,Com Tomada 2 Pinos Para 250V-10A</t>
  </si>
  <si>
    <t>Petrolete T Em Liga De Alumínio Fundida ,Para Tubo Diam 3/4",Com Tampa ,Com Tomada 2 Pinos Para 250V-10A</t>
  </si>
  <si>
    <t>Petrolete Lr Em Liga De Alumínio Fundida ,Para Tubo Diam 3/4",Com Tampa ,Com Tomada 2 Pinos Para 250V-10A</t>
  </si>
  <si>
    <t>Petrolete E Em Liga De Alumínio Fundida ,Para Tubo Diam 3/4",Com Tampa ,Com Interruptor De Uma Seção Para 250V-10A</t>
  </si>
  <si>
    <t>Tomada Trifásica ,Três Fases Mais Terra ,Para Uso Ao Tempo ,Para 380V</t>
  </si>
  <si>
    <t>Plug Para Tomada  R-20Tr/415</t>
  </si>
  <si>
    <t>Caixa De Ferro Esmaltado  4"X2"</t>
  </si>
  <si>
    <t>Espelho  4"X 2",Com Um Interruptor De Uma Seção</t>
  </si>
  <si>
    <t xml:space="preserve">Bucha Plástica Tipo S-10 </t>
  </si>
  <si>
    <t>Parafuso De Rosca Soberba Diam 10 X 60 Mm</t>
  </si>
  <si>
    <t>Bucha Plástica S-6</t>
  </si>
  <si>
    <t>Parafuso De Rosca Soberba Diam 6 X 50 Mm</t>
  </si>
  <si>
    <t>Cabo De Cobre Singelo, Isolamento Pvc,750V,70Oc,Seção 2,5 Mm2</t>
  </si>
  <si>
    <t>Quadro Geral De Baixa Tensão</t>
  </si>
  <si>
    <t>Quadro De Comando Dos Motores Dos Exaustores</t>
  </si>
  <si>
    <t>Quadro De Partida  De Motor Por Tensão Reduzida, Transistorizada, Para Motor Trifásico De 250 Kw, 380 V/60Hz</t>
  </si>
  <si>
    <t>Quadro De Partida  De Motor Por Tensão Reduzida, Transistorizada, Para Motor Trifásico De 150 Kw, 380 V/60Hz</t>
  </si>
  <si>
    <t>Quadro De Partida  De Motor Por Tensão Reduzida, Transistorizada, Para Motor Trifásico De 75 Kw, 380 V/60Hz</t>
  </si>
  <si>
    <t>Mesa De Comando E Medição</t>
  </si>
  <si>
    <t>Retificador Carregador Da Bateria,Monofasico,220V-60Hz,Saida 25A-48Vcc</t>
  </si>
  <si>
    <t>Bateria De Acumuladores Chumbo-Ácido, Para 48Vcc,75Ah Para 10H</t>
  </si>
  <si>
    <t>Prateleira De Chapa Dobrada E Galvanizada, Tipo Srs 300, Comprimento De 2000 Mm</t>
  </si>
  <si>
    <t xml:space="preserve">Prateleira De Chapa Dobrada E Galvanizada, Tipo Srs 300, Comprimento De 2500 Mm </t>
  </si>
  <si>
    <t xml:space="preserve">Prateleira De Chapa Dobrada E Galvanizada, Tipo Srs 300, Comprimento De 3000 Mm </t>
  </si>
  <si>
    <t xml:space="preserve">Prateleira De Chapa Dobrada E Galvanizada, Tipo Srs 300, Comprimento De 3500 Mm </t>
  </si>
  <si>
    <t>Mensola Simples Para Prateleira, Comprimento De 300Mm,Tipo Srs-553</t>
  </si>
  <si>
    <t>Curva Horizontal, Galvanizada, Tipo Srs-301</t>
  </si>
  <si>
    <t>Junção Articulada ,Galvanizada, Tipo Srs-325</t>
  </si>
  <si>
    <t>Junção Simples, Galvanizada, Tipo Srs-326</t>
  </si>
  <si>
    <t>Grapa Galvanizada Para Prateleira</t>
  </si>
  <si>
    <t>Bucha  De Pvc, Tipo S-10</t>
  </si>
  <si>
    <t>Parafuso De Rosca Soberba Diam 10X 60Mm,Cabeça Sextavada</t>
  </si>
  <si>
    <t>Parafuso Cabeça De Lentilha ,Com Trava,Diam 5/16"X1/2",Com Arruela Lisa E Porca Sextavada</t>
  </si>
  <si>
    <t>Eletroduto De Pvc Rígido, Diam 3"X 3,00M,Com1 Luva</t>
  </si>
  <si>
    <t>Eletroduto De Pvc Rígido, Diam 2 1/2"X 3,00M,Com1 Luva</t>
  </si>
  <si>
    <t>Eletroduto De Pvc Rígido, Diam 2"X 3,00M,Com1 Luva</t>
  </si>
  <si>
    <t>Eletroduto De Pvc Rígido, Diam 1 1/2"X 3,00M,Com1 Luva</t>
  </si>
  <si>
    <t>Eletroduto De Pvc Rígido, Diam 1 1/4"X 3,00M,Com1 Luva</t>
  </si>
  <si>
    <t>Eletroduto De Pvc Rígido, Diam 1"X 3,00M,Com1 Luva</t>
  </si>
  <si>
    <t>Eletroduto De Pvc Rígido, Diam 3/4"X 3,00M,Com1 Luva</t>
  </si>
  <si>
    <t>Curva 90 Graus De Pvc Rígido, Diam 2 1/2 "Com 2 Luvas</t>
  </si>
  <si>
    <t>Curva 90 Graus De Pvc Rígido, Diam 2 "Com 2 Luvas</t>
  </si>
  <si>
    <t>Curva 90 Graus De Pvc Rígido, Diam  1 1/2 "Com 2 Luvas</t>
  </si>
  <si>
    <t>Curva 90 Graus De Pvc Rígido, Diam 1 1/4 "Com 2 Luvas</t>
  </si>
  <si>
    <t>Curva 90 Graus De Pvc Rígido, Diam 1 "Com 2 Luvas</t>
  </si>
  <si>
    <t xml:space="preserve">União De Pvc Para Tubo Rígido Diam 2 1/2" </t>
  </si>
  <si>
    <t xml:space="preserve">União De Pvc Para Tubo Rígido Diam 2 " </t>
  </si>
  <si>
    <t>União De Pvc Para Tubo Rígido Diam 1 1/2 "</t>
  </si>
  <si>
    <t>União De Pvc Para Tubo Rígido Diam  1 1/4 "</t>
  </si>
  <si>
    <t xml:space="preserve">União De Pvc Para Tubo Rígido Diam  1" </t>
  </si>
  <si>
    <t xml:space="preserve">União De Pvc Para Tubo Rígido Diam 3/4" </t>
  </si>
  <si>
    <t>Suporte P/ Tubo Diam 2 1/2"Tipo Cp-17A/77,Com Base Cp-17S/77</t>
  </si>
  <si>
    <t>Suporte P/ Tubo Diam 2" Tipo Cp-17A/66,Com Base Cp-17S/66</t>
  </si>
  <si>
    <t>Suporte P/ Tubo Diam 1 1/2" Tipo Cp-17A/55,Com Base Cp-17S/55</t>
  </si>
  <si>
    <t>Suporte P/ Tubo Diam 1 1/4" Tipo Cp-17A/44,Com Base Cp-17S/44</t>
  </si>
  <si>
    <t>Suporte P/ Tubo Diam 1" Tipo Cp-17A/33,Com Base Cp-17S/33</t>
  </si>
  <si>
    <t>Suporte P/ Tubo Diam 3/4" Tipo Cp-17A/22,Com Base Cp-17S/22</t>
  </si>
  <si>
    <t>Petrolete Em Liga De Alumínio Fundida R-15/Lr-33</t>
  </si>
  <si>
    <t>Petrolete Em Liga De Alumínio Fundida R-15/Ll-33</t>
  </si>
  <si>
    <t>Petrolete Em Liga De Alumínio Fundida R-15/ T-33</t>
  </si>
  <si>
    <t>Petrolete Em Liga De Alumínio Fundida R-15/Lb-33</t>
  </si>
  <si>
    <t>Tomada Trifásica ,Três Fases Mais Terra ,Para Uso Ao Tempo ,Para 380V, R-20Tr/415</t>
  </si>
  <si>
    <t>Plug Para Tomada  R-20Tr/415,Tipo R-40T/415</t>
  </si>
  <si>
    <t xml:space="preserve">Tomada Bifásica ,Com Fase Mais Terra ,Para Uso Ao Tempo , Para 220V, Tipo R-20Tr/415 </t>
  </si>
  <si>
    <t>Plug Para Tomada  R-20Tr/210, Tipo R-40T/210</t>
  </si>
  <si>
    <t>Caixa Em Liga De Alumínio Fundida, Com Tampa ,Para Fixação Em Parede, Com Furos Lisos</t>
  </si>
  <si>
    <t xml:space="preserve">Caixa Em Liga De Alumínio Fundida, Com Tampa ,Para Fixação Em Parede, Com Furos Lisos </t>
  </si>
  <si>
    <t>Caixa Em Liga De Alumínio Fundida, Com Tampa , Para Fixação No Piso, Com Furos Lisos</t>
  </si>
  <si>
    <t xml:space="preserve">Caixa Em Liga De Alumínio Fundida, Com Tampa , Para Fixação No Piso, Com Furos Lisos </t>
  </si>
  <si>
    <t xml:space="preserve">Cabo Cobre Singelo, Isolamento Epr, 0,6/1 Kv, 90 Graus Centígrados, Seção Do Condutor = 185 Mm² </t>
  </si>
  <si>
    <t xml:space="preserve">Cabo Cobre Singelo, Isolamento Epr, 0,6/1 Kv, 90 Graus Centígrados, Seção Do Condutor = 120 Mm² </t>
  </si>
  <si>
    <t xml:space="preserve">Cabo Cobre Singelo, Isolamento Epr, 0,6/1 Kv, 90 Graus Centígrados, Seção Do Condutor = 70 Mm² </t>
  </si>
  <si>
    <t xml:space="preserve">Cabo Cobre Singelo, Isolamento Epr, 0,6/1 Kv, 90 Graus Centígrados, Seção Do Condutor = 16 Mm² </t>
  </si>
  <si>
    <t>Cabo Cobre Singelo, Isolamento Epr, 0,6/1 Kv, 90 Graus Centígrados, Seção Do Condutor = 4 Mm²</t>
  </si>
  <si>
    <t xml:space="preserve">Cabo Cobre Singelo, Isolamento Epr, 0,6/1 Kv, 90 Graus Centígrados, Seção Do Condutor = 2,5 Mm² </t>
  </si>
  <si>
    <t>Cabo De Controle, Condutores De Cobre Estanhados, Tentos Coloridos, Com Blindagem, Isolamento Epr, 750V, Seção 6 X 1,5 Mm²</t>
  </si>
  <si>
    <t>Cabo De Controle, Condutores De Cobre Estanhados, Tentos Coloridos, Com Blindagem, Isolamento Epr, 750V, Seção 8 X 1,5 Mm²</t>
  </si>
  <si>
    <t>Cabo De Controle, Condutores De Cobre Estanhados, Tentos Coloridos, Com Blindagem, Isolamento Epr, 750V, Seção 2 X 4 Mm²</t>
  </si>
  <si>
    <t>Cabo De Controle, Condutores De Cobre Estanhados, Tentos Coloridos, Com Blindagem, Isolamento Epr, 750V, Seção 4 X 4 Mm²</t>
  </si>
  <si>
    <t>Cabo De Cobre Nú, Tempera Macia, Seção De 35Mm2,Formação 7 Fios</t>
  </si>
  <si>
    <t>Haste De Aterramento Cobreada, Diam 3/4"X 2,50M</t>
  </si>
  <si>
    <t>Solda "X", Para 2 Cabos Seção 70Mm2,Cartucho Número 200</t>
  </si>
  <si>
    <t xml:space="preserve">Solda "T", Para 2 Cabos  Seção 70Mm2,Cartucho Número 90 </t>
  </si>
  <si>
    <t xml:space="preserve">Solda Para Um Cabo De Seção De 70Mm2 Passante E Haste De Terra Diam De 3/4", </t>
  </si>
  <si>
    <t>Solda ' T ' Para Um Cabo 70Mm2 Passante E 35Mm2 Na Derivação</t>
  </si>
  <si>
    <t>Molde Para Ligação  "X ", 2 X 70Mm2,Tipo  Xbm.Y4Y4</t>
  </si>
  <si>
    <t>Molde  Para Ligação"T",2 Cabos 70Mm2,Tipo Tac.Y4Y4</t>
  </si>
  <si>
    <t>Molde Para Cabo Passante 70Mm2 E Haste De Terra Diam 3/4"</t>
  </si>
  <si>
    <t>Molde Para Cabo 70Mm2 Passante E 35Mm2 Derivação</t>
  </si>
  <si>
    <t>Conector Barra Chata ,Com 1 Furo Nema,E Cabo 35Mm2</t>
  </si>
  <si>
    <t>Conector Barra Chata ,Com 1 Furo Nema,E Cabo 70Mm2,Tipo Qa26-B</t>
  </si>
  <si>
    <t>Conector Para Cabo 35Mm2 Passante E Barra Chata</t>
  </si>
  <si>
    <t>Curva 90º Com Flanges 450 Mm, Esp 1/4", Aço Carbono.</t>
  </si>
  <si>
    <t>Tubo Ponta/Flange Com Aba De Vedação Esp. 1/4", 450 Mm, Localizado A 35Cm Do Flange - L = 847 Mm, Aço Carbono.</t>
  </si>
  <si>
    <t>Tubo Flange/Ponta Esp. 1/4", 450 Mm - L = 350 Mm, Aço Carbono.</t>
  </si>
  <si>
    <t>Tubo Flange/Ponta Esp. 1/4", 450 Mm - L = 339 Mm, Aço Carbono.</t>
  </si>
  <si>
    <t>Tê Com Flanges Esp. 1/4" - 450 X 50 Mm - L = 250 Mm, Aço Carbono.</t>
  </si>
  <si>
    <t>Tubo Flangeado Esp. 1/4", 450 Mm - L = 600 Mm, Aço Carbono.</t>
  </si>
  <si>
    <t>Curva 90° Com Flange E Pé 450 Mm Esp. 1/4", Aço Carbono.</t>
  </si>
  <si>
    <t>Tubo Dn=1.000 Mm Com 04 Derivações 450 Mm E Duas 500 Mm, Esp. 3/8" - L = 10.450 Mm, Aço Carbono.</t>
  </si>
  <si>
    <t>Tubo Flange/Ponta Esp. 1/4", 450 Mm - L = 2.000 Mm, Aço Carbono.</t>
  </si>
  <si>
    <t>Calota Torisférica Esp. 3/8",  1.000 Mm, Aço Carbono.</t>
  </si>
  <si>
    <t>Derivação Com Pontas Esp. 1/4",  450 Mm - L = 425 Mm, Aço Carbono.</t>
  </si>
  <si>
    <t>Colarinho  Esp. 1/4", 450 Mm, Aço Carbono.</t>
  </si>
  <si>
    <t>Derivação Flangeada Com Ponta Esp. 1/4",  500 Mm - L = 425 Mm, Aço Carbono.</t>
  </si>
  <si>
    <t>Colarinho Esp. 1/4", 500 Mm, Aço Carbono.</t>
  </si>
  <si>
    <t>Tubo Ponta/Ponta Esp. 1/4", 500 Mm - L = 1.640 Mm, Aço Carbono.</t>
  </si>
  <si>
    <t>Tubo Flange/Ponta Esp. 1/4" 500 Mm - L = 800 Mm, Aço Carbono.</t>
  </si>
  <si>
    <t>Válvula Borboleta Flangeada Esp. 1/4" Awwa  500 Mm, Aço Carbono.</t>
  </si>
  <si>
    <t>Tubo Flangeado Esp. 1/4", 500 Mm - L = 800 Mm, Aço Carbono.</t>
  </si>
  <si>
    <t>Curva 90º Com Flange E Pé Esp. 1/4", 500 Mm, Aço Carbono.</t>
  </si>
  <si>
    <t>Tubo Com Flange E Ponta Esp. 1/4", 450 Mm - L = 600 Mm, Aço Carbono.</t>
  </si>
  <si>
    <t>Tubo Ponta Flange Esp. 5/16", 700 Mm - L = 7.000 Mm, Aço Carbono.</t>
  </si>
  <si>
    <t xml:space="preserve"> Escav. Manual  Em Material De  1ª Cat. Com Dmt&lt;= 100 M. (Até 1,5M)</t>
  </si>
  <si>
    <t xml:space="preserve"> Escavação Mecânica Vala De Assentamento Dmt&lt;= 100 M (Até 2M)</t>
  </si>
  <si>
    <t xml:space="preserve"> Reaterro Manual De Vala, Com Reaproveitamento Do  Material Escavado . </t>
  </si>
  <si>
    <t xml:space="preserve">Reaterro Manual De Vala, Com Colchão De Areia , Com Dmt &lt; 100 M  </t>
  </si>
  <si>
    <t>Desmatamento, Destocamento E Limpeza De Terreno.</t>
  </si>
  <si>
    <t>Escoramento Simples Fechado De Vala, Profundidade Até 3 M</t>
  </si>
  <si>
    <t>Preparo, Lançamento E Adensamento Concreto Ciclópico (200 Kg/M3)</t>
  </si>
  <si>
    <t>Alvenaria De Tijolo Cerâmico 10 X 20 X 20 Cm , Esp. 15 Cm.</t>
  </si>
  <si>
    <t>Tampa De Caixa De Válvulas Em Folha De Flandres, 2,20 X 1,30 M, Com Alça</t>
  </si>
  <si>
    <t>Montagem De Tomada De Lote - Det. 1  (Tipo 1)</t>
  </si>
  <si>
    <t>Montagem De Tomada De Lote - Det. 2  (Tipo 2)</t>
  </si>
  <si>
    <t>Montagem De Tomada De Lote - Det. 2  (Tipo 3)</t>
  </si>
  <si>
    <t>Montagem De Tubulação E Acessórios Da Rede Pressurizada:</t>
  </si>
  <si>
    <t>Pvc Ø 100 Mm</t>
  </si>
  <si>
    <t>Pvc Ø 150 Mm</t>
  </si>
  <si>
    <t>Ferro Dúctil Ø 150 Mm</t>
  </si>
  <si>
    <t>Ferro Dúctil Ø 200 Mm</t>
  </si>
  <si>
    <t>Ferro Dúctil Ø 250 Mm</t>
  </si>
  <si>
    <t>Ferro Dúctil Ø 300 Mm</t>
  </si>
  <si>
    <t>Ferro Dúctil Ø 350 Mm</t>
  </si>
  <si>
    <t>Ferro Dúctil Ø 400 Mm</t>
  </si>
  <si>
    <t>Ferro Dúctil Ø 450 Mm</t>
  </si>
  <si>
    <t>Ferro Dúctil Ø 500 Mm</t>
  </si>
  <si>
    <t>Ferro Dúctil Ø 600 Mm</t>
  </si>
  <si>
    <t>Ferro Dúctil Ø 700 Mm</t>
  </si>
  <si>
    <t>Ferro Dúctil Ø 800 Mm</t>
  </si>
  <si>
    <t>Ferro Dúctil Ø 900 Mm</t>
  </si>
  <si>
    <t>Montagem De Caixas De Ventosa Ø 50 Mm</t>
  </si>
  <si>
    <t>Montagem De Caixas De Ventosa Ø 100 Mm</t>
  </si>
  <si>
    <t>Montagem De Caixas De Ventosa Ø 150 Mm</t>
  </si>
  <si>
    <t>Montagem De Caixas De Ventosa Ø 200 Mm</t>
  </si>
  <si>
    <t>Montagem De Caixas De Descarga Ø 150 Mm</t>
  </si>
  <si>
    <t>Montagem De Caixas De Descarga Ø 200 Mm</t>
  </si>
  <si>
    <t>Montagem De Tubulação De Pvc Dn 100, Inclusive Acessórios</t>
  </si>
  <si>
    <t>Montagem De Caixas De Descarga Ø100Mm</t>
  </si>
  <si>
    <t>Montagem De Caixas De Descarga Ø50Mm</t>
  </si>
  <si>
    <t xml:space="preserve">Curva 90º , Com Bolsas, Junta Elástica, Ferro Dúctil, Ø100 Mm.  </t>
  </si>
  <si>
    <t>Tubo De Ferro Dúctil, Com Flange E Ponta , Classe 1 Mpa, Ø100 Mm, L=3,00 (A Ser Cortado Na Obra)</t>
  </si>
  <si>
    <t xml:space="preserve">Tê Com Flanges, Ferro Dúctil, Ø100 X 75 Mm. </t>
  </si>
  <si>
    <t>Registro De Gaveta , Chato, Com Flanges, Cabeçote, Ferro Dúctil, Ø75 Mm</t>
  </si>
  <si>
    <t>Válvula Limitadora  De Vazão, Redutora De Pressão E Hidrômetro  Ø75 Mm.</t>
  </si>
  <si>
    <t>Redução Normal Com Flanges , Ferro Dúctil, Ø100 X 75 Mm.</t>
  </si>
  <si>
    <t>Toco Com Flanges, Ferro Dúctil , Ø100 Mm, L = 0,50 M.</t>
  </si>
  <si>
    <t>Flange Cego, Ferro Dúctil,  Ø100 Mm, Com Rosca Fêmea, Ø1".</t>
  </si>
  <si>
    <t>Ventosa Simples Com Rosca, Ferro Dúctil, Ø1" .</t>
  </si>
  <si>
    <t>Acessório Para Flange, Ø75 Mm</t>
  </si>
  <si>
    <t>Acessório Para Flange, Ø100 Mm</t>
  </si>
  <si>
    <t>Acessório Para Flange, Ø150 Mm</t>
  </si>
  <si>
    <t xml:space="preserve">Toco Com Flanges, Ferro Ductil, Ø 75 Mm L= 0,50 M.  </t>
  </si>
  <si>
    <t>Tubo Pvc/Esgoto Dn 100 - Dreno</t>
  </si>
  <si>
    <t xml:space="preserve">Curva 90º , Com Bolsas, Junta Elástica, Ferro Dúctil, Ø150 Mm.  </t>
  </si>
  <si>
    <t>Tubo De Ferro Dúctil, Com Flange E Ponta , Classe 1 Mpa, Ø150 Mm, L=3,00 (A Ser Cortado Na Obra)</t>
  </si>
  <si>
    <t xml:space="preserve">Tê Com Flanges, Ferro Dúctil, Ø150 X 75 Mm. </t>
  </si>
  <si>
    <t>Registro De Gaveta , Chato, Com Flanges, Cabeçote, Ferro Dúctil, Ø100 Mm</t>
  </si>
  <si>
    <t>Válvula Limitadora  De Vazão, Redutora De Pressão E Hidrômetro  Ø100 Mm.</t>
  </si>
  <si>
    <t>Redução Normal Com Flanges , Ferro Dúctil, Ø150 X 100 Mm.</t>
  </si>
  <si>
    <t>Toco Com Flanges, Ferro Dúctil , Ø150 Mm, L = 0,50 M.</t>
  </si>
  <si>
    <t>Flange Cego, Ferro Dúctil,  Ø150 Mm, Com Rosca Fêmea, Ø1".</t>
  </si>
  <si>
    <t xml:space="preserve">Curva 90º , Com Bolsas, Junta Elástica, Ferro Dúctil, Ø200 Mm.  </t>
  </si>
  <si>
    <t>Tubo De Ferro Dúctil, Com Flange E Ponta , Classe 1 Mpa, Ø200 Mm, L=3,00 (A Ser Cortado Na Obra)</t>
  </si>
  <si>
    <t xml:space="preserve">Tê Com Flanges, Ferro Dúctil, Ø200 X 100 Mm. </t>
  </si>
  <si>
    <t>Redução Normal Com Flanges , Ferro Dúctil, Ø200 X 100 Mm.</t>
  </si>
  <si>
    <t>Toco Com Flanges, Ferro Dúctil , Ø200 Mm, L = 0,50 M.</t>
  </si>
  <si>
    <t>Flange Cego, Ferro Dúctil,  Ø200 Mm, Com Rosca, Ø1".</t>
  </si>
  <si>
    <t>Acessório Para Flange, Ø200 Mm</t>
  </si>
  <si>
    <t xml:space="preserve">Curva 11º15' , Com Bolsas, Junta Elástica, Ferro Dúctil, Ø150 Mm.  </t>
  </si>
  <si>
    <t xml:space="preserve">Curva 11º15' , Com Bolsas, Junta Elástica, Ferro Dúctil, Ø350 Mm.  </t>
  </si>
  <si>
    <t xml:space="preserve">Curva 11º15' , Com Bolsas, Junta Elástica, Ferro Dúctil, Ø600 Mm.  </t>
  </si>
  <si>
    <t xml:space="preserve">Curva 22º30' , Com Bolsas, Junta Elástica, Ferro Dúctil, Ø200 Mm.  </t>
  </si>
  <si>
    <t xml:space="preserve">Curva 22º30' , Com Bolsas, Junta Elástica, Ferro Dúctil, Ø250 Mm.  </t>
  </si>
  <si>
    <t xml:space="preserve">Curva 22º30' , Com Bolsas, Junta Elástica, Ferro Dúctil, Ø300 Mm.  </t>
  </si>
  <si>
    <t xml:space="preserve">Curva 22º30' , Com Bolsas, Junta Elástica, Ferro Dúctil, Ø400 Mm.  </t>
  </si>
  <si>
    <t xml:space="preserve">Curva 22º30' , Com Bolsas, Junta Elástica, Ferro Dúctil, Ø600 Mm.  </t>
  </si>
  <si>
    <t xml:space="preserve">Curva 22º30' , Com Bolsas, Junta Elástica, Ferro Dúctil, Ø900 Mm.  </t>
  </si>
  <si>
    <t xml:space="preserve">Curva 45º , Com Bolsas, Junta Elástica, Ferro Dúctil, Ø150 Mm.  </t>
  </si>
  <si>
    <t xml:space="preserve">Curva 45º , Com Bolsas, Junta Elástica, Ferro Dúctil, Ø250 Mm.  </t>
  </si>
  <si>
    <t xml:space="preserve">Curva 45º , Com Bolsas, Junta Elástica, Ferro Dúctil, Ø300 Mm.  </t>
  </si>
  <si>
    <t xml:space="preserve">Curva 45º , Com Bolsas, Junta Elástica, Ferro Dúctil, Ø350 Mm.  </t>
  </si>
  <si>
    <t xml:space="preserve">Curva 45º , Com Bolsas, Junta Elástica, Ferro Dúctil, Ø500 Mm.  </t>
  </si>
  <si>
    <t xml:space="preserve">Curva 45º , Com Bolsas, Junta Elástica, Ferro Dúctil, Ø600 Mm.  </t>
  </si>
  <si>
    <t xml:space="preserve">Curva 45º , Com Bolsas, Junta Elástica, Ferro Dúctil, Ø700 Mm.  </t>
  </si>
  <si>
    <t xml:space="preserve">Curva 45º , Com Bolsas, Junta Elástica, Ferro Dúctil, Ø800 Mm.  </t>
  </si>
  <si>
    <t xml:space="preserve">Curva 45º , Com Bolsas, Junta Elástica, Ferro Dúctil, Ø900 Mm.  </t>
  </si>
  <si>
    <t xml:space="preserve">Curva 90º , Com Bolsas, Junta Elástica, Ferro Dúctil, Ø250 Mm.  </t>
  </si>
  <si>
    <t xml:space="preserve">Curva 90º , Com Bolsas, Junta Elástica, Ferro Dúctil, Ø350 Mm.  </t>
  </si>
  <si>
    <t xml:space="preserve">Curva 90º , Com Bolsas, Junta Elástica, Ferro Dúctil, Ø400 Mm.  </t>
  </si>
  <si>
    <t xml:space="preserve">Curva 90º , Com Bolsas, Junta Elástica, Ferro Dúctil, Ø450 Mm.  </t>
  </si>
  <si>
    <t xml:space="preserve">Curva 90º , Com Bolsas, Junta Elástica, Ferro Dúctil, Ø500 Mm.  </t>
  </si>
  <si>
    <t xml:space="preserve">Curva 90º , Com Bolsas, Junta Elástica, Ferro Dúctil, Ø600 Mm.  </t>
  </si>
  <si>
    <t xml:space="preserve">Curva 90º , Com Bolsas, Junta Elástica, Ferro Dúctil, Ø700 Mm.  </t>
  </si>
  <si>
    <t xml:space="preserve">Curva 90º , Com Flanges, Ferro Dúctil, Ø800 Mm.  </t>
  </si>
  <si>
    <t xml:space="preserve">Curva 90º , Com Flanges, Ferro Dúctil, Ø900 Mm.  </t>
  </si>
  <si>
    <t>Extremidade Flange E Bolsa, Junta Elástica, Ferro Dúctil, Ø100 Mm.</t>
  </si>
  <si>
    <t>Extremidade Flange E Bolsa, Junta Elástica, Ferro Dúctil, Ø200 Mm.</t>
  </si>
  <si>
    <t>Extremidade Flange E Bolsa, Junta Elástica, Ferro Dúctil, Ø350 Mm.</t>
  </si>
  <si>
    <t>Extremidade Flange E Bolsa, Junta Travada, Ferro Dúctil, Ø700 Mm.</t>
  </si>
  <si>
    <t>Extremidade Flange E Bolsa, Junta Travada, Ferro Dúctil, Ø800 Mm.</t>
  </si>
  <si>
    <t>Extremidade Flange E Bolsa, Junta Travada, Ferro Dúctil, Ø900 Mm.</t>
  </si>
  <si>
    <t>Redução Com Bolsas, Junta Travada, Ferro Dúctil, Ø450 X 400 Mm.</t>
  </si>
  <si>
    <t>Redução Com Bolsas, Junta Travada, Ferro Dúctil, Ø700 X 600 Mm.</t>
  </si>
  <si>
    <t>Redução Com Bolsas, Junta Travada, Ferro Dúctil, Ø800 X 600 Mm.</t>
  </si>
  <si>
    <t>Redução Com Bolsas, Junta Travada, Ferro Dúctil, Ø800 X 700 Mm.</t>
  </si>
  <si>
    <t>Redução Com Bolsas, Junta Travada, Ferro Dúctil, Ø900 X 700 Mm.</t>
  </si>
  <si>
    <t>Redução Com Bolsas, Junta Travada, Ferro Dúctil, Ø900 X 800 Mm.</t>
  </si>
  <si>
    <t>Redução Com Bolsas, Junta Travada, Ferro Dúctil, Ø1000 X 800 Mm.</t>
  </si>
  <si>
    <t>Redução Com Bolsas, Junta Travada, Ferro Dúctil, Ø1000 X 900 Mm.</t>
  </si>
  <si>
    <t>Registro De Gaveta , Oval, Com Bolsas, Junta Elástica, Cabeçote, Ferro Dúctil, Ø250 Mm</t>
  </si>
  <si>
    <t>Registro De Gaveta , Oval, Com Bolsas, Junta Elástica, Cabeçote, Ferro Dúctil, Ø300 Mm</t>
  </si>
  <si>
    <t>Registro De Gaveta , Oval, Com Bolsas, Junta Elástica, Cabeçote, Ferro Dúctil, Ø350 Mm</t>
  </si>
  <si>
    <t>Registro De Gaveta , Oval, Com Bolsas, Junta Elástica, Cabeçote, Ferro Dúctil, Ø400 Mm</t>
  </si>
  <si>
    <t>Registro De Gaveta , Oval, Com Bolsas, Junta Elástica, Cabeçote, Ferro Dúctil, Ø450 Mm</t>
  </si>
  <si>
    <t>Registro De Gaveta , Oval, Com Bolsas, Junta Elástica, Cabeçote, Ferro Dúctil, Ø500 Mm</t>
  </si>
  <si>
    <t>Registro De Gaveta , Oval, Com Bolsas, Junta Elástica, Cabeçote, Ferro Dúctil, Ø600 Mm</t>
  </si>
  <si>
    <t>Registro De Gaveta , Oval, Com Bolsas, Junta Elástica, Cabeçote, Ferro Dúctil, Ø800 Mm</t>
  </si>
  <si>
    <t>Redução Com Ponta E Bolsa, Junta Elástica, Ferro Dúctil, Ø150 X 100 Mm.</t>
  </si>
  <si>
    <t>Redução Com Ponta E Bolsa, Junta Elástica, Ferro Dúctil, Ø200 X 100 Mm.</t>
  </si>
  <si>
    <t>Redução Com Ponta E Bolsa, Junta Elástica, Ferro Dúctil, Ø200 X 150 Mm.</t>
  </si>
  <si>
    <t>Redução Com Ponta E Bolsa, Junta Elástica, Ferro Dúctil, Ø250 X 150 Mm.</t>
  </si>
  <si>
    <t>Redução Com Ponta E Bolsa, Junta Elástica, Ferro Dúctil, Ø250 X 200 Mm.</t>
  </si>
  <si>
    <t>Redução Com Ponta E Bolsa, Junta Elástica, Ferro Dúctil, Ø300 X 150 Mm.</t>
  </si>
  <si>
    <t>Redução Com Ponta E Bolsa, Junta Elástica, Ferro Dúctil, Ø300 X 250 Mm.</t>
  </si>
  <si>
    <t>Redução Com Ponta E Bolsa, Junta Elástica, Ferro Dúctil, Ø350 X 200 Mm.</t>
  </si>
  <si>
    <t>Redução Com Ponta E Bolsa, Junta Elástica, Ferro Dúctil, Ø350 X 250 Mm.</t>
  </si>
  <si>
    <t>Redução Com Ponta E Bolsa, Junta Elástica, Ferro Dúctil, Ø350 X 300 Mm.</t>
  </si>
  <si>
    <t>Redução Com Ponta E Bolsa, Junta Elástica, Ferro Dúctil, Ø400 X 250 Mm.</t>
  </si>
  <si>
    <t>Redução Com Ponta E Bolsa, Junta Elástica, Ferro Dúctil, Ø400 X 300 Mm.</t>
  </si>
  <si>
    <t>Redução Com Ponta E Bolsa, Junta Elástica, Ferro Dúctil, Ø400 X 350 Mm.</t>
  </si>
  <si>
    <t>Redução Com Ponta E Bolsa, Junta Elástica, Ferro Dúctil, Ø450 X 400 Mm.</t>
  </si>
  <si>
    <t>Redução Com Ponta E Bolsa, Junta Elástica, Ferro Dúctil, Ø500 X 350 Mm.</t>
  </si>
  <si>
    <t>Redução Com Ponta E Bolsa, Junta Elástica, Ferro Dúctil, Ø500 X 450 Mm.</t>
  </si>
  <si>
    <t>Redução Com Ponta E Bolsa, Junta Elástica, Ferro Dúctil, Ø600 X 400 Mm.</t>
  </si>
  <si>
    <t>Redução Com Ponta E Bolsa, Junta Elástica, Ferro Dúctil, Ø600 X 500 Mm.</t>
  </si>
  <si>
    <t xml:space="preserve">Tê Com Bolsas, Junta Elástica, Ferro Dúctil, Ø100 X 100 Mm. </t>
  </si>
  <si>
    <t xml:space="preserve">Tê Com Bolsas, Junta Elástica, Ferro Dúctil, Ø150 X 150 Mm. </t>
  </si>
  <si>
    <t xml:space="preserve">Tê Com Bolsas, Junta Elástica, Ferro Dúctil, Ø150 X 100 Mm. </t>
  </si>
  <si>
    <t xml:space="preserve">Tê Com Bolsas, Junta Elástica, Ferro Dúctil, Ø200 X 100 Mm. </t>
  </si>
  <si>
    <t xml:space="preserve">Tê Com Bolsas, Junta Elástica, Ferro Dúctil, Ø200 X 200 Mm. </t>
  </si>
  <si>
    <t xml:space="preserve">Tê Com Bolsas, Junta Elástica, Ferro Dúctil, Ø250 X 100 Mm. </t>
  </si>
  <si>
    <t xml:space="preserve">Tê Com Bolsas, Junta Elástica, Ferro Dúctil, Ø250 X 250 Mm. </t>
  </si>
  <si>
    <t xml:space="preserve">Tê Com Bolsas, Junta Elástica, Ferro Dúctil, Ø300 X 100 Mm. </t>
  </si>
  <si>
    <t xml:space="preserve">Tê Com Bolsas, Junta Elástica, Ferro Dúctil, Ø300 X 150 Mm. </t>
  </si>
  <si>
    <t xml:space="preserve">Tê Com Bolsas, Junta Elástica, Ferro Dúctil, Ø300 X 300 Mm. </t>
  </si>
  <si>
    <t xml:space="preserve">Tê Com Bolsas, Junta Elástica, Ferro Dúctil, Ø400 X 100 Mm. </t>
  </si>
  <si>
    <t xml:space="preserve">Tê Com Bolsas, Junta Elástica, Ferro Dúctil, Ø400 X 200 Mm. </t>
  </si>
  <si>
    <t xml:space="preserve">Tê Com Bolsas, Junta Elástica, Ferro Dúctil, Ø400 X 400 Mm. </t>
  </si>
  <si>
    <t xml:space="preserve">Tê Com Bolsas, Junta Elástica, Ferro Dúctil, Ø500 X 100 Mm. </t>
  </si>
  <si>
    <t xml:space="preserve">Tê Com Bolsas, Junta Elástica, Ferro Dúctil, Ø500 X 200 Mm. </t>
  </si>
  <si>
    <t xml:space="preserve">Tê Com Bolsas, Junta Elástica, Ferro Dúctil, Ø500 X 300 Mm. </t>
  </si>
  <si>
    <t xml:space="preserve">Tê Com Bolsas, Junta Elástica, Ferro Dúctil, Ø500 X 500 Mm. </t>
  </si>
  <si>
    <t xml:space="preserve">Tê Com Bolsas, Junta Elástica, Ferro Dúctil, Ø600 X 100 Mm. </t>
  </si>
  <si>
    <t xml:space="preserve">Tê Com Bolsas, Junta Elástica, Ferro Dúctil, Ø600 X 200 Mm. </t>
  </si>
  <si>
    <t xml:space="preserve">Tê Com Bolsas, Junta Elástica, Ferro Dúctil, Ø600 X 400 Mm. </t>
  </si>
  <si>
    <t xml:space="preserve">Tê Com Bolsas, Junta Elástica, Ferro Dúctil, Ø600 X 600 Mm. </t>
  </si>
  <si>
    <t xml:space="preserve">Tê Com Bolsas, Junta Elástica, E Flange, Ferro Dúctil, Ø1000 X 1000 Mm. </t>
  </si>
  <si>
    <t xml:space="preserve">Tê Com Bolsas, Junta Elástica, E Flange, Ferro Dúctil, Ø300 X 150 Mm. </t>
  </si>
  <si>
    <t xml:space="preserve">Tê Com Bolsas, Junta Elástica, E Flange, Ferro Dúctil, Ø350 X 100 Mm. </t>
  </si>
  <si>
    <t xml:space="preserve">Tê Com Bolsas, Junta Elástica, E Flange, Ferro Dúctil, Ø350 X 200 Mm. </t>
  </si>
  <si>
    <t xml:space="preserve">Tê Com Bolsas, Junta Elástica, E Flange, Ferro Dúctil, Ø350 X 350 Mm. </t>
  </si>
  <si>
    <t xml:space="preserve">Tê Com Bolsas, Junta Elástica, E Flange, Ferro Dúctil, Ø450 X 100 Mm. </t>
  </si>
  <si>
    <t xml:space="preserve">Tê Com Bolsas, Junta Elástica, E Flange, Ferro Dúctil, Ø450 X 200 Mm. </t>
  </si>
  <si>
    <t xml:space="preserve">Tê Com Bolsas, Junta Elástica, E Flange, Ferro Dúctil, Ø450 X 400 Mm. </t>
  </si>
  <si>
    <t xml:space="preserve">Tê Com Bolsas, Junta Elástica, E Flange, Ferro Dúctil, Ø500 X 200 Mm. </t>
  </si>
  <si>
    <t xml:space="preserve">Tê Com Bolsas, Junta Elástica, E Flange, Ferro Dúctil, Ø700 X 200 Mm. </t>
  </si>
  <si>
    <t xml:space="preserve">Tê Com Bolsas, Junta Elástica, E Flange, Ferro Dúctil, Ø800 X 800 Mm. </t>
  </si>
  <si>
    <t xml:space="preserve">Tê Com Bolsas, Junta Elástica, E Flange, Ferro Dúctil, Ø900 X 900 Mm. </t>
  </si>
  <si>
    <t xml:space="preserve">Tê Com Bolsas, Junta Elástica, E Flange, Ferro Dúctil, Ø900 X 200 Mm. </t>
  </si>
  <si>
    <t>Tubo Com Ponta E Bolsa, Junta Elástica, Pvc, Pn 125, Ø100 Mm</t>
  </si>
  <si>
    <t>Tê Com Bolsas (Junta Travada) Ferro Dúctil Ø450 X 100 Mm</t>
  </si>
  <si>
    <t>Tubo Com Ponta E Bolsa, Junta Elástica, Pvc, Pn 125, Ø150 Mm</t>
  </si>
  <si>
    <t>Cruzeta Com Bolsas, Junta Elástica, Ferro Dúctil, Ø100 X 100 Mm</t>
  </si>
  <si>
    <t>Cruzeta Com Bolsas, Junta Elástica, Ferro Dúctil, Ø150 X 100 Mm</t>
  </si>
  <si>
    <t>Cruzeta Com Bolsas, Junta Elástica, Ferro Dúctil, Ø150 X 150 Mm</t>
  </si>
  <si>
    <t>Cruzeta Com Bolsas, Junta Elástica, Ferro Dúctil, Ø200 X 100 Mm</t>
  </si>
  <si>
    <t>Cruzeta Com Bolsas, Junta Elástica, Ferro Dúctil, Ø250 X 100 Mm</t>
  </si>
  <si>
    <t>Cruzeta Com Bolsas, Junta Elástica, Ferro Dúctil, Ø300 X 100 Mm</t>
  </si>
  <si>
    <t>Cruzeta Com Bolsas, Junta Elástica, Ferro Dúctil, Ø400 X 100 Mm</t>
  </si>
  <si>
    <t>Cruzeta Com Bolsas, Junta Elástica, Ferro Dúctil, Ø400 X 200 Mm</t>
  </si>
  <si>
    <t>Cruzeta Com Bolsas, Junta Elástica, Ferro Dúctil, Ø500 X 100 Mm</t>
  </si>
  <si>
    <t>Cruzeta Com Bolsas, Junta Elástica, Ferro Dúctil, Ø500 X 500 Mm</t>
  </si>
  <si>
    <t>Cruzeta Com Bolsas, Junta Elástica, Ferro Dúctil, Ø600 X 400 Mm</t>
  </si>
  <si>
    <t>Tubo De Ferro Dúctil, Com Ponta E Bolsa, Junta Elástica, Classe 1 Mpa, Ø150 Mm.</t>
  </si>
  <si>
    <t>Tubo De Ferro Dúctil, Com Ponta E Bolsa, Junta Elástica, Classe 1 Mpa, Ø200 Mm.</t>
  </si>
  <si>
    <t>Tubo De Ferro Dúctil, Com Ponta E Bolsa, Junta Elástica, Classe 1 Mpa, Ø300 Mm.</t>
  </si>
  <si>
    <t>Tubo De Ferro Dúctil, Com Ponta E Bolsa, Junta Elástica, Classe K7, Ø350 Mm.</t>
  </si>
  <si>
    <t>Tubo De Ferro Dúctil, Com Ponta E Bolsa, Junta Elástica, Classe K7, Ø400 Mm.</t>
  </si>
  <si>
    <t>Tubo De Ferro Dúctil, Com Ponta E Bolsa, Junta Elástica, Classe K7, Ø450 Mm.</t>
  </si>
  <si>
    <t>Tubo De Ferro Dúctil, Com Ponta E Bolsa, Junta Elástica, Classe K7, Ø500 Mm.</t>
  </si>
  <si>
    <t>Tubo De Ferro Dúctil, Com Ponta E Bolsa, Junta Elástica, Classe K7, Ø600 Mm.</t>
  </si>
  <si>
    <t>Tubo De Ferro Dúctil, Com Ponta E Bolsa, Junta Elástica, Classe K7, Ø700 Mm.</t>
  </si>
  <si>
    <t>Tubo De Ferro Dúctil, Com Ponta E Bolsa, Junta Elástica, Classe K7, Ø800 Mm.</t>
  </si>
  <si>
    <t>Tubo De Ferro Dúctil, Com Ponta E Bolsa, Junta Elástica, Classe K7, Ø900 Mm.</t>
  </si>
  <si>
    <t>Cruzeta Com Bolsas, Junta Elástica, Ferro Ductil, Ø 250 X 250 Mm</t>
  </si>
  <si>
    <t>Cruzeta Com Bolsas, Junta Elástica, Ferro Ductil, Ø 350 X 100 Mm</t>
  </si>
  <si>
    <t>Curva De 22º 30' Com Bolsas, Junta Elástica, Ferro Ductil, Ø 500 Mm</t>
  </si>
  <si>
    <t>Cruzeta Com Bolsas, Junta Elástica, Ferro Ductil, Ø 350 X 250 Mm</t>
  </si>
  <si>
    <t>Cruzeta Com Bolsas, Junta Elástica, Ferro Ductil, Ø 400 X 250 Mm</t>
  </si>
  <si>
    <t>Curva De 90º Com Flanges, Ferro Ductil, Ø 150 Mm</t>
  </si>
  <si>
    <t>Redução Normal Com Flanges, Ferro Ductil, Ø 100 X 50 Mm</t>
  </si>
  <si>
    <t>Tê Com Bolsas, Junta Elástica, Ferro Ductil, Ø 350 X 350 Mm</t>
  </si>
  <si>
    <t>Curva De 90º Com Bolsas, Junta Elástica, Ferro Ductil, Ø 800 Mm</t>
  </si>
  <si>
    <t>Curva De 90º Com Flanges, Ferro Ductil, Ø 100 Mm</t>
  </si>
  <si>
    <t>Tê Com Bolsas, Junta Elástica, Ferro Ductil, Ø 350 X  100 Mm</t>
  </si>
  <si>
    <t>Tê Com Bolsas, Junta Elástica, Ferro Ductil, Ø 700 X 500 Mm</t>
  </si>
  <si>
    <t>Tê Com Bolsas, Ferro Ductil, Ø 350 X 200 Mm</t>
  </si>
  <si>
    <t>Conjunto Acessórios Para Flanges, Ø100 Mm.</t>
  </si>
  <si>
    <t>Conjunto Acessórios Para Flanges, Ø150 Mm.</t>
  </si>
  <si>
    <t>Conjunto Acessórios Para Flanges, Ø200 Mm.</t>
  </si>
  <si>
    <t>Conjunto Acessórios Para Flanges, Ø50 Mm.</t>
  </si>
  <si>
    <t>Curva De Fofo 45º Com Flanges, Ø150 Mm.</t>
  </si>
  <si>
    <t>Curva De Fofo 45º Com Flanges, Ø200 Mm.</t>
  </si>
  <si>
    <t>Extremidade Flange E Ponta , Ø150 Mm.</t>
  </si>
  <si>
    <t>Redução Fofo Com Flanges, Pn 10, Ø200 X 150 Mm.</t>
  </si>
  <si>
    <t>Registro De Gaveta Chato Fofo Com Flanges , Pn 10, Ø150 Mm.</t>
  </si>
  <si>
    <t>Registro De Gaveta Chato Fofo Com Flanges , Pn 10, Ø200 Mm.</t>
  </si>
  <si>
    <t>Registro De Gaveta Chato Fofo Com Flanges E Cabeçote, Pn 10, Ø100 Mm.</t>
  </si>
  <si>
    <t>Registro De Gaveta Chato Fofo Com Flanges E Cabeçote, Pn 10, Ø50 Mm.</t>
  </si>
  <si>
    <t>Tê Fofo Com  Bolsas , Pn 10, Ø150 X 150 Mm.</t>
  </si>
  <si>
    <t>Tê Fofo Com  Bolsas E Flange, Pn 10, Ø200 X 100 Mm.</t>
  </si>
  <si>
    <t>Tê Fofo Com  Bolsas E Flange, Pn 10, Ø200 X 200 Mm.</t>
  </si>
  <si>
    <t>Tê Fofo Com  Bolsas E Flange, Pn 10, Ø250 X 100 Mm.</t>
  </si>
  <si>
    <t>Tê Fofo Com  Bolsas E Flange, Pn 10, Ø250 X 200 Mm.</t>
  </si>
  <si>
    <t>Tê Fofo Com  Bolsas E Flange, Pn 10, Ø300 X 100 Mm.</t>
  </si>
  <si>
    <t>Tê Fofo Com  Bolsas E Flange, Pn 10, Ø300 X 200 Mm.</t>
  </si>
  <si>
    <t>Tê Fofo Com  Bolsas E Flange, Pn 10, Ø350 X 200 Mm.</t>
  </si>
  <si>
    <t>Tê Fofo Com  Bolsas E Flange, Pn 10, Ø400 X 200 Mm.</t>
  </si>
  <si>
    <t>Tê Fofo Com  Bolsas E Flange, Pn 10, Ø450 X 200 Mm.</t>
  </si>
  <si>
    <t>Tê Fofo Com  Bolsas E Flange, Pn 10, Ø500 X 200 Mm.</t>
  </si>
  <si>
    <t>Tê Fofo Com  Bolsas E Flange, Pn 10, Ø600 X 200 Mm.</t>
  </si>
  <si>
    <t>Tê Fofo Com  Bolsas E Flange, Pn 10, Ø700 X 200 Mm.</t>
  </si>
  <si>
    <t>Tê Fofo Com  Bolsas E Flange, Pn 10, Ø800 X 200 Mm.</t>
  </si>
  <si>
    <t>Tê Fofo Com Bolsas E Flange, Ø150 X 50 Mm.</t>
  </si>
  <si>
    <t>Tubo Fofo Com Flanges,  Ø50 Mm, L= 1,0 M.</t>
  </si>
  <si>
    <t>Tubo Fofo Com Flanges, Pn 10, Ø100 Mm, L= 1,0 M.</t>
  </si>
  <si>
    <t>Tubo Fofo Tk 12  Com Flanges, L= 0,80 M, Ø150 Mm.</t>
  </si>
  <si>
    <t>Tubo Fofo Tk 12 Com Flange E Ponta, L= 1,70 M, Ø150 Mm.</t>
  </si>
  <si>
    <t>Tubo Fofo Tk 12 Com Flange E Ponta, L= 1,70 M, Ø200 Mm.</t>
  </si>
  <si>
    <t>Tubo Fofo Tk 12 Com Flanges, L= 0,50 M, Ø200 Mm.</t>
  </si>
  <si>
    <t>Tubo Fofo Tk 12 Com Flanges, L= 0,80 M, Ø200 Mm.</t>
  </si>
  <si>
    <t>Tubo Fofo Tk 12 Com Pontas , L= 0,50 M, Ø150 Mm.</t>
  </si>
  <si>
    <t>Tubo Fofo Tk 12 Com Pontas, L= 0,50 M, Ø200 Mm.</t>
  </si>
  <si>
    <t>Tubo Tk 12 Fofo, L= 1,0 M, Ø150 Mm.</t>
  </si>
  <si>
    <t>Tubo Tk 12 Fofo, L= 1,0 M, Ø200 Mm.</t>
  </si>
  <si>
    <t>Ventosa De Tríplice Função , Com Flanges, Fofo, Pn10, Ø100 Mm.</t>
  </si>
  <si>
    <t>Ventosa De Tríplice Função , Com Flanges, Fofo, Pn10, Ø50 Mm.</t>
  </si>
  <si>
    <t>Execução De Cercas Na Poliginal Do Projeto Com Estacas De Concreto Armado (9 Fios De Arame).</t>
  </si>
  <si>
    <t>Demarcação Dos Lotes Com Marcos De Concreto De Dimensões (0,10 X 0,20 X 0,60) M, Nos Vértices</t>
  </si>
  <si>
    <t>Implantação De Quebra Ventos, Incluindo O Fornecimento De Mudas, Limpeza Do Terreno, Plantio E Tratos Culturais Por Um Período  De 1 Ano.</t>
  </si>
  <si>
    <t>Caixas De Alvenaria De Tijolos Cerâmicos, Com Reboco,  Espessura De 15 Cm</t>
  </si>
  <si>
    <t>Escavação Mecânica De Vala Assentamento Material De 1ª Categoria Com Dmt &lt;= 100 M  (Até 2,0M)</t>
  </si>
  <si>
    <t xml:space="preserve">Fornecimento E Colocação De Blocos De Concreto Simples De 10 X 15 X 50 Cm Para Apoio Dos Registros De Aspersão E Gotejamento. </t>
  </si>
  <si>
    <t>Montagem De Tubulação De Pvc , Com Ponta/Bolsa Dn = 100 Mm, Incluindo Conexões, Acessórios, Registros E Válvulas</t>
  </si>
  <si>
    <t>Montagem De Tubulação De Pvc , Com Ponta/Bolsa Dn = 75 Mm, Incluindo Conexões, Acessórios, Registros E Válvulas</t>
  </si>
  <si>
    <t>Filtro Malha 100 Micra, Vazão Menor Que 50,00 M3/H</t>
  </si>
  <si>
    <t>Filtro Malha 300 Micra, Vazão Menor Que 50,00 M3/H</t>
  </si>
  <si>
    <t>Extremidade  - Bolsa Flange  Pn-10, Pvc, Dn = 100</t>
  </si>
  <si>
    <t>Extremidade  - Bolsa Flange  Pn-10, Pvc, Dn = 75</t>
  </si>
  <si>
    <t>Toco Pvc - Ponta/Ponta  L = 0,60 M, Dn = 100</t>
  </si>
  <si>
    <t>Toco Pvc - Ponta/Ponta  L = 0,60 M, Dn = 75</t>
  </si>
  <si>
    <t>Colar De Tomada De Ferro Fundido Saída 3/4", Dn = 100</t>
  </si>
  <si>
    <t>Colar De Tomada De Ferro Fundido Saída 3/4", Dn = 75</t>
  </si>
  <si>
    <t>Bucha De Redução Pvc -  Com Rosca Rígido 3/4" Para 1/2"</t>
  </si>
  <si>
    <t xml:space="preserve">Manometro 1/2"- Faixa De Pressão 0 A 50 M.C.A. </t>
  </si>
  <si>
    <t>Curva  45º -  Com Ponta / Bolsa, Pvc, Dn = 100</t>
  </si>
  <si>
    <t>Curva  45º -  Com Ponta / Bolsa, Pvc, Dn = 75</t>
  </si>
  <si>
    <t>Toco Pvc -  Com Ponta / Bolsa  - L = 1,80 M, Dn = 100</t>
  </si>
  <si>
    <t>Toco Pvc -  Com Ponta / Bolsa  - L = 1,80 M, Dn = 75</t>
  </si>
  <si>
    <t>Tubo Pvc - Com Ponta / Bolsa. L = 6,00 M, Dn  = 100</t>
  </si>
  <si>
    <t>Tubo Pvc - Com Ponta / Bolsa. L = 6,00 M, Dn  = 75</t>
  </si>
  <si>
    <t>Válvula De Controle De Pressão Flange Pn - 10 Conforme Diâmetros Da Rede, Vazão &lt; 30 M³/H</t>
  </si>
  <si>
    <t>Luva Em Pvc, Bolsa/Solda, Dn = 75</t>
  </si>
  <si>
    <t>Cruzeta - Com Bolsas, Pvc, Dn-100 C/Saída Dn -75</t>
  </si>
  <si>
    <t>Cruzeta - Com Bolsas, Pvc, Dn-75 C/Saída Dn -75</t>
  </si>
  <si>
    <t>Toco Pvc - Ponta / Ponta - L = 0,30 M, Dn = 75</t>
  </si>
  <si>
    <t xml:space="preserve">Adaptador Pvc - Soldável Curto C/ Bolsa E Rosca P/ Registro, Dn = 75 </t>
  </si>
  <si>
    <t xml:space="preserve">Registro Gaveta De Latão, Rosca Fêmea, Dn = 75 </t>
  </si>
  <si>
    <t>Nípel Pvc - Paralelo Com Roscas Dn - 75</t>
  </si>
  <si>
    <t>Tê Pvc Com Roscas Dn=3"</t>
  </si>
  <si>
    <t>Tê Em  90º -  Com Bolsas, Pvc, Dn - 100 C/Saída Dn - 75</t>
  </si>
  <si>
    <t>Tê Em  90º -  Com Bolsas, Pvc, Dn - 100 C/Saída Dn - 100</t>
  </si>
  <si>
    <t>Tê Em  90º -  Com Bolsas, Pvc, Dn - 75 C/Saída Dn - 75</t>
  </si>
  <si>
    <t xml:space="preserve">Curva 90º, Pvc Com Ponta / Bolsa, Dn - 100 </t>
  </si>
  <si>
    <t xml:space="preserve">Curva 90º, Pvc Com Ponta / Bolsa, Dn - 75 </t>
  </si>
  <si>
    <t>Redução Ponta / Bolsa, Pvc, Dn - 100 - Dn 75</t>
  </si>
  <si>
    <t>Válvula Volumétrica - Flange Pn 10, Conforme Diâmetro Da Rede, Vazão &lt; 40 M³/H</t>
  </si>
  <si>
    <t>Microtubo De Polietileno, D = 6,0 Mm</t>
  </si>
  <si>
    <t xml:space="preserve">Tê  Fl/Fl  Pn -10 Ferro Dúctil C/ Saída 50 Mm </t>
  </si>
  <si>
    <t>Registro Gaveta Fl/Fl  Ferro Dúctil Dn 100 Mm</t>
  </si>
  <si>
    <t>Extremidade Pvc,  Fl  Pn - 10 / Ponta  De - 60 Mm</t>
  </si>
  <si>
    <t>Luva Soldável   Pvc  Di - 60 Mm</t>
  </si>
  <si>
    <t>Bucha De Redução Pvc Soldável De - 60 Mm / Di - 32 Mm</t>
  </si>
  <si>
    <t>Toco Pvc Rígido  L = 5 Cm De - 32 Mm</t>
  </si>
  <si>
    <t>Adaptador Pvc Sold. Di - 32 Mm Rosca Externa 1'</t>
  </si>
  <si>
    <t>Registro  Gaveta De Cobre 1'</t>
  </si>
  <si>
    <t>Toco Pvc Rígido L= 10 Cm Rosca / Ponta Lisa 1'</t>
  </si>
  <si>
    <t>Braçadeira Metálica 1'</t>
  </si>
  <si>
    <t>Mangueira Plástica Flexível 1', L=2,0 M</t>
  </si>
  <si>
    <t>Tanque Metálico Para Fertirrigação</t>
  </si>
  <si>
    <t>Adaptador De Aço Zincado - Rosca / Er Fêmea Dn-75 Mm</t>
  </si>
  <si>
    <t>Tubo De Alumínio Ou Aço Zincado Er, Dn - 75 Mm, L = 6,00 M</t>
  </si>
  <si>
    <t>Tubo De Alumínio Ou Aço Zincado Er, Dn - 75 Mm, L = 3,00 M</t>
  </si>
  <si>
    <t>Tubo De Alumínio, Er, Dn - 75 Mm, L = 6,00 M, Com Saída Para Aspersor C/ Rosca Interna 1"</t>
  </si>
  <si>
    <t>Tubo De Alumínio, Er, Dn = 75 Mm, L = 6,00 M</t>
  </si>
  <si>
    <t>Tubo De Alumínio, Er, Dn - 75 Mm, L = 3,00 M, Com Saída Para Aspersor C/ Rosca Interna 1"</t>
  </si>
  <si>
    <t>Cap Macho Aço Zincado,  Dn-75 Mm, Er</t>
  </si>
  <si>
    <t>Válvula De Linha Em Aço Zincado, Dn-75Mm, Er</t>
  </si>
  <si>
    <t>Curva De Derivação Em Aço Zincado - Dn-75Mm, Er</t>
  </si>
  <si>
    <t>Curva De Nivelamento Em Aço Zincado - Dn-75Mm, Er</t>
  </si>
  <si>
    <t>Válvula Automática P/ Aspersor Er E Rosca Ext.1"</t>
  </si>
  <si>
    <t xml:space="preserve">Tubo De Subida Em Aço Zincado Er Macho/Rosca,      Ext 1", Dn-1" - L = 2,00 M </t>
  </si>
  <si>
    <t>Tripé De Vergalhão C.A. 50, Diâmetro  1/2", Para Fixação Do Aspersor</t>
  </si>
  <si>
    <t>Tubo Pvc - Com Ponta / Bolsa - L = 6,00 M, Dn - 50 Mm</t>
  </si>
  <si>
    <t>Cap Pvc - Ponta E Bolsa, Dn - 50 Mm</t>
  </si>
  <si>
    <t>Bucha De Redução Pvc 75 / 50 Mm C/ Roscas</t>
  </si>
  <si>
    <t>Adaptador Pvc - Rosca Ext. / Er Fêmea, Dn-50Mm</t>
  </si>
  <si>
    <t>Curva De Nivelamento Pvc - Er, Dn - 50 Mm</t>
  </si>
  <si>
    <t>Tubo De Pvc - Er, L = 6,00 M, Dn - 50 Mm</t>
  </si>
  <si>
    <t xml:space="preserve">Aspersor De Latão Forjado, Pressão De Serviço De 20 M.C.A., Vazão De 1,33 M³/H, Raio = 26,0 M </t>
  </si>
  <si>
    <t>Cap Macho Pvc - Er, Dn - 50 Mm</t>
  </si>
  <si>
    <t xml:space="preserve">Conector De Borracha </t>
  </si>
  <si>
    <t>Adaptador Início De Linha - Pvc , D = 18,0 Mm</t>
  </si>
  <si>
    <t>Adaptador Início De Linha - Pvc , D = 29,0 Mm</t>
  </si>
  <si>
    <t>Tubo Polietileno Baixa Densidade, D = 18,0 Mm</t>
  </si>
  <si>
    <t>Tubo Polietileno Baixa Densidade, D = 29,0 Mm</t>
  </si>
  <si>
    <t xml:space="preserve">Emissor P/ Linha Lateral D = 29,0 Mm, Q = 20,0 L/H P/Emissor ( Abacaxi ) </t>
  </si>
  <si>
    <t xml:space="preserve">Emissor P/ Linha Lateral D = 18,0 Mm, Q = 17,5 L/H P/Emissor ( Uva ) </t>
  </si>
  <si>
    <t xml:space="preserve">Emissor P/ Linha Lateral D = 18,0 Mm, Q = 19,0 L/H P/Emissor ( Maracujá ) </t>
  </si>
  <si>
    <t xml:space="preserve">Emissor P/ Linha Lateral D = 18,0 Mm, Q = 39,0 L/H P/Emissor ( Laranja ) </t>
  </si>
  <si>
    <t xml:space="preserve">Emissor P/ Linha Lateral D = 18,0 Mm, Q = 55,0 L/H P/Emissor ( Manga ) </t>
  </si>
  <si>
    <t>Cap  Pvc - Para Linhas Laterais, D = 18,0 Mm</t>
  </si>
  <si>
    <t>Cap  Pvc - Para Linhas Laterais, D = 29,0 Mm</t>
  </si>
  <si>
    <t xml:space="preserve">Conector De Borracha Para Vedação, Em Furo D = 7/16" </t>
  </si>
  <si>
    <t>Adaptador Início De Linha D 16,5 Mm , Para Furo D = 7/16" - Pvc</t>
  </si>
  <si>
    <t xml:space="preserve">Arame Zincado Para Fixação Do Tubo </t>
  </si>
  <si>
    <t>Tubo Gotejador - Polietileno 300 Micras,  D = 16,5 Mm</t>
  </si>
  <si>
    <t xml:space="preserve">Adaptador Pvc Lf X Bolsa Pbs Ø 110Mm X 100Mm </t>
  </si>
  <si>
    <t xml:space="preserve">Luva De Redução Lf Bolsas Soldáveis Ø 100Mm X 75Mm </t>
  </si>
  <si>
    <t xml:space="preserve">Toco Tubo Pvc Lf Pontas Ø 75Mm X 0,20M </t>
  </si>
  <si>
    <t xml:space="preserve">Adaptador Pvc Lf X Bolsa Pbs Ø 75Mm X 85Mm </t>
  </si>
  <si>
    <t xml:space="preserve">Cotovelo 90º Pvc Pbs Bolsas Soldáveis Ø 85Mm </t>
  </si>
  <si>
    <t xml:space="preserve">Toco Tubo Pvc Pbs Pontas Cl-15 Ø 85Mm X L~ 1,00M </t>
  </si>
  <si>
    <t xml:space="preserve">Colar De Tomada Pvc Ø 85Mm X ¾"(Marrom) </t>
  </si>
  <si>
    <t xml:space="preserve">Ventosa Simples Em Plástico Ø ¾" </t>
  </si>
  <si>
    <t xml:space="preserve">Toco Tubo Pvc Pba Cl-15 Pontas Ø 85Mm X 0,25M </t>
  </si>
  <si>
    <t xml:space="preserve">Adaptador Longo Pvc Pbs Bolsa Rosca Ø 85Mm X 3" </t>
  </si>
  <si>
    <t xml:space="preserve">Registro De Gaveta Em Bronze Roscas Ff Ø 3" </t>
  </si>
  <si>
    <t xml:space="preserve">União Pvc Rígido Roscável Ø 3" </t>
  </si>
  <si>
    <t xml:space="preserve">Filtros De Plástico C/ Roscas Machp Bsp Elemento De Tela 80 Mesh Ø 3" </t>
  </si>
  <si>
    <t xml:space="preserve">Luva Pvc Rígido Roscável Ø 3" </t>
  </si>
  <si>
    <t>Filtro De Plástico C/ Roscas Macho Elemento De Discos 120 Mesh Ø 3"</t>
  </si>
  <si>
    <t>Caixa D`Água C/ Tampa Em Plástico Volume 500 Litros (01 P/ Mistura Eoutra P/ Solucão)</t>
  </si>
  <si>
    <t>Adaptador Roscável C/ Anel P/ Caixa D`Água Ø 1"</t>
  </si>
  <si>
    <t xml:space="preserve">Nípel Duplo Pvc Roscável Rígido  Ø 1" </t>
  </si>
  <si>
    <t>Válvula Globo Pvc Roscas Fêmeas  Ø 1"</t>
  </si>
  <si>
    <t>Nípel Pvc Rosca X Dentado Ø 1"</t>
  </si>
  <si>
    <t>Abradeira Galvanizada P/ Mangueira Ø 1"</t>
  </si>
  <si>
    <t>Mangueira Cristal Malhada Ø 1"</t>
  </si>
  <si>
    <t xml:space="preserve">Joelho 45º Pvc Rígido Roscável Ø 1" </t>
  </si>
  <si>
    <t xml:space="preserve">Luva Pvc Rígido Roscável Ø 1" </t>
  </si>
  <si>
    <t>Injetor De Fertilizantes Tipo Venturi C/ Roscas Macho Ø 1"</t>
  </si>
  <si>
    <t>Bucha Pvc Rígido Roscável Ø 1" X ¾"</t>
  </si>
  <si>
    <t>Nípel Pvc Rosca X Dentado Ø Ø ¾"</t>
  </si>
  <si>
    <t>Adaptador Pvc Lf X Bolsa Pbs Ø 100Mm X 110Mm</t>
  </si>
  <si>
    <t>Te De Redução Pvc Pbs Bolsas Ø 110Mm X 85Mm</t>
  </si>
  <si>
    <t>Tubo Pvc Pbs Pontas Cl-15 Ø 85Mm X L= 1,00M</t>
  </si>
  <si>
    <t>Adaptador Longo Pvc Pbs Bolsa Rosca Ø 85Mm X 3" Un 1.244</t>
  </si>
  <si>
    <t>Registro De Gaveta Em Bronze Roscas Fêmea Ø 3"</t>
  </si>
  <si>
    <t xml:space="preserve">Nípel Duplo Pvc Roscável Rígido  Ø 3" </t>
  </si>
  <si>
    <t>Cruzeta Ferro Galvanizado Roscável Ø 3"</t>
  </si>
  <si>
    <t>Bucha De Redução Pvc Rígido Roscas Ø 3" X 1.½"</t>
  </si>
  <si>
    <t>Bucha De Redução Pvc Rígido Roscas Ø 1.½" X 1"</t>
  </si>
  <si>
    <t>Ventosa Plástica C/ Rosca Bsp Macho Ø 1"</t>
  </si>
  <si>
    <t>Válvula Multi-Funções Em Plástico Roscas Ø 3" Bsp Fêmes (C/ Válvulas 3 Vias Bronze Ø ¼" )</t>
  </si>
  <si>
    <t>Válvula Anti-Vácuo Plástico Rosca Macho Bsp Ø ½"</t>
  </si>
  <si>
    <t>Joelho 90º Pvc Pbs Bolsas Soldáveis Ø 85Mm</t>
  </si>
  <si>
    <t>União Pvc Pbs Soldável Ø 85Mm</t>
  </si>
  <si>
    <t>Adaptador Pvc Lf X Bolsa Pbs Ø 75Mm X 85Mm</t>
  </si>
  <si>
    <t xml:space="preserve">Te Pvc C/ Rosca Na Derivação Ø 75Mm X 1.½" </t>
  </si>
  <si>
    <t>Bucha De Redução Pvc Rígido Roscas  Ø 1.½" X 1"</t>
  </si>
  <si>
    <t>Tubo Pvc Rígido Com Roscas Ø 1" X 0,80M</t>
  </si>
  <si>
    <t>Luva Pvc Rígido Com Roscas Ø 1"</t>
  </si>
  <si>
    <t>Conector Tipo "Aranha" Rosca Macho Bsp Ø 1" X 04 Saídas Ø 20Mm</t>
  </si>
  <si>
    <t>Tubo Polietileno Pebd Liso Pn - 40 M.C.A Ø 20Mm E= 1,5Mm</t>
  </si>
  <si>
    <t>Microasperso Plástico Tipo Bailarina,Autocompensante C/ Haste E Rabicho,Vazão= 58,0 L/H, Pressão De Serviço (De 10 A 40 M.C.A)</t>
  </si>
  <si>
    <t>Fim De Linha Plástico "Tipo 8" Ø 20Mm</t>
  </si>
  <si>
    <t>Te Pvc C/ Rosca Na Derivação Ø 75Mm X 1.½"</t>
  </si>
  <si>
    <t xml:space="preserve">Conector Tipo "Aranha" Rosca Macho Bsp Ø 1" X 06  Saídas Ø 20Mm </t>
  </si>
  <si>
    <t>Tubo Polietileno Pebd Liso Pn - 40 M.C.A Ø 16Mm E= 1,2Mm</t>
  </si>
  <si>
    <t>Conector P/ Interligar Tubos De Polietileno Dentado X Dentado Ø 16Mm</t>
  </si>
  <si>
    <t>Tubo Gotejador (Pebd) "In Line", Autocompensante, Esp. 0,30M, Vazão 2,0 L/H, Pn-40 Ø 16Mm</t>
  </si>
  <si>
    <t>Fim De Linha Plástico "Tipo 8" Ø 16Mm</t>
  </si>
  <si>
    <t>Adesivo Para Tbos Pvc 850 Ml</t>
  </si>
  <si>
    <t>Fita Teflon Veda Roscas ¾" X 50M</t>
  </si>
  <si>
    <t>Lixa Para Limpeza De Tubos Pvc 120</t>
  </si>
  <si>
    <t>Lubrifica Nte Para Junta Elástica Lata 850G</t>
  </si>
  <si>
    <t>Estopa De Limpeza</t>
  </si>
  <si>
    <t>Cap Pvc Rígido Roscável Ø 1"</t>
  </si>
  <si>
    <t>Montagem De Cabo De Cobre Múltiplo 4X2,5Mm² Pvc 1Kv</t>
  </si>
  <si>
    <t>Montagem De Interruptor De Luz Seção Dupla 10A/250V</t>
  </si>
  <si>
    <t>Cabo De Cobre Múltiplo 4X2,5Mm² Pvc 1Kv</t>
  </si>
  <si>
    <t>Interruptor De Luz Seção Dupla 10A/250V</t>
  </si>
  <si>
    <t>Conectores Para Haste De Aterramento</t>
  </si>
  <si>
    <t>Cruzeta De Concreto</t>
  </si>
  <si>
    <t>Montagem De Condulete Dn 50Mm Tipo Lr</t>
  </si>
  <si>
    <t>Condulete Dn 50Mm Tipo Ll</t>
  </si>
  <si>
    <t>Cabo De Cobre Múltiplo 2X2,5Mm² Pvc 1Kv</t>
  </si>
  <si>
    <t>Conector De Aterramento Em Bronze Estanhado, Para Um Cabo De Cobre De 16 A 70 Mm2, Com O Corpo Constitído Por Duas Peças, Fixação A Chapa De Aço De Espessura Até 10 Mm, Com Parafuso, Porca E Arruela De Pressão Em Bronze Silício</t>
  </si>
  <si>
    <t>Manilha Sapatilha Em Aço Zincado A Quente</t>
  </si>
  <si>
    <t>Olhal Para Parafuso M16 Em Aço Zincado A Quente, Carga De Ruptura 5000 Dan</t>
  </si>
  <si>
    <t>Parafuso De Máquina, Cabeça Quadrada, Em Aço Zincado, Rosca M16 X 2, Comprimento Total A = 300, Parte Rosqueada B = 220 Mm, Completo Com Duas Porcas Quadrada</t>
  </si>
  <si>
    <t>Parafuso De Máquina, Cabeça Quadrada, Em Aço Zincado, Rosca M16 X 2, Comprimento Total A = 400, Parte Rosqueada B = 320 Mm, Completo Com Duas Porcas Quadrada</t>
  </si>
  <si>
    <t>Painel Da Utr-1</t>
  </si>
  <si>
    <t>Controlador Lógico Programável Modular</t>
  </si>
  <si>
    <t>Software De Programação De Plcs, Cd - Instalado</t>
  </si>
  <si>
    <t>Cabo De Cobre Isolado 750V Multipolar 2 X 1,00Mm²</t>
  </si>
  <si>
    <t>Cabo Coaxial Rgc 213</t>
  </si>
  <si>
    <t>Antena Yagidirecional 14 Dbi 902-928 Mhz</t>
  </si>
  <si>
    <t>Poste De Concreto Duplo T, 300Kg, H = 12M</t>
  </si>
  <si>
    <t>Para-Raios Tipo Franklin</t>
  </si>
  <si>
    <t>Haste Coperweld 3/4" X 3,00M Com Conector</t>
  </si>
  <si>
    <t>Caixa Inspeção Do Terra</t>
  </si>
  <si>
    <t>Mastro Simples De Ferro Galvanizado P/ Para-Raios H=3,00M Incluindo Base - E Instalacao</t>
  </si>
  <si>
    <t>Retirada de raízes em taludes e placas do canal de material vegetal tipo canarana com equipamento mecânico</t>
  </si>
  <si>
    <t>Limpeza manual de talude - capina, raspagem e limpeza</t>
  </si>
  <si>
    <t>REAJUSTE NO PERÍODO</t>
  </si>
  <si>
    <t>TOTAL</t>
  </si>
  <si>
    <t>Período</t>
  </si>
  <si>
    <t>Saldo R$</t>
  </si>
  <si>
    <t>Saldo P0</t>
  </si>
  <si>
    <t>Saldo Reaj.</t>
  </si>
  <si>
    <t>Reaj. Período</t>
  </si>
  <si>
    <t>CONSTRUTORA</t>
  </si>
  <si>
    <t>NOV/19</t>
  </si>
  <si>
    <t>(I3)</t>
  </si>
  <si>
    <t>R$</t>
  </si>
  <si>
    <t>Total</t>
  </si>
  <si>
    <t>[( 1,3543*2,35005)] = 3,1827</t>
  </si>
  <si>
    <t>[( 1,3543*1,7928)] = 2,4280</t>
  </si>
  <si>
    <t xml:space="preserve"> [( 2,3543 - 1)] = 1,3543</t>
  </si>
  <si>
    <t>Engº Marcus H. R. Rangel</t>
  </si>
  <si>
    <t>Espalhamento de material em bota fora</t>
  </si>
  <si>
    <t>Transporte e colocação de placas pré-moldadas</t>
  </si>
  <si>
    <t>Cabo De Cobre Isolado XLPE 20/35 KV #35 Mm²</t>
  </si>
  <si>
    <t>Fita metálica perfurada, L=*18*mm, rolo de 30m, carga recomendada= *30*KGF</t>
  </si>
  <si>
    <t xml:space="preserve">Conector estribo de alumínio 1/0-4/0AWG (70mm2) </t>
  </si>
  <si>
    <t>Grampo De Linha Viva Para Cabo de 35mm²</t>
  </si>
  <si>
    <t>Chave Fusível Unipolar Distribuição Porcelana 36,2Kv 100 A 10 KA com ferragem</t>
  </si>
  <si>
    <t xml:space="preserve">Elo Fusível Corrente nominal: 25 A. Curva tipo K. Comprimento: 500 mm. Capacidade de interrupção máxima: 5kA assimétrica/3,6 kA simétrica. </t>
  </si>
  <si>
    <t>Para-Raios De Distribuição - Zno 36Kv; 31,5Ka</t>
  </si>
  <si>
    <t>Cruzeta De Concreto Tipo "T", 1.900 Mm</t>
  </si>
  <si>
    <t>Isolador de ancoragem e suspensão tensão nominal 35kV NBR-6323</t>
  </si>
  <si>
    <t>Alça pré-formada distribuição Para cabo de aluminio CAA 4/0 AWG</t>
  </si>
  <si>
    <t>Pino autotravante M16</t>
  </si>
  <si>
    <t>SPDA</t>
  </si>
  <si>
    <t>vb</t>
  </si>
  <si>
    <t>8.3.1.32</t>
  </si>
  <si>
    <t>Recuperação das paredes de concreto do sifão invertido sob a linha de transmissão</t>
  </si>
  <si>
    <t>8.3.1.33</t>
  </si>
  <si>
    <t>8.5.1.15</t>
  </si>
  <si>
    <t>Montagem Comporta Plana Deslizante, L X H = 1,80 X 2,72 M</t>
  </si>
  <si>
    <t>8.5.1.16</t>
  </si>
  <si>
    <t>Montagem Grade metálica Vertical com viga pescadora L X H = 1,80 X 2,72 M</t>
  </si>
  <si>
    <t>8.5.2.5</t>
  </si>
  <si>
    <t>Comporta Plana Deslizante, L X H = 1,80 X 2,72 M</t>
  </si>
  <si>
    <t>8.5.2.6</t>
  </si>
  <si>
    <t>Grade metálica Vertical com viga pescadora L X H = 1,80 X 2,72 M</t>
  </si>
  <si>
    <t>8.7.1.19</t>
  </si>
  <si>
    <t>Montagem - Stop log 600 x 300 mm (comporta deslizante)</t>
  </si>
  <si>
    <t>8.7.1.20</t>
  </si>
  <si>
    <t xml:space="preserve">Montagem - Stop log 1000 x 300 mm (comporta deslizante) </t>
  </si>
  <si>
    <t>8.7.1.21</t>
  </si>
  <si>
    <t xml:space="preserve">Montagem - Stop log 150 x 150 mm (Comporta Deslizante VGSF) </t>
  </si>
  <si>
    <t>8.7.1.22</t>
  </si>
  <si>
    <t xml:space="preserve">Montagem - Stop log 650 x 420 mm (comporta deslizante) </t>
  </si>
  <si>
    <t>8.7.1.23</t>
  </si>
  <si>
    <t>Montagem - Comporta Gaveta DN 50/60</t>
  </si>
  <si>
    <t>8.7.2.10</t>
  </si>
  <si>
    <t>Stop log 600 x 300 mm (comporta deslizante)</t>
  </si>
  <si>
    <t>8.7.2.11</t>
  </si>
  <si>
    <t xml:space="preserve">Stop log 1000 x 300 mm (comporta deslizante) </t>
  </si>
  <si>
    <t>8.7.2.12</t>
  </si>
  <si>
    <t xml:space="preserve">Stop log 150 x 150 mm (Comporta Deslizante VGSF) </t>
  </si>
  <si>
    <t>8.7.2.13</t>
  </si>
  <si>
    <t xml:space="preserve">Stop log 650 x 420 mm (comporta deslizante) </t>
  </si>
  <si>
    <t>8.7.2.14</t>
  </si>
  <si>
    <t>Comporta Gaveta DN 50/60</t>
  </si>
  <si>
    <t>8.9</t>
  </si>
  <si>
    <t>8.9.1</t>
  </si>
  <si>
    <t>8.9.1.1</t>
  </si>
  <si>
    <t>Montagem comporta AVIO 140/160</t>
  </si>
  <si>
    <t>8.9.1.2</t>
  </si>
  <si>
    <t>Montagem Comporta Plana - Vg 125 X 125</t>
  </si>
  <si>
    <t>8.9.1.3</t>
  </si>
  <si>
    <t>8.9.2</t>
  </si>
  <si>
    <t>8.9.2.1</t>
  </si>
  <si>
    <t>Comporta Avio 140/160</t>
  </si>
  <si>
    <t>8.9.2.2</t>
  </si>
  <si>
    <t>Comporta Plana Deslizante, Vg 125 X 125</t>
  </si>
  <si>
    <t>8.10</t>
  </si>
  <si>
    <t>Extremidade Flange E Bolsa, Junta Elástica, Ferro Dúctil, Ø400 Mm.</t>
  </si>
  <si>
    <t>Flange Cego, Ferro Dúctil,  Ø400 Mm</t>
  </si>
  <si>
    <t>Acessórios para flanges Ø400mm</t>
  </si>
  <si>
    <t>Montagem De Chave De Nível Tipo Bóia, De Pvc, Contato Normalmente Aberto Para 5 A - 220V,  Montagem De Cabo Condutor Com 10,0 M De Comprimento</t>
  </si>
  <si>
    <t>9.1.295</t>
  </si>
  <si>
    <t>Serviços De Rejuvenescimento E Manutenção Preventiva Dos Motores De 300 Cv</t>
  </si>
  <si>
    <t>9.1.296</t>
  </si>
  <si>
    <t>Montagem de ventosa Ø 50 mm</t>
  </si>
  <si>
    <t>9.1.297</t>
  </si>
  <si>
    <t>Suporte para Tubulação de Descarga das Bombas</t>
  </si>
  <si>
    <t>9.1.298</t>
  </si>
  <si>
    <t>Forro PVC em placas com largura de 10 cm</t>
  </si>
  <si>
    <t>9.1.299</t>
  </si>
  <si>
    <t>9.1.300</t>
  </si>
  <si>
    <t>Montagem redução concêntrica aço carbono, esp. ¼", Ø450 mm flange, Ø 250 mm.</t>
  </si>
  <si>
    <t>9.1.301</t>
  </si>
  <si>
    <t>Montagem redução excêntrica aço carbono, esp. ¼", Ø450 mm flange, Ø 250 mm.</t>
  </si>
  <si>
    <t>9.1.302</t>
  </si>
  <si>
    <t>9.1.303</t>
  </si>
  <si>
    <t>Serviços de manutenção corretiva dos tanques hidropneumáticos</t>
  </si>
  <si>
    <t>9.1.304</t>
  </si>
  <si>
    <t>Chave De Nível Tipo Bóia, De Pvc, Contato Normalmente Aberto Para 5 A - 220V,  Cabo Condutor Com 10,0 M De Comprimento</t>
  </si>
  <si>
    <t>Curva 90 Graus De Pvc Rígido, Diam 3/4"Com 2 Luvas</t>
  </si>
  <si>
    <t>Cabo De Cobre Nú, Tempera Mio Duro, Seção 70Mm2, Formação 7 Fios</t>
  </si>
  <si>
    <t>9.2.327</t>
  </si>
  <si>
    <t>Bexiga de poliuretano, de cap. 25.000 Lts para o reservatório antigolpe de aríete</t>
  </si>
  <si>
    <t>9.2.328</t>
  </si>
  <si>
    <t>Bexiga de poliuretano, de cap. 20.000 Lts para o reservatório antigolpe de aríete</t>
  </si>
  <si>
    <t>9.2.329</t>
  </si>
  <si>
    <t>9.2.330</t>
  </si>
  <si>
    <t>9.2.332</t>
  </si>
  <si>
    <t>Redução concêntrica em aço carbono, esp. ¼", Ø450 mm com flange, Ø250 mm</t>
  </si>
  <si>
    <t>9.2.333</t>
  </si>
  <si>
    <t>Redução excêntrica em aço carbono, esp. ¼", Ø450 mm com flange, Ø250 mm</t>
  </si>
  <si>
    <t>9.2.334</t>
  </si>
  <si>
    <t>Curva 45° com pontas, aço carbono 5/16" PN 10 Ø700mm</t>
  </si>
  <si>
    <t>9.2.335</t>
  </si>
  <si>
    <t>9.3</t>
  </si>
  <si>
    <t>MONTAGEM ELÉTRICA</t>
  </si>
  <si>
    <t>9.3.1</t>
  </si>
  <si>
    <t>ATERRAMENTO</t>
  </si>
  <si>
    <t>9.3.1.1</t>
  </si>
  <si>
    <t>9.3.1.2</t>
  </si>
  <si>
    <t>9.3.1.3</t>
  </si>
  <si>
    <t>9.3.2</t>
  </si>
  <si>
    <t>9.3.2.1</t>
  </si>
  <si>
    <t>9.3.2.2</t>
  </si>
  <si>
    <t>9.3.2.3</t>
  </si>
  <si>
    <t>9.3.2.4</t>
  </si>
  <si>
    <t>9.3.2.5</t>
  </si>
  <si>
    <t>9.3.2.6</t>
  </si>
  <si>
    <t>Abraçadeira Guia Reforçada em aço galvanizado a fogo Para Mastros 2"</t>
  </si>
  <si>
    <t>9.3.2.7</t>
  </si>
  <si>
    <t>Abraçadeira Guia Simples em aço galvanizado a fogo Para Mastros 2"</t>
  </si>
  <si>
    <t>9.3.2.8</t>
  </si>
  <si>
    <t>Abraçadeira Tipo Porta Bandeira Simples em aço galvanizado a fogo Para Mastros 2" .</t>
  </si>
  <si>
    <t>9.3.2.9</t>
  </si>
  <si>
    <t>9.3.2.10</t>
  </si>
  <si>
    <t>9.3.2.11</t>
  </si>
  <si>
    <t>Abraçadeira Tipo D em aço galvanizado a fogo Com Cunha 2"</t>
  </si>
  <si>
    <t>9.3.2.12</t>
  </si>
  <si>
    <t>Suporte Guia Base  Cabo 35mm²</t>
  </si>
  <si>
    <t>9.3.2.13</t>
  </si>
  <si>
    <t>9.3.3</t>
  </si>
  <si>
    <t>SUBESTAÇÃO EBS - ENTRADA DE ENERGIA</t>
  </si>
  <si>
    <t>9.3.3.1</t>
  </si>
  <si>
    <t>9.3.3.2</t>
  </si>
  <si>
    <t>9.3.3.3</t>
  </si>
  <si>
    <t>9.3.3.4</t>
  </si>
  <si>
    <t xml:space="preserve">Cabo De Cobre Isolado XLPE 0,6/1 KV  400 Mm² </t>
  </si>
  <si>
    <t>9.3.3.5</t>
  </si>
  <si>
    <t xml:space="preserve">Cabo De Cobre Isolado XLPE 0,6/1 KV  240 Mm² </t>
  </si>
  <si>
    <t>9.3.3.6</t>
  </si>
  <si>
    <t>9.3.3.7</t>
  </si>
  <si>
    <t>9.3.3.8</t>
  </si>
  <si>
    <t>9.3.3.9</t>
  </si>
  <si>
    <t>9.3.3.10</t>
  </si>
  <si>
    <t>9.3.3.11</t>
  </si>
  <si>
    <t>9.3.3.12</t>
  </si>
  <si>
    <t>9.3.3.13</t>
  </si>
  <si>
    <t>Mufla Externa Para cabos de 35 mm^2</t>
  </si>
  <si>
    <t>9.3.3.14</t>
  </si>
  <si>
    <t>9.3.3.15</t>
  </si>
  <si>
    <t>9.3.3.16</t>
  </si>
  <si>
    <t>9.3.3.17</t>
  </si>
  <si>
    <t>9.3.3.18</t>
  </si>
  <si>
    <t>9.3.3.19</t>
  </si>
  <si>
    <t>9.3.3.20</t>
  </si>
  <si>
    <t>9.3.3.21</t>
  </si>
  <si>
    <t>9.3.3.22</t>
  </si>
  <si>
    <t>9.3.3.23</t>
  </si>
  <si>
    <t>9.3.3.24</t>
  </si>
  <si>
    <t>Transformador De Potência 500Kva - 34500 -380/220V - Uso Externo</t>
  </si>
  <si>
    <t>9.3.3.25</t>
  </si>
  <si>
    <t>Cubículo De Proteção E Medição Em Média Tensão (34,5 Kv) Padrão Equatorial, Instalação Abrigada,  Tipo Metal-Clad 380/220 V, Incluindo  Transformadores De Corrente ,  Transformadores De Potencial, Disjuntor De Média Tensão, Reles e Medidores</t>
  </si>
  <si>
    <t>9.3.4</t>
  </si>
  <si>
    <t>ALIMENTAÇÃO DE MOTORES E DAS BÓIAS DE NIVEL</t>
  </si>
  <si>
    <t>9.3.4.1</t>
  </si>
  <si>
    <t>Eletroduto Rígido De Aço Galvanizado Com Costura, 4" Em Varas De 3 Metros, Rosca Bsp. Ref.: Apolo Ou Similar</t>
  </si>
  <si>
    <t>9.3.4.2</t>
  </si>
  <si>
    <t>9.3.4.3</t>
  </si>
  <si>
    <t>9.3.4.4</t>
  </si>
  <si>
    <t xml:space="preserve">Cabo De Cobre Isolado XLPE 0,6/1 KV  300 Mm² </t>
  </si>
  <si>
    <t>9.3.4.5</t>
  </si>
  <si>
    <t>Cabo De Cobre Isolado XLPE 0,6/1 KV 150Mm²</t>
  </si>
  <si>
    <t>9.3.5</t>
  </si>
  <si>
    <t>ILUMINAÇÃO E TOMADAS</t>
  </si>
  <si>
    <t>9.3.5.1</t>
  </si>
  <si>
    <t>9.3.5.2</t>
  </si>
  <si>
    <t>9.3.5.3</t>
  </si>
  <si>
    <t>9.3.5.4</t>
  </si>
  <si>
    <t>9.3.5.5</t>
  </si>
  <si>
    <t>9.3.5.5.1</t>
  </si>
  <si>
    <t>9.3.5.5.2</t>
  </si>
  <si>
    <t>9.3.5.5.3</t>
  </si>
  <si>
    <t>9.4</t>
  </si>
  <si>
    <t>FORNECIMENTO ELÉTRICA</t>
  </si>
  <si>
    <t>9.4.1</t>
  </si>
  <si>
    <t>9.4.1.1</t>
  </si>
  <si>
    <t>9.4.1.2</t>
  </si>
  <si>
    <t>9.4.1.3</t>
  </si>
  <si>
    <t>9.4.2</t>
  </si>
  <si>
    <t>9.4.2.1</t>
  </si>
  <si>
    <t>9.4.2.2</t>
  </si>
  <si>
    <t>9.4.2.3</t>
  </si>
  <si>
    <t>9.4.2.4</t>
  </si>
  <si>
    <t>9.4.2.5</t>
  </si>
  <si>
    <t>9.4.2.6</t>
  </si>
  <si>
    <t>9.4.2.7</t>
  </si>
  <si>
    <t>9.4.2.8</t>
  </si>
  <si>
    <t>9.4.2.10</t>
  </si>
  <si>
    <t>9.4.2.11</t>
  </si>
  <si>
    <t>9.4.2.12</t>
  </si>
  <si>
    <t>9.4.2.13</t>
  </si>
  <si>
    <t>9.4.3</t>
  </si>
  <si>
    <t>9.4.3.1</t>
  </si>
  <si>
    <t>9.4.3.2</t>
  </si>
  <si>
    <t>9.4.3.3</t>
  </si>
  <si>
    <t>9.4.3.4</t>
  </si>
  <si>
    <t>9.4.3.5</t>
  </si>
  <si>
    <t>9.4.3.6</t>
  </si>
  <si>
    <t>9.4.3.7</t>
  </si>
  <si>
    <t>9.4.3.8</t>
  </si>
  <si>
    <t>9.4.3.9</t>
  </si>
  <si>
    <t>9.4.3.10</t>
  </si>
  <si>
    <t>9.4.3.11</t>
  </si>
  <si>
    <t>9.4.3.12</t>
  </si>
  <si>
    <t>9.4.3.13</t>
  </si>
  <si>
    <t>9.4.3.14</t>
  </si>
  <si>
    <t>9.4.3.15</t>
  </si>
  <si>
    <t>9.4.3.16</t>
  </si>
  <si>
    <t>9.4.3.18</t>
  </si>
  <si>
    <t>9.4.3.19</t>
  </si>
  <si>
    <t>9.4.3.20</t>
  </si>
  <si>
    <t>9.4.3.21</t>
  </si>
  <si>
    <t>9.4.3.22</t>
  </si>
  <si>
    <t>9.4.3.23</t>
  </si>
  <si>
    <t>9.4.3.24</t>
  </si>
  <si>
    <t>9.4.3.25</t>
  </si>
  <si>
    <t>9.4.4</t>
  </si>
  <si>
    <t>9.4.4.1</t>
  </si>
  <si>
    <t>9.4.4.2</t>
  </si>
  <si>
    <t>9.4.4.3</t>
  </si>
  <si>
    <t>9.4.4.4</t>
  </si>
  <si>
    <t>9.4.4.5</t>
  </si>
  <si>
    <t>9.4.5</t>
  </si>
  <si>
    <t>9.4.5.1</t>
  </si>
  <si>
    <t>9.4.5.2</t>
  </si>
  <si>
    <t>9.4.5.3</t>
  </si>
  <si>
    <t>9.4.5.4</t>
  </si>
  <si>
    <t>9.4.5.5</t>
  </si>
  <si>
    <t>9.4.5.5.1</t>
  </si>
  <si>
    <t>9.4.5.5.2</t>
  </si>
  <si>
    <t>9.4.5.5.3</t>
  </si>
  <si>
    <t>9.4.5.6</t>
  </si>
  <si>
    <t>9.5</t>
  </si>
  <si>
    <t>MONTAGEM E AUTOMAÇÃO</t>
  </si>
  <si>
    <t>9.5.1</t>
  </si>
  <si>
    <t>9.5.2</t>
  </si>
  <si>
    <t>9.5.3</t>
  </si>
  <si>
    <t>9.5.4</t>
  </si>
  <si>
    <t xml:space="preserve">Transmissor Eletrônico De Pressão Tipo Inserção, Com Indicador Incorporado, Range 0-12 Kgf/Cm² </t>
  </si>
  <si>
    <t>9.5.5</t>
  </si>
  <si>
    <t xml:space="preserve">Sensor De Temperatura P/ Mancais </t>
  </si>
  <si>
    <t>9.5.6</t>
  </si>
  <si>
    <t>9.5.7</t>
  </si>
  <si>
    <t>9.5.8</t>
  </si>
  <si>
    <t>PÇ</t>
  </si>
  <si>
    <t>9.5.9</t>
  </si>
  <si>
    <t>9.5.10</t>
  </si>
  <si>
    <t>9.5.11</t>
  </si>
  <si>
    <t>9.5.12</t>
  </si>
  <si>
    <t>9.5.13</t>
  </si>
  <si>
    <t>9.5.14</t>
  </si>
  <si>
    <t>9.5.15</t>
  </si>
  <si>
    <t>9.5.16</t>
  </si>
  <si>
    <t>Cordoalha De Cobre Nú, Inclusive Isoladores - 25,00 Mm2</t>
  </si>
  <si>
    <t>9.5.17</t>
  </si>
  <si>
    <t>9.5.18</t>
  </si>
  <si>
    <t>9.5.19</t>
  </si>
  <si>
    <t>9.6</t>
  </si>
  <si>
    <t>FORNECIMENTO E AUTOMAÇÃO</t>
  </si>
  <si>
    <t>9.6.1</t>
  </si>
  <si>
    <t>9.6.2</t>
  </si>
  <si>
    <t>9.6.3</t>
  </si>
  <si>
    <t>9.6.4</t>
  </si>
  <si>
    <t>9.6.5</t>
  </si>
  <si>
    <t>9.6.6</t>
  </si>
  <si>
    <t>9.6.7</t>
  </si>
  <si>
    <t>9.6.8</t>
  </si>
  <si>
    <t>9.6.9</t>
  </si>
  <si>
    <t>9.6.10</t>
  </si>
  <si>
    <t>9.6.11</t>
  </si>
  <si>
    <t>9.6.12</t>
  </si>
  <si>
    <t>9.6.13</t>
  </si>
  <si>
    <t>9.6.14</t>
  </si>
  <si>
    <t>9.6.15</t>
  </si>
  <si>
    <t>9.6.16</t>
  </si>
  <si>
    <t>9.6.17</t>
  </si>
  <si>
    <t>9.6.18</t>
  </si>
  <si>
    <t>UN</t>
  </si>
  <si>
    <t>9.6.19</t>
  </si>
  <si>
    <t>10.1.34</t>
  </si>
  <si>
    <t>Espalhamento de material escavado</t>
  </si>
  <si>
    <t>10.1.35</t>
  </si>
  <si>
    <t>23</t>
  </si>
  <si>
    <t>23.1</t>
  </si>
  <si>
    <t>23.2</t>
  </si>
  <si>
    <t>____________________________________________</t>
  </si>
  <si>
    <t>20</t>
  </si>
  <si>
    <t>___________________________</t>
  </si>
  <si>
    <t>_______________________________</t>
  </si>
  <si>
    <t>NOV/22</t>
  </si>
  <si>
    <t>CONTRATO - 18ºTAC</t>
  </si>
  <si>
    <t>9.3.3.26</t>
  </si>
  <si>
    <t>Comissionamento da Estação de bombeamento Secundário 1, 2, 3 e 4</t>
  </si>
  <si>
    <t>MINISTÉRIO DA INTEGRAÇÃO E DESENVOLVIMENTO REGIONAL</t>
  </si>
  <si>
    <t>TERMINO: 15 julho de 2024</t>
  </si>
  <si>
    <t>PLANILHA 18º TERMO ADITIVO</t>
  </si>
  <si>
    <t>1 - CANAL DE APROXIMAÇÃO</t>
  </si>
  <si>
    <t>Obras civis</t>
  </si>
  <si>
    <t>9.</t>
  </si>
  <si>
    <t>9.1.</t>
  </si>
  <si>
    <t>24.</t>
  </si>
  <si>
    <t>25.</t>
  </si>
  <si>
    <t>26.</t>
  </si>
  <si>
    <t>VALOR a PI</t>
  </si>
  <si>
    <t xml:space="preserve">DISCRIMINAÇÃO </t>
  </si>
  <si>
    <t>Geral</t>
  </si>
  <si>
    <t>OBS.</t>
  </si>
  <si>
    <t>Fonte de dados</t>
  </si>
  <si>
    <t>Data / Ano</t>
  </si>
  <si>
    <t>Índices de reajuste</t>
  </si>
  <si>
    <t>Fator</t>
  </si>
  <si>
    <t>Guadal_AsB</t>
  </si>
  <si>
    <t>IGP - DI</t>
  </si>
  <si>
    <t>Serviços recup e finalização</t>
  </si>
  <si>
    <t>das obras civis</t>
  </si>
  <si>
    <t>Montagem mecân (10%)</t>
  </si>
  <si>
    <t>Exec.=25%</t>
  </si>
  <si>
    <t>Ref.: EBP-Norte Guadalupe; 8,37 m³/s (R$/m³/s)</t>
  </si>
  <si>
    <t>EBP-I - Fase 1 (6,05 m³/s)</t>
  </si>
  <si>
    <t>R$/m³/s</t>
  </si>
  <si>
    <t>6,05 m³/s</t>
  </si>
  <si>
    <t>2,60 m³/s</t>
  </si>
  <si>
    <t>Fornec equip. mecânico</t>
  </si>
  <si>
    <t>Montagem equip. mecânico</t>
  </si>
  <si>
    <t>Fornec equip. elétrico</t>
  </si>
  <si>
    <t>Montagem equip. elétrico</t>
  </si>
  <si>
    <t>Platôs Guadalupe</t>
  </si>
  <si>
    <t xml:space="preserve">Fornec mecânicos </t>
  </si>
  <si>
    <t>Fornec chaminé e acessórios</t>
  </si>
  <si>
    <t>11,15m x DN2300 #3/4"</t>
  </si>
  <si>
    <t>1.510m x (1 x DN1500 3/8")</t>
  </si>
  <si>
    <t>Cotação (ajust.)</t>
  </si>
  <si>
    <t>Acess.=10%</t>
  </si>
  <si>
    <t>CANAL DE APROXIMAÇÃO (9,50 m³/s e L=1317m)</t>
  </si>
  <si>
    <t>R$/(m³/s)/m</t>
  </si>
  <si>
    <t>Ref.: Proj Básico M.Alves (2013)</t>
  </si>
  <si>
    <t>Dragagem da embocadura do canal</t>
  </si>
  <si>
    <t>Proj. TLP</t>
  </si>
  <si>
    <t>Remoção da ensecadeira</t>
  </si>
  <si>
    <t xml:space="preserve">Obras civis </t>
  </si>
  <si>
    <t>10% de Equip.</t>
  </si>
  <si>
    <t>Adutora EBP-I - Fase 1 (2,6 m³/s)</t>
  </si>
  <si>
    <t>2 - EBP-1 E ADUTORA - FASE 1</t>
  </si>
  <si>
    <t>EBP-1 (FASE 1)</t>
  </si>
  <si>
    <t>ADUTORA DA EBP-1 - FASE 1</t>
  </si>
  <si>
    <t>Base: 2023</t>
  </si>
  <si>
    <t xml:space="preserve">ha SAU  </t>
  </si>
  <si>
    <t>R$/ha</t>
  </si>
  <si>
    <t>ADUTORA PARA ALIMENTAÇÃO DOS LOTES EMPRESARIAIS - ÁREA INCRA - ANTIGO CANAL CT-2.2</t>
  </si>
  <si>
    <t>Comporta Ensecadeira De L X H = 1,80 M X 3,50 M X Hs = 3,36 Mca X Hconcreto = 4,06 M, Completa A Ser Instalada A Montante Da Comporta Avio® 71/40, Com Viga Pescadora-Transição Cs2 Para Ct2-4.</t>
  </si>
  <si>
    <t>unid.</t>
  </si>
  <si>
    <t>Fornec Equip Mecân/Eletric</t>
  </si>
  <si>
    <t>p/ unid</t>
  </si>
  <si>
    <t>Malves-2ª-2013</t>
  </si>
  <si>
    <t>PROD. SIDERÚRG.</t>
  </si>
  <si>
    <t>27.</t>
  </si>
  <si>
    <t>Montagem mecân/eletr.(30%)</t>
  </si>
  <si>
    <t>Reservatório Pulmão - Implantação (9,5 m³/s)</t>
  </si>
  <si>
    <t>=0,50 km CP-2 Sul</t>
  </si>
  <si>
    <t>Custos diversos</t>
  </si>
  <si>
    <t>(A * R$/ha)</t>
  </si>
  <si>
    <t>Implantação do PBA (da SAG)</t>
  </si>
  <si>
    <t>Consultoria (projeto e supervisão de obras)</t>
  </si>
  <si>
    <t>Valor da terra</t>
  </si>
  <si>
    <t>&lt;&lt;&lt; Verificar</t>
  </si>
  <si>
    <t>CUSTOS DIVERSOS</t>
  </si>
  <si>
    <t>Obras civis (seções)</t>
  </si>
  <si>
    <t>R$/m/(m³/s)</t>
  </si>
  <si>
    <t>Proj.Palmeir</t>
  </si>
  <si>
    <t>Obras de arte</t>
  </si>
  <si>
    <t>OBRAS ARTE ESPEC</t>
  </si>
  <si>
    <t>Fornecimento mecân.</t>
  </si>
  <si>
    <t>Montagem mecân.</t>
  </si>
  <si>
    <t>PLANILHA ORÇAMENTÁRIA - RESUMO</t>
  </si>
  <si>
    <t>DATA BASE: JUNHO/2023</t>
  </si>
  <si>
    <t>Obra /Grupo</t>
  </si>
  <si>
    <t>Grupos de obras e equipamentos</t>
  </si>
  <si>
    <t>Dispêndio total (R$)</t>
  </si>
  <si>
    <t>Vida útil (anos)</t>
  </si>
  <si>
    <t>Taxa de Manut. (%)</t>
  </si>
  <si>
    <t>Valores de Manut. (R$/ano)</t>
  </si>
  <si>
    <t>Taxa Manut (%)</t>
  </si>
  <si>
    <t>Fator de redução (%)</t>
  </si>
  <si>
    <t>Taxa Manut Adotada  (%)</t>
  </si>
  <si>
    <t>Ramais móveis e emissores</t>
  </si>
  <si>
    <t>Serviços de recuperação/finalização de obras e equipamentos</t>
  </si>
  <si>
    <t>Equipamentos elétricos / automação (fornec.)</t>
  </si>
  <si>
    <t>Equipamentos mecânicos  e elétricos (montagem)</t>
  </si>
  <si>
    <t>Equip das adutoras + reserv. pulmão (fornec e montagem)</t>
  </si>
  <si>
    <t>Equip dos canais (fornec e montagem)</t>
  </si>
  <si>
    <t>Equip dos sifões invert. (fornec e montagem)</t>
  </si>
  <si>
    <t>Equip das tomadas de água nos canais</t>
  </si>
  <si>
    <t>Reservatório pulmão</t>
  </si>
  <si>
    <t>Canais de distribuição (e obras auxiliares)</t>
  </si>
  <si>
    <t>Sifões invertidos</t>
  </si>
  <si>
    <t>Redes pressurizadas e gravitacionais</t>
  </si>
  <si>
    <t>Sistema "on farm"</t>
  </si>
  <si>
    <t>Sistema de drenagem (viária e agrícola)</t>
  </si>
  <si>
    <t>DIVERSOS</t>
  </si>
  <si>
    <t>TOTAL GERAL DAS OBRAS</t>
  </si>
  <si>
    <t>EQUIPAMENTOS E OBRAS "ON-FARM"</t>
  </si>
  <si>
    <t>Rede fixa de distrib. e cavaletes (fornec.)</t>
  </si>
  <si>
    <t>Grupos motobombas e equip. mecânicos (fornec.)</t>
  </si>
  <si>
    <t>9 - ESTAÇÕES DE BOMBEAMENTO (EBSs)</t>
  </si>
  <si>
    <t>EBPs, EBAs e LE</t>
  </si>
  <si>
    <t xml:space="preserve">Adutoras das EBPs </t>
  </si>
  <si>
    <t>Canal de aproximação</t>
  </si>
  <si>
    <t>Sistema viário (canais e setores) e pontilhão</t>
  </si>
  <si>
    <t xml:space="preserve">Desmat., destocamento e limpeza (SAU)  </t>
  </si>
  <si>
    <t>Terraceamento das áreas agrícolas</t>
  </si>
  <si>
    <t>ok</t>
  </si>
  <si>
    <t>&gt;</t>
  </si>
  <si>
    <t>Extravasor e desc. Fundo</t>
  </si>
  <si>
    <t>Execução de cerca na poligonal</t>
  </si>
  <si>
    <t>Montagem mecân./eletrtrica</t>
  </si>
  <si>
    <t>Resumo - Agrup &gt;&gt;&gt;</t>
  </si>
  <si>
    <t xml:space="preserve">Assentamento e montagem </t>
  </si>
  <si>
    <t xml:space="preserve">Equip das redes tubulares (fornec e montagem) </t>
  </si>
  <si>
    <t>Mobilização e desmobilização</t>
  </si>
  <si>
    <t>Dispêndio por agrup. (R$)</t>
  </si>
  <si>
    <t>28</t>
  </si>
  <si>
    <t>SERVIÇOS PRELIMINARES</t>
  </si>
  <si>
    <t>OK &gt;&gt;&gt;&gt;</t>
  </si>
  <si>
    <t>Serviços Preliminares (Mobilização, Canteiro e Manutenção)</t>
  </si>
  <si>
    <t>Infra-Estrutura Urbana (Agrovilas)</t>
  </si>
  <si>
    <t xml:space="preserve">EQUIP. P/ ADUTORAS, CANAIS, SIFÕES INVERT.  E REDES TUBOS SETORES </t>
  </si>
  <si>
    <t>Dados de literatura</t>
  </si>
  <si>
    <t xml:space="preserve">ORÇAM. GLOBAL  (R$ a P.I.) </t>
  </si>
  <si>
    <t>ORÇAM. GLOBAL (R$ CORRIG.)</t>
  </si>
  <si>
    <t>ÍNDICE GERAL DE PREÇOS -  IGP-DI</t>
  </si>
  <si>
    <t>Proj. TLP (saldo escav. subaqua. - 5.1.1.8)</t>
  </si>
  <si>
    <t>Enrocamento c/ pedra arrumada (e=1,0m)</t>
  </si>
  <si>
    <t>Obras civis (implantação do canal)</t>
  </si>
  <si>
    <t>Momento de transporte mat 1ªcat.</t>
  </si>
  <si>
    <t>Proj. TLP (saldo item 5.1.1.36)</t>
  </si>
  <si>
    <t>Proj. TLP  (saldo item  5.1.1.34)</t>
  </si>
  <si>
    <t>IGP-DI</t>
  </si>
  <si>
    <t>Canal Principal e suas obras - Implantação (9,5 m³/s)</t>
  </si>
  <si>
    <t>Não haverá aspersão convenc.</t>
  </si>
  <si>
    <t>13.2.1.46</t>
  </si>
  <si>
    <t>Equipamentos das linhas mestras do Platôs de Guadalupe (menos os tubos e peças existentes)</t>
  </si>
  <si>
    <t>Item ajustado por Proj Guadalupe</t>
  </si>
  <si>
    <t>Proj. ambientais, licenças, implantação do PBA</t>
  </si>
  <si>
    <t>Orçam.  Ambient.</t>
  </si>
  <si>
    <t>(Até Ano 10)</t>
  </si>
  <si>
    <t>Mobilização de Pessoal</t>
  </si>
  <si>
    <t>Instalação do Canteiro</t>
  </si>
  <si>
    <t>Manutenção e Apoio Logístico</t>
  </si>
  <si>
    <t>&lt;&lt;&lt; Verificar  item 12 do BM</t>
  </si>
  <si>
    <t>Fornecimento de equipamentos</t>
  </si>
  <si>
    <t>Montagem mecânica (10%)</t>
  </si>
  <si>
    <t>RESERVATÓRIO PULMÃO</t>
  </si>
  <si>
    <t>Obras civis (implantação)</t>
  </si>
  <si>
    <t>Obras civis (implantação das seções)</t>
  </si>
  <si>
    <t xml:space="preserve">CANAL PRINCIPAL E SUAS OBRAS DE ARTE </t>
  </si>
  <si>
    <t>1.5</t>
  </si>
  <si>
    <t>gl.</t>
  </si>
  <si>
    <t>2.3</t>
  </si>
  <si>
    <t>2.4</t>
  </si>
  <si>
    <t>TOTAL &gt;&gt;&gt;&gt;</t>
  </si>
  <si>
    <t>Custo total das infraestrut. (R$)</t>
  </si>
  <si>
    <t>Obras civis e montagem</t>
  </si>
  <si>
    <t>Obras civis e montagem (item 13 - Redes fixas e on farm)</t>
  </si>
  <si>
    <t>SAU (ha) &gt;&gt;&gt;</t>
  </si>
  <si>
    <t>Jul/2023</t>
  </si>
  <si>
    <t>13 - REDES FIXAS E "ON FARM" (SH 1, 2, 3, e 4)</t>
  </si>
  <si>
    <t>Fornecimento dos equip. fixos (item 13 - ...)</t>
  </si>
  <si>
    <t>Fornec. Equip aplicação da água</t>
  </si>
  <si>
    <t>Fornecimento dos equip. fixos</t>
  </si>
  <si>
    <t>Obras civis da EBP</t>
  </si>
  <si>
    <t>Fornec. equip aplicação da água</t>
  </si>
  <si>
    <t>SUBESTAÇÕES EBP-1, EBP-2, EBS (1, 2, 3 e 4)</t>
  </si>
  <si>
    <t>BAY DE SAÍDA E LINHA DE TRANSMISSÃO DE 69kV</t>
  </si>
  <si>
    <t>LINHA DE DISTRIBUIÇÃO 13,8/0,38/0,22kV
(POSTOS 34,5/13,8kV, 5Km linha, 26 PONTOS DE ENTREGA 380/220V)</t>
  </si>
  <si>
    <t>INSTRUMENTAÇÃO, AUTOMAÇÃO E CFTV
(EBPI+II, SE EBP, R. PPULMÃO, 4xEBS e SEs, 3x COMPORTAS)</t>
  </si>
  <si>
    <t>Subestações EBP-1, EBP-2, EBS (1, 2, 3 e 4)</t>
  </si>
  <si>
    <t>Bay de saída e linha de transmissão de 69kV</t>
  </si>
  <si>
    <t>Linha de distrib 13,8/0,38/0,22kV (Postos 34,5/13,8kV, 5Km linha, 26 pontos de entrega 380/220V)</t>
  </si>
  <si>
    <t>Instrument., automação e CFTV (EBPI+II, SE EBP, R. PPULMÃO, 4xEBS e SEs, 3x comportas)</t>
  </si>
  <si>
    <t>Linha de transmissão de 34,5kV</t>
  </si>
  <si>
    <t>Ministério da Integração e do Desenvolvimento Regional - MIDR</t>
  </si>
  <si>
    <t>Departamento Nacional de Obras Contra as Secas - DNOCS</t>
  </si>
  <si>
    <t>RECUPERAÇÃO/MANUTENÇÃO DAS OBRAS CIVIS E EQUIPAMENTOS DO PROJETO DE IRRIGAÇÃO TABULEIROS LITORÂNEOS DE PARNAÍBA-PI - 2ª  ETAPA, DO ESTADO DO PIAUÍ.</t>
  </si>
  <si>
    <t>UNIDADE</t>
  </si>
  <si>
    <t>QUANTIDADE</t>
  </si>
  <si>
    <t>PREÇO (R$)</t>
  </si>
  <si>
    <t>SERVIÇOS DIVERSOS PARA RECUPERAÇÃO DE OBRAS E MANUTENÇÃO EQUIPAMENTOS</t>
  </si>
  <si>
    <t>CANAL DE APROXIMAÇÃO</t>
  </si>
  <si>
    <t>SERVIÇOS PREVISTOS: DRAGAGEM EVENTUAL DO BRAÇO DO RIO PARNAÍBA (ONDE OCORRE O FLUXO INVERSO EM DIREÇÃO À ENTRADA DO CANAL) ATRAVÉS DO USO DE DRAGA FLUTUANTE; DRAGAGEM EVENTUAL DO TRECHO INICIAL DO CANAL DE APROXIMAÇÃO, EM PERÍODOS VARIÁVEIS, DE ACORDO COM AS INTENSIDADES DAS ENCHENTES; REMOÇÃO PERIÓDICA DA VEGETAÇÃO FLUTUANTE; REMOÇÃO DA VEGETAÇÃO E LIMPEZA DOS TALUDES (COM ENROCAMENTO) DO CANAL; SERVIÇOS DE MANUTENÇÃO DAS ESTRADAS DE SERVIÇO (LD E LE) E DAS VALAS DE DRENAGEM; REMOÇÃO DA ENSECADEIRA EXISTENTE (IMPLANTADA COM LATERITA COMPACTADA) COM AUXÍLIO DE DRAGA FLUTUANTE; SERVIÇOS DE CARGA, TRANSPORTE E DESCARGA DOS MATERIAIS REMOVIDOS DA ENSECADEIRA; EXECUÇÃO DA PROTEÇÃO DOS TALUDES COM RIP-RAP (NO LOCAL DA ENSECADEIRA E PROXIMIDADES); SERVIÇOS DE BATIMETRIA NO LOCAL DA ENSECADEIRA, JUNTO ÀS TOMADAS DAS ELEVATÓRIAS E AO LONGO DO CANAL DE APROXIMAÇÃO.</t>
  </si>
  <si>
    <t>SICRO-1917641</t>
  </si>
  <si>
    <t>SICRO-1505878</t>
  </si>
  <si>
    <t>SINAPI-95425</t>
  </si>
  <si>
    <t>ESTAÇÃO DE BOMBEAMENTO EBP-I - FASE 1 (6,05 m³/s) - SERVIÇOS DIVERSOS PARA RECUPERAÇÃO DE OBRAS E MANUTENÇÃO EQUIPAMENTOS</t>
  </si>
  <si>
    <t>SERVIÇOS PREVISTOS: RECUPERAÇÃO COMPLETA OU SUBSTITUIÇÃO DOS DOIS GRUPOS MOTOBOMBAS ANTIGOS E HOJE DESMOBILIZADOS PARA QUE FORNEÇAM 1,20 M³/S A UMA AMT DE 50 MCA; RECUPERAÇÃO OU SUBSTITUIÇÃO DOS QUADROS DE COMANDO E EQUIPAMENTO ACESSÓRIOS PARA OS DOIS GRUPOS MOTOBOMBAS; RECUPERAÇÃO COMPLETA, INCLUSIVE SERVIÇOS DE MANUTENÇÃO PREVENTIVA E CORRETIVA DO GRUPO MOTOBOMBA HOJE EM OPERAÇÃO COM CAPACIDADE PARA 1,15 M³/S E AMT DE 50 MCA; MONTAGEM DOS QUADROS DE COMANDO E INTERLIGAÇÃO AO SISTEMA ELÉTRICO DOS DOIS GRUPOS MOTOBOMBAS INSTALADOS, PORÉM SEM UTILIZAÇÃO; SERVIÇOS DE RECUPERAÇÃO E MANUTENÇÃO DAS ALVENARIAS DO PRÉDIO, COBOGÓS E COBERTURAS.</t>
  </si>
  <si>
    <t>- Estimativa Custo Obra Civil EBP-I:                   Ref.: EBP-Norte Guadalupe/PI; 8,37 m³/s (R$/m³/s)</t>
  </si>
  <si>
    <t>(R$/m³/s)</t>
  </si>
  <si>
    <t>Custo Previsto Recuperação das Obras</t>
  </si>
  <si>
    <t>- Estimativa Custo Fornecimento Grupo Motor-Bomba:      Ref. Cotação Obra Executada, atualizada para julho/2023, pelo IGP-DI</t>
  </si>
  <si>
    <t>Custo Previsto Recuperação/manutenção dos grupos motor-bomba</t>
  </si>
  <si>
    <t>Recuperar/fazer manutenção em 3 GMB</t>
  </si>
  <si>
    <t>ADUTORA EBP-I - FASE 1 (2,6 M³/S)</t>
  </si>
  <si>
    <t>SERVIÇOS PREVISTOS: INSPEÇÃO RIGOROSA DAS CONDIÇÕES FÍSICAS DA TUBULAÇÃO, INCLUSIVE ABERTURAS PARA VISITAS, VÁLVULAS E ACESSÓRIOS; INSPEÇÃO DA CHAMINÉ DE EQUILÍBRIO E DO “ONE-WAY”, INCLUSIVE SUAS CONEXÕES, VÁLVULAS E ACESSÓRIOS; TESTE DOS EQUIPAMENTOS EXISTENTES E EVENTUAL SUBSTITUIÇÃO DE EQUIPAMENTOS AVARIADOS; INSPEÇÃO DAS OBRAS CIVIS DAS BASES DOS EQUIPAMENTOS, POÇOS DE VISITAS, CONEXÃO COM A CASA DE BOMBAS E COM O RESERVATÓRIO PULMÃO; RECUPERAÇÃO DA PINTURA DE PROTEÇÃO, JUNTAS DE FLANGES, PROTEÇÃO CATÓDICA, ETC.; SUPRESSÃO DE VEGETAÇÃO E LIMPEZA DA FAIXA DE ASSENTAMENTO DA TUBULAÇÃO</t>
  </si>
  <si>
    <t>- Estimativa Custo Obra Civil Adutora EBP-I: 10% Fornecimento + Montagem</t>
  </si>
  <si>
    <t>Fornecimento Equipamentos + montagem   Ref.: Projeto Platôs de Guadalupe "as built" atualizado para julho/2023 pelo IGP-DI</t>
  </si>
  <si>
    <t>RESERVATÓRIO PULMÃO E SUAS ESTRUTURAS ACESSÓRIAS</t>
  </si>
  <si>
    <t>SERVIÇOS PREVISTOS: ESVAZIAMENTO E REMOÇÃO DE SEDIMENTOS PARA VISUALIZAÇÃO COMPLETA DO RESERVATÓRIO; REMOÇÃO DA VEGETAÇÃO DOS TALUDES EXTERNOS, BERMAS E TALUDES INTERNOS (NAS JUNTAS); INSPEÇÃO RIGOROSA DO REVESTIMENTO INTERNO, INCLUINDO DANOS ÀS PLACAS DE CONCRETO, JUNTAS DE VEDAÇÃO, FIXAÇÃO E PROTEÇÃO DA GEOMEMBRANA NO TOPO DO TALUDE, ETC; INSPEÇÃO DE INDÍCIOS DE INFILTRAÇÃO (“PIPING”) NOS TALUDES EXTERNOS; INSPEÇÃO DAS ESTRUTURAS DE CONCRETO (FISSURAS, EXPOSIÇÃO DE FERRAGENS, ETC.); EXECUÇÃO DOS SERVIÇOS DE RECUPERAÇÃO DOS REVESTIMENTOS, BERMAS E ESTRUTURAS DE CONCRETO; AJUSTES NOS “INSERTS” E CONCRETAGEM DE SEGUNDO ESTÁGIO.</t>
  </si>
  <si>
    <t>- Estimativa Custo Obra Civil: =0,50 km CP-2 Sul:   Ref.: Projeto Platôs de Guadalupe "as built" atualizado para julho/2023 pelo IGP-DI</t>
  </si>
  <si>
    <t>CANAIS DE CONDUÇÃO E DE DISTRIBUIÇÃO</t>
  </si>
  <si>
    <t>SERVIÇOS PREVISTOS: INSPEÇÃO DAS SEÇÕES DO CANAL COM ÊNFASE AO ESTADO DE CONSERVAÇÃO DAS PLACAS DE CONCRETO E JUNTAS DE VEDAÇÃO BEM COMO À PRESENÇA DE VEGETAÇÃO NAS JUNTAS E BORDAS DO CANAL; REMOÇÃO DA VEGETAÇÃO, LIMPEZA E REPAROS NAS PLACAS DE CONCRETO, JUNTAS DE VEDAÇÃO E BORDAS DO CANAL, CASO IDENTIFICADA A NECESSIDADE; REMOÇÃO DA VEGETAÇÃO E LIMPEZA DAS FAIXAS ENTRE AS BORDAS CANAL E AS ESTRADAS E NO ENTORNO DAS ESTRUTURAS; REMOÇÃO DA VEGETAÇÃO E RECONFIGURAÇÃO DAS SEÇÕES DOS DRENOS AO LONGO DAS ESTRADAS; VERIFICAÇÃO DA INTEGRIDADE E FINALIZAÇÃO DA FIXAÇÃO DA GEOMEMBRANA NA BORDA DO CANAL E SUA PROTEÇÃO; VISTORIAS DA INTEGRIDADE DA VEDAÇÃO JUNTO ÀS OBRAS DE ARTE DO CANAL; LIMPEZA E IMPERMEABILIZAÇÃO DE FISSURAS NAS PLACAS DE CONCRETO NOS CANAIS, RECUPERAÇÃO OU SUBSTITUIÇÃO DE PLACAS, CORREÇÃO DOS PONTOS EXPOSIÇÃO DA MANTA DE IMPERMEABILIZAÇÃO; DESOBSTRUÇÃO DE BUEIROS DE EXTRAVASORES E SOB OS CANAIS, INCLUSIVE RECUPERAÇÃO DA PROTEÇÃO DAS BOCAS.</t>
  </si>
  <si>
    <t>Itens e quantitativos previstos no Boletim de Medição da Supervisora das Obras  - jun/2023</t>
  </si>
  <si>
    <t>SEINFRA/CE-C2102</t>
  </si>
  <si>
    <t>SICRO-4915639</t>
  </si>
  <si>
    <t>SEINFRA/CE-C0702</t>
  </si>
  <si>
    <t>SINAPI-104482</t>
  </si>
  <si>
    <t>25,56</t>
  </si>
  <si>
    <t>1,98</t>
  </si>
  <si>
    <t>SINAPI-100574</t>
  </si>
  <si>
    <t>1,23</t>
  </si>
  <si>
    <t>Canal Secundário CS-2 = 15,75km</t>
  </si>
  <si>
    <t>Canal terciário CT-2.4 = 1,36km</t>
  </si>
  <si>
    <t>Canal CP-2 = 1,55km (apresenta mureta de proteção)</t>
  </si>
  <si>
    <t>OBRAS ESPECIAIS DOS CANAIS (CONTROLES DE NÍVEL, SIFÕES DE SEGURANÇA E DESCARGAS DE FUNDO, SIFÕES INVERTIDOS, TOMADAS DE ÁGUA, CONTROLE DE NÍVEL MISTO, PONTILHÃO)</t>
  </si>
  <si>
    <t>SERVIÇOS PREVISTOS: ACABAMENTOS DAS ESTRUTURAS, ORGANIZAÇÃO E LIMPEZA FINAL DAS OBRAS; AJUSTES E EXECUÇÃO DE CONCRETO DE SEGUNDO ESTÁGIO PARA INSTALAÇÃO DOS EQUIPAMENTOS; CONCLUSÃO DE EVENTUAIS REATERROS E EXECUÇÃO DE ACABAMENTOS; ESGOTAMENTO DA ÁGUA ACUMULADA NAS GALERIAS; EXECUÇÃO DOS SERVIÇOS DE REPAROS E DE ACABAMENTOS ESTRUTURAIS; INSPEÇÃO DA INTEGRIDADE DAS TUBULAÇÕES DE FºFº INSTALADAS E DE EVENTUAIS EQUIPAMENTOS; INSPEÇÃO DOS ASPECTOS ESTRUTURAIS DAS OBRAS, INCLUSIVE INFILTRAÇÕES, FERRAGENS EXPOSTAS, INTEGRIDADE DO CONCRETO, JUNTAS DE VEDAÇÃO, ETC; INSPEÇÃO, LIMPEZA E EVENTUAL EXECUÇÃO DE JUNTAS DE VEDAÇÃO; REMOÇÃO DA VEGETAÇÃO E LIMPEZA NO ENTORNO DAS OBRAS; REPAROS ESTRUTURAIS E/OU PINTURAS EM EQUIPAMENTOS E PEÇAS ARMAZENADOS NO CANTEIRO DE OBRAS DEVIDO À OXIDAÇÃO; REVISÃO, REPAROS E ACABAMENTOS (PINTURAS) NOS EQUIPAMENTOS MECÂNICOS;</t>
  </si>
  <si>
    <t>Estimativa Custos Obras - Ref.: Boletim de Medição Supervisora da Obras - junho/2023 atualizado</t>
  </si>
  <si>
    <t>Controles de nível</t>
  </si>
  <si>
    <t>Sifões de segurança e descargas de fundo</t>
  </si>
  <si>
    <t>Tomada de água p/ canal CT-2.4</t>
  </si>
  <si>
    <t>Controle de nível misto</t>
  </si>
  <si>
    <t>Pontilhão</t>
  </si>
  <si>
    <t>REDES DE DISTRIBUIÇÃO DA ÁGUA PRESSURIZADA</t>
  </si>
  <si>
    <t>SERVIÇOS PREVISTOS: REMOÇÃO DA VEGETAÇÃO E LIMPEZA NOS LOCAIS DE DESCARGA DOS BARRILETES, JUNTO AOS TANQUES HIDROPNEUMÁTICOS E INÍCIO DA REDE PRESSURIZADA AINDA NÃO INTERCONECTADAS;  INSPEÇÃO DAS CONEXÕES EBS-TANQUES-REDE INCLUSIVE COM INVENTÁRIO DAS PENDÊNCIAS DE SERVIÇOS E/OU EQUIPAMENTOS; EXECUÇÃO DOS SERVIÇOS DE FINALIZAÇÃO DAS TUBULAÇÕES PRESSURIZADAS E SEUS EQUIPAMENTOS ACESSÓRIOS, INCLUSIVE COM EVENTUAL REMOÇÃO DE SEDIMENTOS E EXECUÇÃO DE TESTES DE ESTANQUEIDADE; ORGANIZAÇÃO E LIMPEZA GERAL.</t>
  </si>
  <si>
    <t>ESTRADAS</t>
  </si>
  <si>
    <t>SERVIÇOS PREVISTOS: REMOÇÃO E EXPURGO DA VEGETAÇÃO NAS FAIXAS DAS ESTRADAS E DRENOS DE PROTEÇÃO ATÉ, INCLUSIVE, UMA DISTÂNCIA DE 3-5 METROS DA BORDA EXTERIOR DOS DRENOS; INSPEÇÃO DETALHADA (CADASTRAL) DAS PISTAS, DE SEUS DRENOS DE PROTEÇÃO E INTERFACE COM OS CANAIS NO QUE SE REFERE À INTEGRIDADE DAS OBRAS, NECESSIDADE REMOÇÃO DE VEGETAÇÃO, DE RECOMPOSIÇÃO DE PISTAS E DE RECONFIGURAÇÃO DE DRENOS ABERTOS E VALETAS DE DRENAGEM; RECONFIGURAÇÃO DE TRECHOS DE PISTA EXECUTADOS E QUE ESTÃO DANIFICADOS E/OU TRECHOS DE PISTAS QUE NÃO FORAM FINALIZADOS; LIMPEZA E RECONFIGURAÇÃO DAS SEÇÕES DE DRENOS ABERTOS E VALETAS DE CONCRETO, INCLUINDO COMPLEMENTAÇÕES ONDE NECESSÁRIO; AO LONGO DOS CANAIS, ONDE IDENTIFICADO, PROMOVER O DIRECIONAMENTO ADEQUADO DOS FLUXOS DE DRENAGEM DAS BERMAS E PISTAS; IMPLANTAÇÃO DE ACESSOS, ALÇAS DE CONTORNO E DRENAGEM NOS ACESSOS E ENTORNOS DOS PONTILHÕES; ORGANIZAÇÃO E LIMPEZA DAS OBRAS.</t>
  </si>
  <si>
    <t>DRENAGEM</t>
  </si>
  <si>
    <t xml:space="preserve">SERVIÇOS PREVISTOS: INSPEÇÃO CADASTRAL DOS DRENOS DE PROTEÇÃO DE CANAIS E DE ESTRADAS, BUEIROS, QUEDAS E OUTRAS OBRAS DE ARTE, COM ÊNFASE À PRESENÇA DE VEGETAÇÃO, GRAU DE EXECUÇÃO E/OU DE OBSTRUÇÃO DAS SEÇÕES, NECESSIDADE DE OBRAS CONTRA A EROSÃO, ETC.; REMOÇÃO DA VEGETAÇÃO, DESOBSTRUÇÃO E LIMPEZA DAS SEÇÕES DE DRENOS IMPLANTADAS E EXPURGO DOS MATERIAIS; SERVIÇOS DE RECUPERAÇÃO E MANUTENÇÃO; REMOÇÃO DA VEGETAÇÃO, DESOBSTRUÇÃO E LIMPEZA DE BUEIROS, INCLUSIVE DAS TRANSIÇÕES A MONTANTE E A JUSANTE BEM COMO RECONFIGURAÇÃO DE PROTEÇÕES COM RIP-RAP; ORGANIZAÇÃO E LIMPEZA DAS OBRAS.
</t>
  </si>
  <si>
    <t>TOTAL SERVIÇOS DIVERSOS PARA RECUPERAÇÃO DE OBRAS E MANUTENÇÃO EQUIPAMENTOS</t>
  </si>
  <si>
    <t>RECUP.</t>
  </si>
  <si>
    <t>EQUIP. P/ EBPs, EBS, EPs; REDES E EQUIP. ELÉTRICOS</t>
  </si>
  <si>
    <t>BM+RECUP.</t>
  </si>
  <si>
    <t>SINAPI-94273</t>
  </si>
  <si>
    <t>Assentamento de guia (meio-fio) em trecho reto, confeccionada em concreto pré-fabricado, dimensões 100x15x13x30 cm (comprimento x base inferior x base superior x altura), para vias urbanas (uso viário).</t>
  </si>
  <si>
    <t>13 - REDES FIXAS E "ON FARM" (SH-1, SH-2, SH-3 e SH-4)</t>
  </si>
  <si>
    <t>R$/ha Guad * Área SH-1</t>
  </si>
  <si>
    <t>Flange Pvc Livre C/ Furos P/ Tubos Pbs Soldável Ø 110Mm (c/ Anéis De Vedação E Parafusos)</t>
  </si>
  <si>
    <t xml:space="preserve">ORÇAM. GLOBAL CORRIG. ATÉ JUL/2.023 (R$) </t>
  </si>
  <si>
    <t>OBRAS RECUPERAÇÃO</t>
  </si>
  <si>
    <t>BDI</t>
  </si>
  <si>
    <t>ESTIMATIVA VALOR ATUAL DAS INFRAESTRUTURAS DO PERÍMETRO</t>
  </si>
  <si>
    <t>Dragagem da embocadura do canal (50% do Custo de dragagem previsto na obra, atualizado para julho/2023)</t>
  </si>
  <si>
    <t>TOTAL GERAL (BM)</t>
  </si>
  <si>
    <t>ORÇAM. RECUPER./ FINALIZAÇÃO (R$)</t>
  </si>
  <si>
    <t>Mobilização de Equipamento e pessoal</t>
  </si>
  <si>
    <t>já inclui obras de recuperação</t>
  </si>
  <si>
    <t>RAMT/PI (2022)</t>
  </si>
  <si>
    <t>M.Alves - Orçamento - item 8.2</t>
  </si>
  <si>
    <t>Q=4,02 m³/s; L=131m; R$ 519475,32,00</t>
  </si>
  <si>
    <t>Montagem mecân/eletr.(20%)</t>
  </si>
  <si>
    <t>PDG Orç Recup - 2023</t>
  </si>
  <si>
    <t>item 1.5.5 do Orçam Recuper PLG - tomada gravit.</t>
  </si>
  <si>
    <t>Montagem mecân/eletr (20% de fornec.)</t>
  </si>
  <si>
    <t>=RESUMO!G155+RESUMO!G156+RESUMO!G157+RESUMO!G162+RESUMO!G163+RESUMO!G227</t>
  </si>
  <si>
    <t>=RESUMO!G154+RESUMO!G158+RESUMO!G159+RESUMO!G160+RESUMO!G161+RESUMO!G164+RESUMO!G165+RESUMO!G226</t>
  </si>
  <si>
    <t>=RESUMO!G152+RESUMO!G225</t>
  </si>
  <si>
    <t>=RESUMO!G30+RESUMO!G43+RESUMO!G60+RESUMO!G62+RESUMO!G111</t>
  </si>
  <si>
    <t>=RESUMO!G118+RESUMO!G125</t>
  </si>
  <si>
    <t>=RESUMO!G31+RESUMO!G42+RESUMO!G61+RESUMO!G112+RESUMO!G124</t>
  </si>
  <si>
    <t>=RESUMO!G185</t>
  </si>
  <si>
    <t>=RESUMO!G183</t>
  </si>
  <si>
    <t>=RESUMO!G189</t>
  </si>
  <si>
    <t>=RESUMO!G187</t>
  </si>
  <si>
    <t>=RESUMO!G191</t>
  </si>
  <si>
    <t>=RESUMO!G32+RESUMO!G39</t>
  </si>
  <si>
    <t>=RESUMO!R36+RESUMO!R37+RESUMO!R38+RESUMO!R52+RESUMO!R53+RESUMO!R68+RESUMO!R69+RESUMO!R70+RESUMO!R75+RESUMO!R106+RESUMO!R195+RESUMO!R196</t>
  </si>
  <si>
    <t>=+RESUMO!R86+RESUMO!R96+RESUMO!R102+RESUMO!R202+RESUMO!R203</t>
  </si>
  <si>
    <t>=RESUMO!R89+RESUMO!R91</t>
  </si>
  <si>
    <t>=RESUMO!R99+RESUMO!R208+RESUMO!R209</t>
  </si>
  <si>
    <t>=RESUMO!R141+RESUMO!R130+RESUMO!R144</t>
  </si>
  <si>
    <t>=RESUMO!R136</t>
  </si>
  <si>
    <t>=RESUMO!R29+RESUMO!R58+RESUMO!R110</t>
  </si>
  <si>
    <t>=RESUMO!R35+RESUMO!R49+RESUMO!R54+RESUMO!R74+RESUMO!R66</t>
  </si>
  <si>
    <t>=RESUMO!R194+RESUMO!R105</t>
  </si>
  <si>
    <t>=RESUMO!R79+RESUMO!R85+RESUMO!R95+RESUMO!R101+RESUMO!R103+RESUMO!R200+RESUMO!R201+RESUMO!R204</t>
  </si>
  <si>
    <t>=RESUMO!R88+RESUMO!R90</t>
  </si>
  <si>
    <t>=RESUMO!R98+RESUMO!R207+RESUMO!R210</t>
  </si>
  <si>
    <t>=RESUMO!R140+RESUMO!R129+RESUMO!R142</t>
  </si>
  <si>
    <t>=RESUMO!R23</t>
  </si>
  <si>
    <t>=RESUMO!R167</t>
  </si>
  <si>
    <t>=RESUMO!R172+RESUMO!R92</t>
  </si>
  <si>
    <t>=RESUMO!R148</t>
  </si>
  <si>
    <t>=RESUMO!R149</t>
  </si>
  <si>
    <t>=RESUMO!R178</t>
  </si>
  <si>
    <t>=RESUMO!R176</t>
  </si>
  <si>
    <t>=RESUMO!R213</t>
  </si>
  <si>
    <t>=RESUMO!R181</t>
  </si>
  <si>
    <t>=RESUMO!R214</t>
  </si>
  <si>
    <t>=RESUMO!R215</t>
  </si>
  <si>
    <t>=RESUMO!R217</t>
  </si>
  <si>
    <t>=RESUMO!R107+RESUMO!R170+RESUMO!R174+RESUMO!R197</t>
  </si>
  <si>
    <t>Tomadas e Elevatórias (Parcelas isoladas)</t>
  </si>
  <si>
    <t>Tomada de parcela Detalhe 1 (tipo 1)</t>
  </si>
  <si>
    <t>Tomada de parcela Detalhe 2 (tipo 2)</t>
  </si>
  <si>
    <t>Tomada de parcela Detalhe 2 (tipo 3)</t>
  </si>
  <si>
    <t>ADUTORA PARA ALIMENTAÇÃO DAS PARCELAS ISOLADAS - ÁREA INCRA</t>
  </si>
  <si>
    <t xml:space="preserve">CAIXAS PARA PARCELA -  TIPO II </t>
  </si>
  <si>
    <t>EQUIPAMENTOS "ON FARM" DAS PARCELAS ISOLADAS</t>
  </si>
  <si>
    <t>Tomadas de água (para canais e parcelas)</t>
  </si>
  <si>
    <t>CANAL PRINCIPAL E TOMADAS  PARA PARCELAS</t>
  </si>
  <si>
    <r>
      <rPr>
        <b/>
        <sz val="8"/>
        <rFont val="Arial"/>
        <family val="2"/>
      </rPr>
      <t xml:space="preserve">SERVIÇOS PREVISTOS: </t>
    </r>
    <r>
      <rPr>
        <sz val="8"/>
        <rFont val="Arial"/>
        <family val="2"/>
      </rPr>
      <t>INSPEÇÃO DAS SEÇÕES DO CANAL COM ÊNFASE AO ESTADO DE CONSERVAÇÃO DAS PLACAS DE CONCRETO E JUNTAS DE VEDAÇÃO BEM COMO À PRESENÇA DE VEGETAÇÃO NAS JUNTAS E BORDAS DO CANAL; REMOÇÃO DA VEGETAÇÃO, LIMPEZA E REPAROS NAS PLACAS DE CONCRETO, JUNTAS DE VEDAÇÃO E BORDAS DO CANAL. ACABAMENTOS DAS ESTRUTURAS.</t>
    </r>
  </si>
  <si>
    <t>Canal Principal e suas obras</t>
  </si>
  <si>
    <t>10.3</t>
  </si>
  <si>
    <t>FINALIZAÇÃO IMPLANTAÇÃO DAS OBRAS S/ ON FARM</t>
  </si>
  <si>
    <t>RECUPERAÇÃO DE OBRAS IMPLANTADAS</t>
  </si>
  <si>
    <t xml:space="preserve">DESMATAMENTO DAS ÁREAS AGRÍCOLAS (SAU) </t>
  </si>
  <si>
    <t>MEIO AMBIENTE (ESTUDOS, LICENÇAS E EXECUÇÃO PROGRAMAS AMBIENTAIS)</t>
  </si>
  <si>
    <t>CONSULTORIA (PROJETO E SUPERVISÃO DE OBRAS) - 2,5% OBRAS</t>
  </si>
  <si>
    <t>OBRAS E EQUIPAMENTOS "ON FARM": PARCELAS DOS SETORES E INDIVIDUAIS</t>
  </si>
  <si>
    <t>Valor da terra &gt;&gt;&gt;</t>
  </si>
  <si>
    <t>GLOBAL CORRIG. ATÉ JUL/2.023</t>
  </si>
  <si>
    <t>RECUPER./ FINALIZAÇÃO</t>
  </si>
  <si>
    <t>OBRAS EXECUTADAS ATÉ ANO 2012</t>
  </si>
  <si>
    <t>1ª etapa</t>
  </si>
  <si>
    <t>Embrapa</t>
  </si>
  <si>
    <t>SAU (ha)</t>
  </si>
  <si>
    <t>Q (L/s)</t>
  </si>
  <si>
    <t>Vazão para 1ªEtapa=2,01 m³/s (24,9% de Q total)</t>
  </si>
  <si>
    <t>Vazão para 2ªEtapa (CDRU)=5,69 m³/s (70,4% de Q total)</t>
  </si>
  <si>
    <t>Vazão para Embrapa=0,38 m³/s (4,7% de Q total)</t>
  </si>
  <si>
    <t>Vazão na EBP-I e EBP-II = 8,07 m³/s</t>
  </si>
  <si>
    <t>1ª Etapa + Embrapa &gt;&gt;</t>
  </si>
  <si>
    <t>Investimentos (R$)</t>
  </si>
  <si>
    <t>Até ano 2012 (só para CDRU)</t>
  </si>
  <si>
    <t>Valores para conclusão</t>
  </si>
  <si>
    <t>FORNEC.(O BDI do item 5.4 foi reduzido de 40% para 37,2%).</t>
  </si>
  <si>
    <t>FORNEC. (O BDI do item 6.2 foi reduzido de 40% para 37,2%).</t>
  </si>
  <si>
    <t xml:space="preserve">Participação "L" canais: </t>
  </si>
  <si>
    <t>Área irrig total = 8428ha</t>
  </si>
  <si>
    <t>Área do CS-2+CT2.4 = 6034 ha</t>
  </si>
  <si>
    <t>FORNEC. (o BDI do item 8.2.2 foi reduzido de 40% para 37,2%)</t>
  </si>
  <si>
    <t>FORNEC. (o BDI do item 8.3.4 foi reduzido de 40% para 37,2%)</t>
  </si>
  <si>
    <t>FORNEC. (o BDI do item 8.3.2 foi reduzido de 40% para 37,2%)</t>
  </si>
  <si>
    <t>FORNEC. (o BDI do item 8.5.2 foi reduzido de 40% para 37,2%)</t>
  </si>
  <si>
    <t>FORNEC. (o BDI do item 8.6.2 foi reduzido de 40% para 37,2%)</t>
  </si>
  <si>
    <t>FORNEC. (O BDI do item 8.7.2 foi reduzido de 40% para 37,2%)</t>
  </si>
  <si>
    <t>FORNEC. (o BDI do item 9.2 foi reduzido de 40% para 37,2%)</t>
  </si>
  <si>
    <t>FORNEC. (o BDI do item 10.2 foi reduzido de 40% para 37,2%)</t>
  </si>
  <si>
    <t>ADUTORA PARA ALIMENT. DAS PARCELAS ISOLADAS - ÁREA INCRA</t>
  </si>
  <si>
    <t>FORNEC. (o BDI do item 11.3 foi reduzido de 40% para 37,2%)</t>
  </si>
  <si>
    <t>FORNEC. (o BDI do item 13.2 foi reduzido de 40% para 37,2%)</t>
  </si>
  <si>
    <t>"L" total canais CS-2+CT2.4 = (15768+1236)=17004m</t>
  </si>
  <si>
    <t>CS2 = 15768/17004</t>
  </si>
  <si>
    <t>CT2.4=1236/17004</t>
  </si>
  <si>
    <t>&lt;&lt;&lt;&lt; investimentos exclusivos para a 2ª Etapa (CDRU)</t>
  </si>
  <si>
    <t>CONSIDERAR A SOMA DOS VALORES PARA A OUTORGA</t>
  </si>
  <si>
    <t>OBRAS / MONTAGEM</t>
  </si>
  <si>
    <t>FORNECIMENTO DE EQUIPAMENTOS</t>
  </si>
  <si>
    <t>Equipamento</t>
  </si>
  <si>
    <t>Vida Útil (Anos)</t>
  </si>
  <si>
    <t>Custo de Aquisição (R$)</t>
  </si>
  <si>
    <t>Anos de Reposição</t>
  </si>
  <si>
    <t>Reinvestimento (R$)</t>
  </si>
  <si>
    <t>RAMAIS MÓVEIS E EMISSORES</t>
  </si>
  <si>
    <t>12 a 14</t>
  </si>
  <si>
    <t>17 a 19</t>
  </si>
  <si>
    <t>22 a 24</t>
  </si>
  <si>
    <t>27 a 29</t>
  </si>
  <si>
    <t>32 a 34</t>
  </si>
  <si>
    <t>REDE DE DISTRIBUIÇÃO E CAVALETES</t>
  </si>
  <si>
    <t>15 a 17</t>
  </si>
  <si>
    <t>30 a 32</t>
  </si>
  <si>
    <t>EQUIPAMENTOS EBP’S, EBS, EBA’S - REDES E EQUIPAMENTOS ELÉTRICOS</t>
  </si>
  <si>
    <t>20 a 22</t>
  </si>
  <si>
    <t>EQUIPAMENTOS ADUTORAS, CANAIS, SIFÕES INVERTIDOS E REDES DE TUBOS DOS SETORES</t>
  </si>
  <si>
    <t>3 - EBP 1 - FASE 2</t>
  </si>
  <si>
    <t>ESTAÇÕES DE BOMBEAMENTO (EBSs)</t>
  </si>
  <si>
    <r>
      <rPr>
        <b/>
        <sz val="8"/>
        <rFont val="Arial"/>
        <family val="2"/>
      </rPr>
      <t>SERVIÇOS PREVISTOS:</t>
    </r>
    <r>
      <rPr>
        <sz val="8"/>
        <rFont val="Arial"/>
        <family val="2"/>
      </rPr>
      <t>REMOÇÃO DA VEGETAÇÃO E RESÍDUOS DE OBRAS; INSPEÇÃO DAS OBRAS DAS CASAS DE BOMBAS, SUBESTAÇÕES E TANQUES HIDROPNEUMÁTICOS, INCLUSIVE OS ASPECTOS ESTRUTURAIS (FISSURAS, EXPOSIÇÃO DE FERRAGEM, ETC.), INTEGRIDADE DAS VEDAÇÕES, ETC.; MAPEAMENTO DAS PATOLOGIAS COM ELABORAÇÃO DE RELAÇÃO DE REPAROS E FINALIZAÇÕES NECESSÁRIAS; EXECUÇÃO DOS REPAROS NOS PRÉDIOS, REPOSIÇÃO DE MATERIAIS DANIFICADOS E/OU FURTADOS E FINALIZAÇÃO DAS OBRAS, INCLUSIVE INSTALAÇÃO DAS ABERTURAS, ILUMINAÇÃO, PINTURAS, ETC.</t>
    </r>
  </si>
  <si>
    <t>Estações de Bombeamento (EBSs)</t>
  </si>
  <si>
    <t>Tomadas e Elevatórias (Parcelas independentes)</t>
  </si>
  <si>
    <t>Rede viária</t>
  </si>
  <si>
    <t>Estradas principais</t>
  </si>
  <si>
    <t>Estradas secundárias</t>
  </si>
  <si>
    <t>global</t>
  </si>
  <si>
    <t>Proj Basico TLP - jun/1995</t>
  </si>
  <si>
    <t>R$ (jun/95)</t>
  </si>
  <si>
    <t>Drenos</t>
  </si>
  <si>
    <t>Bueiros</t>
  </si>
  <si>
    <t>Rede de drenagem</t>
  </si>
  <si>
    <t>Pontilhões</t>
  </si>
  <si>
    <t>Pontilhão 1 (km 0,06)</t>
  </si>
  <si>
    <t>Pontilhão 2 (km 5,865)</t>
  </si>
  <si>
    <t>Pontilhão 3 (km 8,32)</t>
  </si>
  <si>
    <t>Pontilhão 4 (km 11,326)</t>
  </si>
  <si>
    <t>Fornecimento</t>
  </si>
  <si>
    <t>Controles de nível de jusante</t>
  </si>
  <si>
    <t>Controles de nivel misto</t>
  </si>
  <si>
    <t>(1 CN de jusante)</t>
  </si>
  <si>
    <t>(3 CN mistos)</t>
  </si>
  <si>
    <t>(6 obras)</t>
  </si>
  <si>
    <t xml:space="preserve">EQUIPAMENTOS </t>
  </si>
  <si>
    <t xml:space="preserve">8.1 </t>
  </si>
  <si>
    <t>Canais secundários e terciários</t>
  </si>
  <si>
    <t>Canal CT-2.4</t>
  </si>
  <si>
    <t>Canal CS-2 (Ano 1)</t>
  </si>
  <si>
    <t>Canal CS-2 (Ano 2)</t>
  </si>
  <si>
    <t>Canal CS-2 (Ano 3)</t>
  </si>
  <si>
    <t>Fornecimento de peças, ventosas, válvulas</t>
  </si>
  <si>
    <t xml:space="preserve">FORNEC. MOTOBOMBAS, PONTE ROLANTE E TANQUES </t>
  </si>
  <si>
    <t>CONTRATADO</t>
  </si>
  <si>
    <t>OBSERVAÇÃO</t>
  </si>
  <si>
    <t xml:space="preserve">PREÇO COM BDI </t>
  </si>
  <si>
    <t xml:space="preserve">PREÇO SEM BDI </t>
  </si>
  <si>
    <t>VALORES A PI (S/BDI)</t>
  </si>
  <si>
    <t>FONTE DOS DADOS</t>
  </si>
  <si>
    <t>VALOR SEM BDI</t>
  </si>
  <si>
    <r>
      <rPr>
        <b/>
        <u/>
        <sz val="10"/>
        <rFont val="Arial"/>
        <family val="2"/>
      </rPr>
      <t>EBP-1</t>
    </r>
    <r>
      <rPr>
        <sz val="10"/>
        <rFont val="Arial"/>
        <family val="2"/>
      </rPr>
      <t>: Q tot = 6,05 m³/s;EBP-1 (Fase 1): Q=2,60 m³/s; EBP-1 (Fase 2): Q=3,45 m³/s.</t>
    </r>
    <r>
      <rPr>
        <b/>
        <sz val="10"/>
        <color rgb="FFFF0000"/>
        <rFont val="Arial"/>
        <family val="2"/>
      </rPr>
      <t xml:space="preserve"> EBP-2 Q= 3,45 m³/s</t>
    </r>
  </si>
  <si>
    <r>
      <t xml:space="preserve">EBP 1 </t>
    </r>
    <r>
      <rPr>
        <b/>
        <sz val="10"/>
        <color rgb="FFFF0000"/>
        <rFont val="Arial"/>
        <family val="2"/>
      </rPr>
      <t>(Fase 1)</t>
    </r>
  </si>
  <si>
    <t>S</t>
  </si>
  <si>
    <t>Q=6,05 m³/s</t>
  </si>
  <si>
    <t>Proporc. EBP-2</t>
  </si>
  <si>
    <t>Montagem mecânica e elétrica</t>
  </si>
  <si>
    <t>Q=2,6 m³/s</t>
  </si>
  <si>
    <t>F</t>
  </si>
  <si>
    <t>Conjuntos motobombas</t>
  </si>
  <si>
    <t>Equip de manuseio, grades e stop-log</t>
  </si>
  <si>
    <t>Materiais e equipamentos elétricos</t>
  </si>
  <si>
    <t>Ligações bomba-barrilete</t>
  </si>
  <si>
    <r>
      <t xml:space="preserve">ADUTORA PRINCIPAL 1 </t>
    </r>
    <r>
      <rPr>
        <b/>
        <sz val="10"/>
        <color rgb="FFFF0000"/>
        <rFont val="Arial"/>
        <family val="2"/>
      </rPr>
      <t>(EBP 1 - Fase 2)</t>
    </r>
  </si>
  <si>
    <t>2.3.1</t>
  </si>
  <si>
    <t>2.3.2</t>
  </si>
  <si>
    <t>One-ways e chaminé de equilíbrio</t>
  </si>
  <si>
    <r>
      <t xml:space="preserve">EBP 1 </t>
    </r>
    <r>
      <rPr>
        <b/>
        <sz val="10"/>
        <color rgb="FFFF0000"/>
        <rFont val="Arial"/>
        <family val="2"/>
      </rPr>
      <t>(Fase 2)</t>
    </r>
  </si>
  <si>
    <t>BM-78 (jul/2023)</t>
  </si>
  <si>
    <t>F44:F56</t>
  </si>
  <si>
    <t>Montagem mecânica</t>
  </si>
  <si>
    <t>F39:F43</t>
  </si>
  <si>
    <t>Montagem elétrica</t>
  </si>
  <si>
    <t>F59:F60</t>
  </si>
  <si>
    <t xml:space="preserve">Acessórios </t>
  </si>
  <si>
    <t>F61:F65</t>
  </si>
  <si>
    <t>F67:F81</t>
  </si>
  <si>
    <t>Equipamentos elétricos</t>
  </si>
  <si>
    <t>PAQ 3 (2010)</t>
  </si>
  <si>
    <t>item 4.1 - pág. 1/38</t>
  </si>
  <si>
    <t>F108:F117</t>
  </si>
  <si>
    <t>Chaminé de equilíbrio</t>
  </si>
  <si>
    <t>BM-78 (jul/2023) - ajustado</t>
  </si>
  <si>
    <t>F132:F152</t>
  </si>
  <si>
    <t>EBP 2</t>
  </si>
  <si>
    <t>OBRAS CIVIS (Prédio EBP e Ligação  Bombas-Barrilete)</t>
  </si>
  <si>
    <t>PAQ 2 (2009)</t>
  </si>
  <si>
    <t>item 5.1 - pág.2/52</t>
  </si>
  <si>
    <t>MONTAGEM MECÂNICA E ELÉTRICA</t>
  </si>
  <si>
    <t>F218:F227; F228:F438</t>
  </si>
  <si>
    <t>FORNECIMENTO MECÂNICO E ELÉTRICO EBP</t>
  </si>
  <si>
    <t>F441:F446</t>
  </si>
  <si>
    <t>F448:F456</t>
  </si>
  <si>
    <t>F458:F701</t>
  </si>
  <si>
    <t>F703:F765</t>
  </si>
  <si>
    <t>ADUTORA PRINCIPAL 2 (EBP-2)</t>
  </si>
  <si>
    <t>Obras Civis e Montagem</t>
  </si>
  <si>
    <t>item 6.1 - pág. 10/38</t>
  </si>
  <si>
    <t>Fornecimentos da adutora</t>
  </si>
  <si>
    <t>F783:F784</t>
  </si>
  <si>
    <t>F799:F819</t>
  </si>
  <si>
    <t>Serviços</t>
  </si>
  <si>
    <t>MINISTÉRIO DA INTEGRAÇÃO E DO DESENVOLVIMENTO REGIONAL - MIDR</t>
  </si>
  <si>
    <t>DEPARTAMENTO NACIONAL DE OBRAS CONTRA AS SECAS - DNOCS</t>
  </si>
  <si>
    <t>PROJETO DE IRRIGAÇÃO TABULEIROS LITORÂNEOS DE PARNAÍBA-PI - 2ª  ETAPA, DO ESTADO DO PIAUÍ.</t>
  </si>
  <si>
    <t>CUSTO (R$)</t>
  </si>
  <si>
    <t xml:space="preserve"> S/BDI</t>
  </si>
  <si>
    <t>TOTAL 2023</t>
  </si>
  <si>
    <t>RESUMO</t>
  </si>
  <si>
    <t>2</t>
  </si>
  <si>
    <t>EBP 1 (Fase 1)</t>
  </si>
  <si>
    <t>UD</t>
  </si>
  <si>
    <t xml:space="preserve">FORNECIMENTO DE EQUIPAMENTOS </t>
  </si>
  <si>
    <t>ADUTORA PRINCIPAL 1 (EBP 1 - Fase 2)</t>
  </si>
  <si>
    <t>EBP 1 (Fase 2)</t>
  </si>
  <si>
    <t>FORNECIMENTOS DA ADUTORA</t>
  </si>
  <si>
    <t>6.3</t>
  </si>
  <si>
    <t>CHAMINÉ DE EQUILÍBRIO</t>
  </si>
  <si>
    <t>TOTAL EBPs</t>
  </si>
  <si>
    <t>Obras civis e Montagem</t>
  </si>
  <si>
    <t>2.4.1</t>
  </si>
  <si>
    <t>2.4.2</t>
  </si>
  <si>
    <t xml:space="preserve">Fornecimento </t>
  </si>
  <si>
    <t>3.3</t>
  </si>
  <si>
    <t>3.4</t>
  </si>
  <si>
    <t>MONTAGEM MECÂNICA</t>
  </si>
  <si>
    <t>CONJUNTOS MOTOBOMBAS</t>
  </si>
  <si>
    <t>ACESSÓRIOS</t>
  </si>
  <si>
    <t>LIGAÇÃO BOMBAS - BARRILETE</t>
  </si>
  <si>
    <t>EQUIPAMENTOS ELÉTRICOS</t>
  </si>
  <si>
    <t>3.2.3</t>
  </si>
  <si>
    <t>3.2.4</t>
  </si>
  <si>
    <t>Obras Civis</t>
  </si>
  <si>
    <t>Montagem Mecânica</t>
  </si>
  <si>
    <t>Montagem Elétrica</t>
  </si>
  <si>
    <t>3.4.1</t>
  </si>
  <si>
    <t>3.4.2</t>
  </si>
  <si>
    <t>3.4.3</t>
  </si>
  <si>
    <t>3.4.4</t>
  </si>
  <si>
    <t>ADUTORA</t>
  </si>
  <si>
    <t xml:space="preserve">FORNECIMENTO </t>
  </si>
  <si>
    <t>EQUIP DE MANUSEIO, GRADES E STOP-LOG</t>
  </si>
  <si>
    <t>MATERIAIS E EQUIPAMENTOS ELÉTRICOS</t>
  </si>
  <si>
    <t>LIGAÇÕES BOMBA-BARRILETE</t>
  </si>
  <si>
    <t>Ligações Bomba-Barrilete</t>
  </si>
  <si>
    <t>JULHO/2023</t>
  </si>
  <si>
    <t>UNITÁRIO S/ BDI</t>
  </si>
  <si>
    <t xml:space="preserve">ORÇAM. GLOBAL (R$ CORRIG.) </t>
  </si>
  <si>
    <t>8.8.1.1</t>
  </si>
  <si>
    <t>8.8.1.2</t>
  </si>
  <si>
    <t>8.8.1.3</t>
  </si>
  <si>
    <t>8.8.2.1</t>
  </si>
  <si>
    <t>8.8.2.2</t>
  </si>
  <si>
    <t>8.9.1.4</t>
  </si>
  <si>
    <t>8.9.1.5</t>
  </si>
  <si>
    <t>8.9.1.6</t>
  </si>
  <si>
    <t>8.9.2.3</t>
  </si>
  <si>
    <t>8.9.2.4</t>
  </si>
  <si>
    <t>8.9.2.5</t>
  </si>
  <si>
    <t>8.9.2.6</t>
  </si>
  <si>
    <t>8.9.2.7</t>
  </si>
  <si>
    <t>Fontes:</t>
  </si>
  <si>
    <t xml:space="preserve">   - Planilha Contratual Ajustada PAQ3 - 2010 - Contratada: Consórcio Engesoft / KL Engenharia _Contrato: PGE 44/2002 </t>
  </si>
  <si>
    <t xml:space="preserve">   - BM nº 37 maio 2011 - Contratada: Consórcio Construtora Norberto Odebrecht S.A. - Construtora Queiroz Galvão - Contrato: PGE 44/2002</t>
  </si>
  <si>
    <t xml:space="preserve">   - Boletim de Medição BM78_18TAC _2018 - Contratada: Mendes Júnior Trading e Engenharia SA  - Contrato: DNOCS-25/2013</t>
  </si>
  <si>
    <t>Obs.: Os preços unitários são os constantes do contrato com o DNOCS, retirados os BDIs, que eram de 40% para Serviços e 37,5% para Fornecimento</t>
  </si>
  <si>
    <t>CANAIS</t>
  </si>
  <si>
    <t>CANAIS SECUNDÁRIO E TERCIÁRIOS</t>
  </si>
  <si>
    <t>SIFÕES DE SEGURANÇA E DESCARGAS DE FUNDO</t>
  </si>
  <si>
    <t>SIFÕES INVERTIDOS</t>
  </si>
  <si>
    <t>GALERIA CONCRETO - SIFÃO ESTACA 503 A 515 - OBRAS CIVIS</t>
  </si>
  <si>
    <t>PONTILHÃO</t>
  </si>
  <si>
    <t>CONTROLE DE NÍVEL DE JUSANTE</t>
  </si>
  <si>
    <t>CONTROLE DE NÍVEL MISTO</t>
  </si>
  <si>
    <t>TOTAL CANAIS SECUNDÁRIOS E TERCIÁRIOS</t>
  </si>
  <si>
    <t>FORNECIMENTO MECÂNICO</t>
  </si>
  <si>
    <t>SUBESTAÇÃO EBS - ENTRADA DE ENERGIA (vide item 19)</t>
  </si>
  <si>
    <t>TOTAL  ESTAÇÕES DE BOMBEAMENTO (EBSs)</t>
  </si>
  <si>
    <t>SEINFRA/CE - 0UT/2023</t>
  </si>
  <si>
    <t>0UT/2023</t>
  </si>
  <si>
    <t>PI</t>
  </si>
  <si>
    <t>I3208</t>
  </si>
  <si>
    <t>TUBO FoFo DÚCTIL JGS JE K-7 P/ ÁGUA DN  150</t>
  </si>
  <si>
    <t>M</t>
  </si>
  <si>
    <t>I3209</t>
  </si>
  <si>
    <t>TUBO FoFo DÚCTIL JGS JE K-7 P/ ÁGUA DN  200</t>
  </si>
  <si>
    <t>I3210</t>
  </si>
  <si>
    <t>TUBO FoFo DÚCTIL JGS JE K-7 P/ ÁGUA DN  250</t>
  </si>
  <si>
    <t>I3211</t>
  </si>
  <si>
    <t>TUBO FoFo DÚCTIL JGS JE K-7 P/ ÁGUA DN  300</t>
  </si>
  <si>
    <t>I3212</t>
  </si>
  <si>
    <t>TUBO FoFo DÚCTIL JGS JE K-7 P/ ÁGUA DN  350</t>
  </si>
  <si>
    <t>I3213</t>
  </si>
  <si>
    <t>TUBO FoFo DÚCTIL JGS JE K-7 P/ ÁGUA DN  400</t>
  </si>
  <si>
    <t>I3214</t>
  </si>
  <si>
    <t>TUBO FoFo DÚCTIL JGS JE K-7 P/ ÁGUA DN  450</t>
  </si>
  <si>
    <t>I3215</t>
  </si>
  <si>
    <t>TUBO FoFo DÚCTIL JGS JE K-7 P/ ÁGUA DN  500</t>
  </si>
  <si>
    <t>I3216</t>
  </si>
  <si>
    <t>TUBO FoFo DÚCTIL JGS JE K-7 P/ ÁGUA DN  600</t>
  </si>
  <si>
    <t>I3217</t>
  </si>
  <si>
    <t>TUBO FoFo DÚCTIL JGS JE K-7 P/ ÁGUA DN  700</t>
  </si>
  <si>
    <t>I3218</t>
  </si>
  <si>
    <t>TUBO FoFo DÚCTIL JGS JE K-7 P/ ÁGUA DN  800</t>
  </si>
  <si>
    <t>I3219</t>
  </si>
  <si>
    <t>TUBO FoFo DÚCTIL JGS JE K-7 P/ ÁGUA DN  900</t>
  </si>
  <si>
    <t>I3220</t>
  </si>
  <si>
    <t>TUBO FoFo DÚCTIL JGS JE K-7 P/ ÁGUA DN 1000</t>
  </si>
  <si>
    <t>Observações:</t>
  </si>
  <si>
    <t>- Os preços unitários são os constantes do contrato com o DNOCS, retirados os BDIs, que eram de 40% para Serviços e 37,5% para Fornecimento, exceto os tubos de ferro fundido ponta e bolsa.</t>
  </si>
  <si>
    <t>10</t>
  </si>
  <si>
    <t>TOMADA DE LOTE DETALHE 1 (TIPO 1)</t>
  </si>
  <si>
    <t>TOMADA DE LOTE DETALHE 2 (TIPO 2)</t>
  </si>
  <si>
    <t>TOMADA DE LOTE DETALHE 3 (TIPO 3)</t>
  </si>
  <si>
    <t>REDE PRESSURIZADA</t>
  </si>
  <si>
    <t>CAIXAS DE VENTOSA E DESCARGA</t>
  </si>
  <si>
    <t>TOTAL REDE PRESSURIZADA</t>
  </si>
  <si>
    <t xml:space="preserve">OBRAS CIVIS E MONTAGEM </t>
  </si>
  <si>
    <t xml:space="preserve">Redes móveis </t>
  </si>
  <si>
    <t xml:space="preserve">Filtros (em cavalete) </t>
  </si>
  <si>
    <t xml:space="preserve">Hidrantes PVC PBS CL-15 (marrom) para diâmetros até 85mm ou 3" </t>
  </si>
  <si>
    <t>Equipamentos da microaspersão</t>
  </si>
  <si>
    <t>Equipamentos do gotejamento</t>
  </si>
  <si>
    <t>13</t>
  </si>
  <si>
    <t>REDES MÓVEIS</t>
  </si>
  <si>
    <t>IRRIGAÇÃO LOCALIZADA</t>
  </si>
  <si>
    <t>GOTEJAMENTO</t>
  </si>
  <si>
    <t>TRANSIÇÃO DISTRIBUIÇÃO LINHA MESTRA, D=100MM</t>
  </si>
  <si>
    <t>FILTROS (EM CAVALETE)</t>
  </si>
  <si>
    <t>FERTIRRIGAÇÃO TIPO VENTURI (INTERLIGADO NO CAVALETE DOS FILTROS)</t>
  </si>
  <si>
    <t>HIDRANTES PVC PBS CL-15 (MARROM) PARA DIÂMETROS ATÉ 85MM OU 3"</t>
  </si>
  <si>
    <t>EQUIPAMENTOS DA MICROASPERSÃO</t>
  </si>
  <si>
    <t>EQUIPAMENTOS DO GOTEJAMENTO</t>
  </si>
  <si>
    <t>COMPLEMENTOS</t>
  </si>
  <si>
    <t>PEÇAS ESPECIAIS</t>
  </si>
  <si>
    <t>TOTAL REDES FIXAS E "ON FARM" (SH-1, SH-2, SH-3 e SH-4)</t>
  </si>
  <si>
    <t>14.1.1</t>
  </si>
  <si>
    <t>14.1.2</t>
  </si>
  <si>
    <t>14.1.3</t>
  </si>
  <si>
    <t>14.1.4</t>
  </si>
  <si>
    <t>14.1.5</t>
  </si>
  <si>
    <t>Preparo, Lançamento E Adensamento Concreto Ciclópico</t>
  </si>
  <si>
    <t>14.1.6</t>
  </si>
  <si>
    <t>14.1.7</t>
  </si>
  <si>
    <t>14.1.8</t>
  </si>
  <si>
    <t>14.1.9</t>
  </si>
  <si>
    <t>14.1.10</t>
  </si>
  <si>
    <t>Meio Fio De Concreto Pre-Fabricado</t>
  </si>
  <si>
    <t>14.1.11</t>
  </si>
  <si>
    <t>14.2.1</t>
  </si>
  <si>
    <t>14.2.2</t>
  </si>
  <si>
    <t>14.2.3</t>
  </si>
  <si>
    <t>14.2.4</t>
  </si>
  <si>
    <t>14.2.5</t>
  </si>
  <si>
    <t>14.2.6</t>
  </si>
  <si>
    <t>Armadura Para Concreto Estrutural  Aço Ca-50 B</t>
  </si>
  <si>
    <t>14.2.7</t>
  </si>
  <si>
    <t>14.2.8</t>
  </si>
  <si>
    <t>14.2.9</t>
  </si>
  <si>
    <t>Tubulação Ponta E Bolsa De Concreto Armado, Ø 1.500  Mm</t>
  </si>
  <si>
    <t>14.2.10</t>
  </si>
  <si>
    <t>Tubulação Ponta E Bolsa De Concreto Armado, Ø 1.000  Mm</t>
  </si>
  <si>
    <t>14.2.11</t>
  </si>
  <si>
    <t>14.2.12</t>
  </si>
  <si>
    <t>Preparo, Lançamento E Adensamento De Concreto  Ciclópico</t>
  </si>
  <si>
    <t>14.2.13</t>
  </si>
  <si>
    <t>14.2.14</t>
  </si>
  <si>
    <t>Momento Extraordinário De Transporte Para Material De 2ª Categoria</t>
  </si>
  <si>
    <t>14.2.15</t>
  </si>
  <si>
    <t>14.2.16</t>
  </si>
  <si>
    <t>14</t>
  </si>
  <si>
    <t>TOTAL DRENAGEM</t>
  </si>
  <si>
    <t>Mobilização De Equipamento</t>
  </si>
  <si>
    <t>Mobilização De Pessoal</t>
  </si>
  <si>
    <t>Instalação Do Canteiro</t>
  </si>
  <si>
    <t>Manutenção E Apoio Logístico</t>
  </si>
  <si>
    <t>Desmobilização De Equipamento</t>
  </si>
  <si>
    <t>Desmobilização De Pessoal</t>
  </si>
  <si>
    <t>1.6</t>
  </si>
  <si>
    <t>VALOR DO CONTRATO REMANESCENTE (Pi):</t>
  </si>
  <si>
    <t>1º ADITIVO (Pi):</t>
  </si>
  <si>
    <t>11º TERMO ADITIVO ACRÉSCIMOS</t>
  </si>
  <si>
    <t>11º TERMO ADITIVO DECRÉSCIMOS</t>
  </si>
  <si>
    <t>12º TERMO ADITIVO ACRÉSCIMOS</t>
  </si>
  <si>
    <t>12º TERMO ADITIVO DECRÉSCIMOS</t>
  </si>
  <si>
    <t>16º TERMO ADITIVO ACRÉSCIMOS</t>
  </si>
  <si>
    <t>16º TERMO ADITIVO DECRÉSCIMOS</t>
  </si>
  <si>
    <t>18º TERMO ADITIVO ACRÉSCIMOS</t>
  </si>
  <si>
    <t>18º TERMO ADITIVO DECRÉSCIMOS</t>
  </si>
  <si>
    <t>TOTAL DO CONTRATO</t>
  </si>
  <si>
    <t>MEDIDO ACUMULADO ATE 73ª MED</t>
  </si>
  <si>
    <t>MEDIDO ACUMULADO 74ª e 75ª MED</t>
  </si>
  <si>
    <t>PRODUÇÃO T.A</t>
  </si>
  <si>
    <t>MOVIMENTO FINANCEIRO T.A</t>
  </si>
  <si>
    <t>SALDO T.A</t>
  </si>
  <si>
    <t>ORÇAM. COMPLEM. (R$ CORRIG)</t>
  </si>
  <si>
    <t xml:space="preserve">MEDIDO ACUMULADO </t>
  </si>
  <si>
    <t>VALOR (A)</t>
  </si>
  <si>
    <t>VALOR (B)</t>
  </si>
  <si>
    <t>ACUMULADO ANTERIOR ATÉ 75ª MED. (D)</t>
  </si>
  <si>
    <t>ACUMULADO ANTERIOR APÓS 18TAC. (E)</t>
  </si>
  <si>
    <t>NO PERÍODO
 (F)</t>
  </si>
  <si>
    <t>ACUMULADO TOTAL (D+E+F)</t>
  </si>
  <si>
    <t>NO PERÍODO (I)</t>
  </si>
  <si>
    <t>ACUMULADO TOTAL (G+H+I)</t>
  </si>
  <si>
    <t>VALOR</t>
  </si>
  <si>
    <t>S/BDI</t>
  </si>
  <si>
    <t>C/BDI</t>
  </si>
  <si>
    <t>mês</t>
  </si>
  <si>
    <t>12.1.1</t>
  </si>
  <si>
    <t>Lotes empresariais e Setores</t>
  </si>
  <si>
    <t>12.1.1.1</t>
  </si>
  <si>
    <t>UNITÁRIO C/BDI</t>
  </si>
  <si>
    <t>C/BDI ORIGINAL</t>
  </si>
  <si>
    <t>15.1</t>
  </si>
  <si>
    <t>15.2</t>
  </si>
  <si>
    <t>15.3</t>
  </si>
  <si>
    <t>15.4</t>
  </si>
  <si>
    <t>15.5</t>
  </si>
  <si>
    <t>15.6</t>
  </si>
  <si>
    <t>15.7</t>
  </si>
  <si>
    <t>15.8</t>
  </si>
  <si>
    <t>15.9</t>
  </si>
  <si>
    <t>Revestimento Das Pistas Com Laterita.</t>
  </si>
  <si>
    <t xml:space="preserve"> m³</t>
  </si>
  <si>
    <t>15</t>
  </si>
  <si>
    <t>TOTAL SISTEMA VIÁRIO</t>
  </si>
  <si>
    <t>UNITÁRIO S/BDI</t>
  </si>
  <si>
    <t>CAIXAS DE LOTE TIPO I</t>
  </si>
  <si>
    <t>11.1.1</t>
  </si>
  <si>
    <t>11.1.2</t>
  </si>
  <si>
    <t>11.1.3</t>
  </si>
  <si>
    <t>11.1.4</t>
  </si>
  <si>
    <t>Aterro Compactado</t>
  </si>
  <si>
    <t>11.1.5</t>
  </si>
  <si>
    <t>Laterita Compactada</t>
  </si>
  <si>
    <t>11.1.6</t>
  </si>
  <si>
    <t>11.1.7</t>
  </si>
  <si>
    <t>11.1.8</t>
  </si>
  <si>
    <t>11.1.9</t>
  </si>
  <si>
    <t>11.1.10</t>
  </si>
  <si>
    <t>Concreto Pré-Moldado</t>
  </si>
  <si>
    <t xml:space="preserve">CAIXAS DE LOTE TIPO II </t>
  </si>
  <si>
    <t>11.2.1</t>
  </si>
  <si>
    <t>11.2.1.1</t>
  </si>
  <si>
    <t>11.2.1.2</t>
  </si>
  <si>
    <t>11.2.1.3</t>
  </si>
  <si>
    <t>Preparo, Lançamento E Adensamento De Concreto   (Ca-7 J)</t>
  </si>
  <si>
    <t>11.2.1.4</t>
  </si>
  <si>
    <t>Preparo, Lançamento E Adensamento De Concreto   (Ca-4 B)</t>
  </si>
  <si>
    <t>11.2.1.5</t>
  </si>
  <si>
    <t>11.2.1.6</t>
  </si>
  <si>
    <t>11.2.1.7</t>
  </si>
  <si>
    <t>11.2.1.8</t>
  </si>
  <si>
    <t>Fabricação E Instalação De Escada Tipo Marinheiro</t>
  </si>
  <si>
    <t>11.2.1.9</t>
  </si>
  <si>
    <t>11.3.1</t>
  </si>
  <si>
    <t>Curva 90º Com Bolsa Ø300 Mm, Fºfº</t>
  </si>
  <si>
    <t>11.3.2</t>
  </si>
  <si>
    <t>Toco Com Ponta E Flange C/Aba De Vedação Ø300 Mm, Fºfº, L=480 Mm</t>
  </si>
  <si>
    <t>11.3.3</t>
  </si>
  <si>
    <t>Curva 90º Com Flange Ø300 Mm, Fºfº</t>
  </si>
  <si>
    <t>11.3.4</t>
  </si>
  <si>
    <t>Redução Com Flange Ø300 X 200 Mm, Fºfº</t>
  </si>
  <si>
    <t>11.3.5</t>
  </si>
  <si>
    <t>Registro Chato C/Flange Ø200 Mm</t>
  </si>
  <si>
    <t>11.3.6</t>
  </si>
  <si>
    <t>Toco C/Ponta E Flange Ø200 Mm, Fºfº, L = 240 Mm</t>
  </si>
  <si>
    <t>11.3.7</t>
  </si>
  <si>
    <t>Junta Dresser Ø200 Mm</t>
  </si>
  <si>
    <t>11.3.8</t>
  </si>
  <si>
    <t>Válvula Controladora De Vazão Tipo Bermad 770-8"</t>
  </si>
  <si>
    <t>11.3.9</t>
  </si>
  <si>
    <t>Toco C/Flange E Aba De Vedação Ø200 Mm, Fºfº, L = 430 Mm</t>
  </si>
  <si>
    <t>11</t>
  </si>
  <si>
    <t>CAIXAS DE LOTE TIPO II</t>
  </si>
  <si>
    <t>26</t>
  </si>
  <si>
    <t>26.1</t>
  </si>
  <si>
    <t>26.2</t>
  </si>
  <si>
    <t>26.3</t>
  </si>
  <si>
    <t>SINAPI-98566</t>
  </si>
  <si>
    <t>Recuperação De Placas Do Canal Em Argamasa 1:3 Com Areia</t>
  </si>
  <si>
    <t>66,08</t>
  </si>
  <si>
    <t>SEINFRA/CE-C1049</t>
  </si>
  <si>
    <t>8.4 - PONTILHÕES</t>
  </si>
  <si>
    <t>8.6- TOMADA DE ÁGUA P/ PARCELAS INDEPENDENTES</t>
  </si>
  <si>
    <t>TOMADA DE ÁGUA P/ PARCELAS INDEPENDENTES</t>
  </si>
  <si>
    <t>ADUTORA PARA ALIMENTAÇÃO DE PARCELAS INDEPENDENTES - ÁREA INCRA - ANTIGO CANAL CT-2.2</t>
  </si>
  <si>
    <t>LINHA PRINCIPAL</t>
  </si>
  <si>
    <t>EQUIPAMENTOS "ON FARM" DAS PARCELAS INDEPENDENTES</t>
  </si>
  <si>
    <t>TOMADAS E ELEVATÓRIAS P/ PARCELAS INDEPEND. (26 UNID.)</t>
  </si>
  <si>
    <t>Equip de Manuseio, Grades e Stop-Log</t>
  </si>
  <si>
    <t>Materiais e Equipamentos Elétricos</t>
  </si>
  <si>
    <t>TRANSIÇÃO RESERVATÓRIO PULMÃO - CANAL PRINCIPAL</t>
  </si>
  <si>
    <t>TRANSIÇÃO RESERVATÓRIO PULMÃO / CANAL PRINCIPAL</t>
  </si>
  <si>
    <t>&lt;&lt;&lt;&lt; VERIFICAR</t>
  </si>
  <si>
    <t>TOMADA E ELEVATÓRIA PARA PARCELAS INDEPENDENTES (26 unid.)</t>
  </si>
  <si>
    <t>&lt;&lt;&lt; VERIFICAR</t>
  </si>
  <si>
    <t>Equip. "on farm" das parcelas independentes</t>
  </si>
  <si>
    <t>Tomada de água para parcelas independentes</t>
  </si>
  <si>
    <t>ha SAU</t>
  </si>
  <si>
    <t>Área</t>
  </si>
  <si>
    <t>ha SAU Setores</t>
  </si>
  <si>
    <t>(rede pressurissada; atualizado)</t>
  </si>
  <si>
    <t>Jul/2024</t>
  </si>
  <si>
    <t>R$/m</t>
  </si>
  <si>
    <t>Tubos PVC DN 150mm para linhas mestras das parcelas (fornec e montag), metros</t>
  </si>
  <si>
    <t>Fornec e montagem tubos PVC DN 150mm para linhas mestras</t>
  </si>
  <si>
    <t>3 - EBP 1 (FASE 2)</t>
  </si>
  <si>
    <t>Ligação Bombas-Barrilete, Acessórios e Equip. elétricos</t>
  </si>
  <si>
    <t>Adutora e chaminé de equilíbrio</t>
  </si>
  <si>
    <t>8.6- TOMADA DE ÁGUA P/ PARCELAS INDEPEND.</t>
  </si>
  <si>
    <t>TRANSIÇÃO RESERVATÓRIO-PULMÃO / CANAL PRINCIPAL</t>
  </si>
  <si>
    <t>Desmobilização de equipamentos</t>
  </si>
  <si>
    <t>Desmobilização de pessoal</t>
  </si>
  <si>
    <t>LINHA DE TRANSMISSÃO DE  34,5kV</t>
  </si>
  <si>
    <t>2ª etapa (CDRU+Embrapa)</t>
  </si>
  <si>
    <t>Valores em verde: invest. compartilh, após descont a parte da 1ª Etapa</t>
  </si>
  <si>
    <t>Valores em roxo: investimentos exclusivos para a 2ª Etapa (CDRU+Embrapa)</t>
  </si>
  <si>
    <t>&lt;&lt;&lt; revisar valores e link</t>
  </si>
  <si>
    <t>&lt;&lt;&lt; valor suficiente????</t>
  </si>
  <si>
    <t>&lt;&lt;&lt;&lt; investimentos compartilhados; valores após descontada a parte da 1ª Etapa e Embrapa</t>
  </si>
  <si>
    <t>Valores após retirada dos invest. relativos à 1ª Etapa+Embrapa</t>
  </si>
  <si>
    <t>&lt;&lt;&lt;  já inclui obras de recuperação</t>
  </si>
  <si>
    <t>LINHA DE TRANSMISSÃO DE 34,5kV</t>
  </si>
  <si>
    <t>Desmobilização equipamentos</t>
  </si>
  <si>
    <t>Desmobilização pessoal</t>
  </si>
  <si>
    <t>Mobilização equipamentos</t>
  </si>
  <si>
    <t>Mobilização pessoal</t>
  </si>
  <si>
    <t>Instalação de canteiro</t>
  </si>
  <si>
    <t>Manutenção e apoio logístico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</si>
</sst>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R$ -416]#,##0.00_);\([$R$ -416]#,##0.00\)"/>
    <numFmt numFmtId="167" formatCode="_(* #,##0.000_);_(* \(#,##0.000\);_(* &quot;-&quot;??_);_(@_)"/>
    <numFmt numFmtId="168" formatCode="_(* #,##0.0000_);_(* \(#,##0.0000\);_(* &quot;-&quot;??_);_(@_)"/>
    <numFmt numFmtId="169" formatCode="_-* #,##0.00000_-;\-* #,##0.00000_-;_-* &quot;-&quot;???_-;_-@_-"/>
    <numFmt numFmtId="170" formatCode="#,##0.00000"/>
    <numFmt numFmtId="171" formatCode="&quot;R$&quot;\ #,##0.00"/>
    <numFmt numFmtId="172" formatCode="#,##0.0000"/>
    <numFmt numFmtId="173" formatCode="0.0000"/>
    <numFmt numFmtId="174" formatCode="_-* #,##0.0000_-;\-* #,##0.0000_-;_-* &quot;-&quot;????_-;_-@_-"/>
    <numFmt numFmtId="175" formatCode="_-* #,##0.0000_-;\-* #,##0.0000_-;_-* &quot;-&quot;???_-;_-@_-"/>
    <numFmt numFmtId="176" formatCode="_(* #,##0.00_);_(* \(#,##0.00\);_(* \-??_);_(@_)"/>
    <numFmt numFmtId="177" formatCode="0.0%"/>
    <numFmt numFmtId="178" formatCode="_(&quot;R$&quot;* #,##0.00_);_(&quot;R$&quot;* \(#,##0.00\);_(&quot;R$&quot;* &quot;-&quot;??_);_(@_)"/>
    <numFmt numFmtId="179" formatCode="&quot; &quot;[$R$]&quot; &quot;#,##0.00&quot; &quot;;&quot;-&quot;[$R$]&quot; &quot;#,##0.00&quot; &quot;;&quot; &quot;[$R$]&quot; -&quot;00&quot; &quot;;&quot; &quot;@&quot; &quot;"/>
    <numFmt numFmtId="180" formatCode="&quot; &quot;#,##0.00&quot; &quot;;&quot;-&quot;#,##0.00&quot; &quot;;&quot; -&quot;00&quot; &quot;;&quot; &quot;@&quot; &quot;"/>
    <numFmt numFmtId="181" formatCode="_(* #,##0_);_(* \(#,##0\);_(* &quot;-&quot;??_);_(@_)"/>
    <numFmt numFmtId="182" formatCode="_-* #,##0.00000_-;\-* #,##0.00000_-;_-* &quot;-&quot;??_-;_-@_-"/>
    <numFmt numFmtId="183" formatCode="#,##0.0"/>
    <numFmt numFmtId="184" formatCode="_-* #,##0.000_-;\-* #,##0.000_-;_-* &quot;-&quot;??_-;_-@_-"/>
    <numFmt numFmtId="185" formatCode="#,##0.000"/>
    <numFmt numFmtId="186" formatCode="_-* #,##0.0_-;\-* #,##0.0_-;_-* &quot;-&quot;??_-;_-@_-"/>
    <numFmt numFmtId="187" formatCode="#,##0.00;[Red]#,##0.00"/>
  </numFmts>
  <fonts count="7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3"/>
      <color theme="1"/>
      <name val="Calibri"/>
      <family val="2"/>
      <scheme val="minor"/>
    </font>
    <font>
      <sz val="10"/>
      <name val="Arial"/>
      <family val="2"/>
    </font>
    <font>
      <b/>
      <sz val="10"/>
      <name val="Arial"/>
      <family val="2"/>
    </font>
    <font>
      <b/>
      <vertAlign val="subscript"/>
      <sz val="10"/>
      <name val="Arial"/>
      <family val="2"/>
    </font>
    <font>
      <vertAlign val="subscript"/>
      <sz val="10"/>
      <name val="Arial"/>
      <family val="2"/>
    </font>
    <font>
      <u/>
      <sz val="11"/>
      <color theme="10"/>
      <name val="Calibri"/>
      <family val="2"/>
    </font>
    <font>
      <sz val="10"/>
      <name val="Calibri"/>
      <family val="2"/>
      <scheme val="minor"/>
    </font>
    <font>
      <sz val="10"/>
      <name val="Arial"/>
      <family val="2"/>
    </font>
    <font>
      <b/>
      <sz val="9"/>
      <name val="Arial"/>
      <family val="2"/>
    </font>
    <font>
      <b/>
      <sz val="12"/>
      <name val="Calibri"/>
      <family val="2"/>
      <scheme val="minor"/>
    </font>
    <font>
      <sz val="12"/>
      <name val="Calibri"/>
      <family val="2"/>
      <scheme val="minor"/>
    </font>
    <font>
      <b/>
      <sz val="12"/>
      <color theme="1"/>
      <name val="Calibri"/>
      <family val="2"/>
      <scheme val="minor"/>
    </font>
    <font>
      <sz val="12"/>
      <color theme="1"/>
      <name val="Calibri"/>
      <family val="2"/>
      <scheme val="minor"/>
    </font>
    <font>
      <b/>
      <sz val="8"/>
      <name val="Arial"/>
      <family val="2"/>
    </font>
    <font>
      <sz val="9"/>
      <color theme="1"/>
      <name val="Calibri"/>
      <family val="2"/>
      <scheme val="minor"/>
    </font>
    <font>
      <b/>
      <sz val="11"/>
      <color rgb="FFFF0000"/>
      <name val="Calibri"/>
      <family val="2"/>
      <scheme val="minor"/>
    </font>
    <font>
      <sz val="11"/>
      <name val="Calibri"/>
      <family val="2"/>
      <scheme val="minor"/>
    </font>
    <font>
      <sz val="10"/>
      <color indexed="8"/>
      <name val="Arial"/>
      <family val="2"/>
    </font>
    <font>
      <b/>
      <sz val="11"/>
      <name val="Arial"/>
      <family val="2"/>
    </font>
    <font>
      <u/>
      <sz val="10"/>
      <color theme="10"/>
      <name val="Arial"/>
      <family val="2"/>
    </font>
    <font>
      <sz val="11"/>
      <color indexed="8"/>
      <name val="Calibri"/>
      <family val="2"/>
    </font>
    <font>
      <b/>
      <sz val="18"/>
      <name val="Calibri"/>
      <family val="2"/>
      <scheme val="minor"/>
    </font>
    <font>
      <sz val="11"/>
      <color rgb="FF000000"/>
      <name val="Arial1"/>
    </font>
    <font>
      <b/>
      <sz val="12"/>
      <color rgb="FFFF0000"/>
      <name val="Calibri"/>
      <family val="2"/>
      <scheme val="minor"/>
    </font>
    <font>
      <sz val="14"/>
      <name val="Calibri"/>
      <family val="2"/>
      <scheme val="minor"/>
    </font>
    <font>
      <b/>
      <sz val="14"/>
      <name val="Calibri"/>
      <family val="2"/>
      <scheme val="minor"/>
    </font>
    <font>
      <sz val="10"/>
      <name val="Arial"/>
      <family val="2"/>
      <charset val="1"/>
    </font>
    <font>
      <sz val="11"/>
      <color rgb="FFFF0000"/>
      <name val="Calibri"/>
      <family val="2"/>
      <scheme val="minor"/>
    </font>
    <font>
      <sz val="10"/>
      <color rgb="FFFF0000"/>
      <name val="Arial"/>
      <family val="2"/>
    </font>
    <font>
      <b/>
      <u/>
      <sz val="11"/>
      <color theme="1"/>
      <name val="Calibri"/>
      <family val="2"/>
      <scheme val="minor"/>
    </font>
    <font>
      <sz val="9"/>
      <color rgb="FFFF0000"/>
      <name val="Calibri"/>
      <family val="2"/>
      <scheme val="minor"/>
    </font>
    <font>
      <sz val="12"/>
      <color rgb="FFFF0000"/>
      <name val="Calibri"/>
      <family val="2"/>
      <scheme val="minor"/>
    </font>
    <font>
      <sz val="9"/>
      <name val="Arial"/>
      <family val="2"/>
    </font>
    <font>
      <sz val="9"/>
      <color theme="1"/>
      <name val="Arial"/>
      <family val="2"/>
    </font>
    <font>
      <sz val="8"/>
      <color theme="1"/>
      <name val="Calibri"/>
      <family val="2"/>
      <scheme val="minor"/>
    </font>
    <font>
      <sz val="8"/>
      <color rgb="FFFF0000"/>
      <name val="Calibri"/>
      <family val="2"/>
      <scheme val="minor"/>
    </font>
    <font>
      <b/>
      <i/>
      <sz val="12"/>
      <name val="Arial"/>
      <family val="2"/>
    </font>
    <font>
      <b/>
      <i/>
      <sz val="8"/>
      <color indexed="10"/>
      <name val="Arial"/>
      <family val="2"/>
    </font>
    <font>
      <sz val="8"/>
      <color theme="1"/>
      <name val="Arial"/>
      <family val="2"/>
    </font>
    <font>
      <sz val="8"/>
      <name val="Arial"/>
      <family val="2"/>
    </font>
    <font>
      <sz val="9"/>
      <color rgb="FFFF0000"/>
      <name val="Arial"/>
      <family val="2"/>
    </font>
    <font>
      <sz val="8"/>
      <color rgb="FFFF0000"/>
      <name val="Arial"/>
      <family val="2"/>
    </font>
    <font>
      <sz val="8"/>
      <name val="Calibri"/>
      <family val="2"/>
      <scheme val="minor"/>
    </font>
    <font>
      <b/>
      <sz val="12"/>
      <color theme="1"/>
      <name val="Arial"/>
      <family val="2"/>
    </font>
    <font>
      <b/>
      <sz val="14"/>
      <color theme="1"/>
      <name val="Arial"/>
      <family val="2"/>
    </font>
    <font>
      <b/>
      <sz val="11"/>
      <color indexed="8"/>
      <name val="Arial"/>
      <family val="2"/>
    </font>
    <font>
      <sz val="12"/>
      <color rgb="FF000000"/>
      <name val="Arial"/>
      <family val="2"/>
    </font>
    <font>
      <b/>
      <i/>
      <sz val="10"/>
      <name val="Arial"/>
      <family val="2"/>
    </font>
    <font>
      <b/>
      <sz val="10"/>
      <name val="Calibri"/>
      <family val="2"/>
      <scheme val="minor"/>
    </font>
    <font>
      <sz val="10"/>
      <color rgb="FFFF0000"/>
      <name val="Calibri"/>
      <family val="2"/>
      <scheme val="minor"/>
    </font>
    <font>
      <sz val="10"/>
      <color theme="1"/>
      <name val="Arial"/>
      <family val="2"/>
    </font>
    <font>
      <b/>
      <sz val="10"/>
      <color rgb="FFFF0000"/>
      <name val="Calibri"/>
      <family val="2"/>
      <scheme val="minor"/>
    </font>
    <font>
      <b/>
      <sz val="11"/>
      <color theme="1"/>
      <name val="Arial"/>
      <family val="2"/>
    </font>
    <font>
      <b/>
      <sz val="9"/>
      <color rgb="FFFFFFFF"/>
      <name val="Arial"/>
      <family val="2"/>
    </font>
    <font>
      <sz val="9"/>
      <color rgb="FF000000"/>
      <name val="Arial"/>
      <family val="2"/>
    </font>
    <font>
      <b/>
      <sz val="9"/>
      <color rgb="FF000000"/>
      <name val="Arial"/>
      <family val="2"/>
    </font>
    <font>
      <b/>
      <sz val="9"/>
      <color theme="1"/>
      <name val="Arial"/>
      <family val="2"/>
    </font>
    <font>
      <sz val="16"/>
      <color indexed="8"/>
      <name val="Calibri"/>
      <family val="2"/>
    </font>
    <font>
      <b/>
      <u/>
      <sz val="10"/>
      <name val="Arial"/>
      <family val="2"/>
    </font>
    <font>
      <b/>
      <sz val="10"/>
      <color rgb="FFFF0000"/>
      <name val="Arial"/>
      <family val="2"/>
    </font>
    <font>
      <sz val="11"/>
      <color indexed="8"/>
      <name val="Arial"/>
      <family val="2"/>
    </font>
    <font>
      <b/>
      <sz val="12"/>
      <color indexed="8"/>
      <name val="Arial"/>
      <family val="2"/>
    </font>
    <font>
      <sz val="8"/>
      <color indexed="8"/>
      <name val="Calibri"/>
      <family val="2"/>
    </font>
    <font>
      <sz val="11"/>
      <name val="Calibri"/>
      <family val="2"/>
    </font>
    <font>
      <sz val="9"/>
      <color indexed="8"/>
      <name val="Arial"/>
      <family val="2"/>
    </font>
    <font>
      <b/>
      <sz val="8"/>
      <color theme="1"/>
      <name val="Arial"/>
      <family val="2"/>
    </font>
    <font>
      <b/>
      <u/>
      <sz val="10"/>
      <color theme="1"/>
      <name val="Arial"/>
      <family val="2"/>
    </font>
    <font>
      <b/>
      <sz val="10"/>
      <color theme="1"/>
      <name val="Arial"/>
      <family val="2"/>
    </font>
  </fonts>
  <fills count="3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66FF33"/>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22"/>
        <bgColor indexed="26"/>
      </patternFill>
    </fill>
    <fill>
      <patternFill patternType="solid">
        <fgColor theme="8" tint="0.79998168889431442"/>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4F81BD"/>
        <bgColor indexed="64"/>
      </patternFill>
    </fill>
    <fill>
      <patternFill patternType="solid">
        <fgColor rgb="FFFFFFFF"/>
        <bgColor indexed="64"/>
      </patternFill>
    </fill>
    <fill>
      <patternFill patternType="solid">
        <fgColor rgb="FFB1C7E1"/>
        <bgColor indexed="64"/>
      </patternFill>
    </fill>
    <fill>
      <patternFill patternType="solid">
        <fgColor theme="9" tint="-0.249977111117893"/>
        <bgColor indexed="64"/>
      </patternFill>
    </fill>
    <fill>
      <patternFill patternType="solid">
        <fgColor theme="9"/>
        <bgColor indexed="64"/>
      </patternFill>
    </fill>
    <fill>
      <patternFill patternType="solid">
        <fgColor indexed="65"/>
        <bgColor indexed="64"/>
      </patternFill>
    </fill>
    <fill>
      <patternFill patternType="gray0625">
        <fgColor indexed="9"/>
      </patternFill>
    </fill>
    <fill>
      <patternFill patternType="gray0625">
        <fgColor indexed="9"/>
        <bgColor theme="0"/>
      </patternFill>
    </fill>
    <fill>
      <patternFill patternType="solid">
        <fgColor indexed="22"/>
        <bgColor indexed="64"/>
      </patternFill>
    </fill>
    <fill>
      <patternFill patternType="solid">
        <fgColor theme="0" tint="-0.14996795556505021"/>
        <bgColor indexed="64"/>
      </patternFill>
    </fill>
    <fill>
      <patternFill patternType="solid">
        <fgColor rgb="FFF65460"/>
        <bgColor indexed="64"/>
      </patternFill>
    </fill>
    <fill>
      <patternFill patternType="solid">
        <fgColor rgb="FFFFFF99"/>
        <bgColor indexed="64"/>
      </patternFill>
    </fill>
  </fills>
  <borders count="156">
    <border>
      <left/>
      <right/>
      <top/>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right/>
      <top/>
      <bottom style="medium">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8"/>
      </right>
      <top style="thin">
        <color indexed="64"/>
      </top>
      <bottom style="hair">
        <color indexed="8"/>
      </bottom>
      <diagonal/>
    </border>
    <border>
      <left style="thin">
        <color indexed="8"/>
      </left>
      <right style="thin">
        <color indexed="8"/>
      </right>
      <top style="thin">
        <color indexed="64"/>
      </top>
      <bottom style="hair">
        <color indexed="8"/>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8"/>
      </right>
      <top style="hair">
        <color indexed="8"/>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8"/>
      </right>
      <top style="hair">
        <color indexed="8"/>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8"/>
      </right>
      <top style="hair">
        <color indexed="8"/>
      </top>
      <bottom style="hair">
        <color indexed="8"/>
      </bottom>
      <diagonal/>
    </border>
    <border>
      <left style="thin">
        <color indexed="64"/>
      </left>
      <right style="thin">
        <color indexed="8"/>
      </right>
      <top style="hair">
        <color indexed="8"/>
      </top>
      <bottom style="hair">
        <color indexed="64"/>
      </bottom>
      <diagonal/>
    </border>
    <border>
      <left style="thin">
        <color indexed="64"/>
      </left>
      <right style="thin">
        <color indexed="8"/>
      </right>
      <top style="hair">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style="hair">
        <color indexed="8"/>
      </top>
      <bottom style="hair">
        <color indexed="8"/>
      </bottom>
      <diagonal/>
    </border>
    <border>
      <left style="thin">
        <color indexed="64"/>
      </left>
      <right/>
      <top style="hair">
        <color indexed="64"/>
      </top>
      <bottom style="hair">
        <color indexed="8"/>
      </bottom>
      <diagonal/>
    </border>
    <border>
      <left style="thin">
        <color indexed="64"/>
      </left>
      <right style="thin">
        <color indexed="64"/>
      </right>
      <top style="hair">
        <color indexed="64"/>
      </top>
      <bottom style="hair">
        <color indexed="8"/>
      </bottom>
      <diagonal/>
    </border>
    <border>
      <left style="thin">
        <color indexed="64"/>
      </left>
      <right style="thin">
        <color indexed="8"/>
      </right>
      <top/>
      <bottom style="thin">
        <color indexed="64"/>
      </bottom>
      <diagonal/>
    </border>
    <border>
      <left style="thin">
        <color indexed="8"/>
      </left>
      <right style="thin">
        <color indexed="8"/>
      </right>
      <top style="hair">
        <color indexed="8"/>
      </top>
      <bottom style="thin">
        <color indexed="64"/>
      </bottom>
      <diagonal/>
    </border>
    <border>
      <left style="thin">
        <color indexed="64"/>
      </left>
      <right/>
      <top style="hair">
        <color indexed="8"/>
      </top>
      <bottom style="thin">
        <color indexed="64"/>
      </bottom>
      <diagonal/>
    </border>
    <border>
      <left style="thin">
        <color indexed="64"/>
      </left>
      <right style="thin">
        <color indexed="64"/>
      </right>
      <top style="hair">
        <color indexed="8"/>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hair">
        <color indexed="8"/>
      </bottom>
      <diagonal/>
    </border>
    <border>
      <left style="thin">
        <color indexed="8"/>
      </left>
      <right style="thin">
        <color indexed="8"/>
      </right>
      <top style="hair">
        <color indexed="8"/>
      </top>
      <bottom style="hair">
        <color indexed="64"/>
      </bottom>
      <diagonal/>
    </border>
    <border>
      <left style="thin">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64"/>
      </left>
      <right style="thin">
        <color indexed="8"/>
      </right>
      <top style="hair">
        <color indexed="64"/>
      </top>
      <bottom style="hair">
        <color indexed="8"/>
      </bottom>
      <diagonal/>
    </border>
    <border>
      <left style="thin">
        <color indexed="8"/>
      </left>
      <right style="thin">
        <color indexed="8"/>
      </right>
      <top style="hair">
        <color indexed="64"/>
      </top>
      <bottom/>
      <diagonal/>
    </border>
    <border>
      <left style="thin">
        <color indexed="64"/>
      </left>
      <right style="thin">
        <color indexed="8"/>
      </right>
      <top style="hair">
        <color indexed="64"/>
      </top>
      <bottom/>
      <diagonal/>
    </border>
    <border>
      <left style="thin">
        <color auto="1"/>
      </left>
      <right style="thin">
        <color auto="1"/>
      </right>
      <top style="hair">
        <color auto="1"/>
      </top>
      <bottom style="thin">
        <color auto="1"/>
      </bottom>
      <diagonal/>
    </border>
    <border>
      <left style="thin">
        <color indexed="64"/>
      </left>
      <right/>
      <top/>
      <bottom style="hair">
        <color indexed="64"/>
      </bottom>
      <diagonal/>
    </border>
    <border>
      <left style="thin">
        <color indexed="64"/>
      </left>
      <right style="thin">
        <color indexed="8"/>
      </right>
      <top style="hair">
        <color indexed="8"/>
      </top>
      <bottom style="hair">
        <color indexed="8"/>
      </bottom>
      <diagonal/>
    </border>
    <border>
      <left style="thin">
        <color indexed="64"/>
      </left>
      <right style="thin">
        <color indexed="8"/>
      </right>
      <top style="hair">
        <color indexed="8"/>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style="hair">
        <color indexed="64"/>
      </top>
      <bottom/>
      <diagonal/>
    </border>
    <border>
      <left style="thin">
        <color indexed="8"/>
      </left>
      <right style="thin">
        <color indexed="8"/>
      </right>
      <top style="hair">
        <color indexed="64"/>
      </top>
      <bottom/>
      <diagonal/>
    </border>
    <border>
      <left style="thin">
        <color indexed="64"/>
      </left>
      <right/>
      <top style="hair">
        <color indexed="64"/>
      </top>
      <bottom/>
      <diagonal/>
    </border>
    <border>
      <left style="double">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thin">
        <color indexed="64"/>
      </left>
      <right/>
      <top style="medium">
        <color indexed="64"/>
      </top>
      <bottom style="medium">
        <color indexed="64"/>
      </bottom>
      <diagonal/>
    </border>
    <border>
      <left/>
      <right/>
      <top/>
      <bottom style="hair">
        <color indexed="64"/>
      </bottom>
      <diagonal/>
    </border>
    <border>
      <left/>
      <right/>
      <top/>
      <bottom style="medium">
        <color rgb="FF4F81BD"/>
      </bottom>
      <diagonal/>
    </border>
    <border>
      <left style="medium">
        <color rgb="FF4F81BD"/>
      </left>
      <right style="medium">
        <color rgb="FFFFFFFF"/>
      </right>
      <top style="medium">
        <color rgb="FF4F81BD"/>
      </top>
      <bottom style="medium">
        <color rgb="FF4F81BD"/>
      </bottom>
      <diagonal/>
    </border>
    <border>
      <left/>
      <right style="medium">
        <color rgb="FFFFFFFF"/>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style="medium">
        <color rgb="FF4F81BD"/>
      </left>
      <right/>
      <top/>
      <bottom/>
      <diagonal/>
    </border>
    <border>
      <left/>
      <right style="medium">
        <color rgb="FF4F81BD"/>
      </right>
      <top/>
      <bottom/>
      <diagonal/>
    </border>
    <border>
      <left style="medium">
        <color rgb="FF4F81BD"/>
      </left>
      <right/>
      <top/>
      <bottom style="medium">
        <color rgb="FF4F81BD"/>
      </bottom>
      <diagonal/>
    </border>
    <border>
      <left/>
      <right style="medium">
        <color rgb="FF4F81BD"/>
      </right>
      <top/>
      <bottom style="medium">
        <color rgb="FF4F81BD"/>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style="medium">
        <color rgb="FF4F81BD"/>
      </left>
      <right/>
      <top style="double">
        <color rgb="FF4F81BD"/>
      </top>
      <bottom style="medium">
        <color rgb="FF4F81BD"/>
      </bottom>
      <diagonal/>
    </border>
    <border>
      <left/>
      <right/>
      <top style="double">
        <color rgb="FF4F81BD"/>
      </top>
      <bottom style="medium">
        <color rgb="FF4F81BD"/>
      </bottom>
      <diagonal/>
    </border>
    <border>
      <left/>
      <right style="medium">
        <color rgb="FF4F81BD"/>
      </right>
      <top style="double">
        <color rgb="FF4F81BD"/>
      </top>
      <bottom style="medium">
        <color rgb="FF4F81BD"/>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medium">
        <color indexed="64"/>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top style="thin">
        <color indexed="64"/>
      </top>
      <bottom/>
      <diagonal/>
    </border>
    <border>
      <left style="thin">
        <color auto="1"/>
      </left>
      <right style="thin">
        <color auto="1"/>
      </right>
      <top style="hair">
        <color auto="1"/>
      </top>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hair">
        <color indexed="64"/>
      </bottom>
      <diagonal/>
    </border>
    <border>
      <left style="medium">
        <color indexed="64"/>
      </left>
      <right/>
      <top style="hair">
        <color indexed="64"/>
      </top>
      <bottom style="hair">
        <color indexed="64"/>
      </bottom>
      <diagonal/>
    </border>
    <border>
      <left style="thin">
        <color auto="1"/>
      </left>
      <right style="thin">
        <color auto="1"/>
      </right>
      <top style="thin">
        <color auto="1"/>
      </top>
      <bottom style="hair">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hair">
        <color indexed="64"/>
      </top>
      <bottom style="hair">
        <color indexed="64"/>
      </bottom>
      <diagonal/>
    </border>
    <border>
      <left/>
      <right style="thin">
        <color auto="1"/>
      </right>
      <top style="hair">
        <color indexed="64"/>
      </top>
      <bottom style="thin">
        <color auto="1"/>
      </bottom>
      <diagonal/>
    </border>
    <border>
      <left style="medium">
        <color indexed="64"/>
      </left>
      <right style="thin">
        <color indexed="64"/>
      </right>
      <top style="hair">
        <color indexed="64"/>
      </top>
      <bottom style="thin">
        <color indexed="64"/>
      </bottom>
      <diagonal/>
    </border>
  </borders>
  <cellStyleXfs count="245">
    <xf numFmtId="0" fontId="0" fillId="0" borderId="0"/>
    <xf numFmtId="165" fontId="1" fillId="0" borderId="0" applyFont="0" applyFill="0" applyBorder="0" applyAlignment="0" applyProtection="0"/>
    <xf numFmtId="165" fontId="3" fillId="0" borderId="0" applyFont="0" applyFill="0" applyBorder="0" applyAlignment="0" applyProtection="0"/>
    <xf numFmtId="0" fontId="5" fillId="0" borderId="0"/>
    <xf numFmtId="0" fontId="9" fillId="0" borderId="0" applyNumberFormat="0" applyFill="0" applyBorder="0" applyAlignment="0" applyProtection="0">
      <alignment vertical="top"/>
      <protection locked="0"/>
    </xf>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xf numFmtId="0" fontId="3" fillId="0" borderId="0"/>
    <xf numFmtId="0" fontId="3" fillId="0" borderId="0"/>
    <xf numFmtId="165"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21" fillId="0" borderId="0"/>
    <xf numFmtId="9" fontId="3" fillId="0" borderId="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76" fontId="3" fillId="0" borderId="0" applyFill="0" applyBorder="0" applyAlignment="0" applyProtection="0"/>
    <xf numFmtId="165" fontId="21" fillId="0" borderId="0" applyFont="0" applyFill="0" applyBorder="0" applyProtection="0">
      <alignment vertical="center"/>
    </xf>
    <xf numFmtId="0" fontId="23" fillId="0" borderId="0" applyNumberFormat="0" applyFill="0" applyBorder="0" applyAlignment="0" applyProtection="0"/>
    <xf numFmtId="178"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Protection="0">
      <alignment vertical="center"/>
    </xf>
    <xf numFmtId="165" fontId="24"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43" fontId="1" fillId="0" borderId="0" applyFont="0" applyFill="0" applyBorder="0" applyAlignment="0" applyProtection="0"/>
    <xf numFmtId="179" fontId="26" fillId="0" borderId="0" applyFont="0" applyFill="0" applyBorder="0" applyAlignment="0" applyProtection="0"/>
    <xf numFmtId="0" fontId="26" fillId="0" borderId="0"/>
    <xf numFmtId="180" fontId="26" fillId="0" borderId="0" applyFont="0" applyFill="0" applyBorder="0" applyAlignment="0" applyProtection="0"/>
    <xf numFmtId="0" fontId="30" fillId="0" borderId="0"/>
    <xf numFmtId="176" fontId="30" fillId="0" borderId="0" applyBorder="0" applyProtection="0"/>
    <xf numFmtId="9" fontId="30" fillId="0" borderId="0" applyBorder="0" applyProtection="0"/>
    <xf numFmtId="9" fontId="1" fillId="0" borderId="0" applyFont="0" applyFill="0" applyBorder="0" applyAlignment="0" applyProtection="0"/>
    <xf numFmtId="0" fontId="24" fillId="0" borderId="0"/>
    <xf numFmtId="0" fontId="24" fillId="0" borderId="0"/>
    <xf numFmtId="0" fontId="24" fillId="0" borderId="0"/>
    <xf numFmtId="165" fontId="1" fillId="0" borderId="0" applyFont="0" applyFill="0" applyBorder="0" applyAlignment="0" applyProtection="0"/>
    <xf numFmtId="43" fontId="24" fillId="0" borderId="0" applyFont="0" applyFill="0" applyBorder="0" applyAlignment="0" applyProtection="0"/>
  </cellStyleXfs>
  <cellXfs count="1215">
    <xf numFmtId="0" fontId="0" fillId="0" borderId="0" xfId="0"/>
    <xf numFmtId="0" fontId="0" fillId="0" borderId="0" xfId="0" applyAlignment="1">
      <alignment vertical="center"/>
    </xf>
    <xf numFmtId="0" fontId="0" fillId="0" borderId="0" xfId="0" applyAlignment="1">
      <alignment vertical="center" wrapText="1"/>
    </xf>
    <xf numFmtId="0" fontId="0" fillId="0" borderId="2" xfId="0" applyBorder="1" applyAlignment="1">
      <alignment vertical="center"/>
    </xf>
    <xf numFmtId="0" fontId="0" fillId="0" borderId="3" xfId="0" applyBorder="1" applyAlignment="1">
      <alignment vertical="center" wrapText="1"/>
    </xf>
    <xf numFmtId="165" fontId="0" fillId="0" borderId="3" xfId="1" applyFont="1" applyBorder="1" applyAlignment="1">
      <alignment vertical="center"/>
    </xf>
    <xf numFmtId="0" fontId="0" fillId="0" borderId="4" xfId="0" applyBorder="1" applyAlignment="1">
      <alignment vertical="center"/>
    </xf>
    <xf numFmtId="0" fontId="0" fillId="0" borderId="3" xfId="0"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wrapText="1"/>
    </xf>
    <xf numFmtId="0" fontId="2" fillId="0" borderId="3" xfId="0" applyFont="1" applyBorder="1" applyAlignment="1">
      <alignment vertical="center"/>
    </xf>
    <xf numFmtId="165" fontId="2" fillId="0" borderId="3" xfId="1" applyFont="1" applyBorder="1" applyAlignment="1">
      <alignment vertical="center"/>
    </xf>
    <xf numFmtId="0" fontId="2" fillId="0" borderId="5" xfId="0" applyFont="1" applyBorder="1" applyAlignment="1">
      <alignment vertical="center"/>
    </xf>
    <xf numFmtId="0" fontId="2" fillId="0" borderId="0" xfId="0" applyFont="1" applyAlignment="1">
      <alignment vertical="center" wrapText="1"/>
    </xf>
    <xf numFmtId="165" fontId="2" fillId="0" borderId="0" xfId="1" applyFont="1" applyBorder="1" applyAlignment="1">
      <alignment vertical="center"/>
    </xf>
    <xf numFmtId="0" fontId="2" fillId="0" borderId="7" xfId="0" applyFont="1" applyBorder="1" applyAlignment="1">
      <alignment vertical="center"/>
    </xf>
    <xf numFmtId="165" fontId="2" fillId="0" borderId="8" xfId="1" applyFont="1" applyBorder="1" applyAlignment="1">
      <alignment vertical="center"/>
    </xf>
    <xf numFmtId="0" fontId="2" fillId="0" borderId="7" xfId="0" applyFont="1" applyBorder="1" applyAlignment="1">
      <alignment horizontal="center" vertical="center"/>
    </xf>
    <xf numFmtId="0" fontId="4" fillId="0" borderId="0" xfId="0" applyFont="1" applyAlignment="1">
      <alignment vertical="center"/>
    </xf>
    <xf numFmtId="165" fontId="14" fillId="0" borderId="1" xfId="1" applyFont="1" applyFill="1" applyBorder="1" applyAlignment="1">
      <alignment vertical="center"/>
    </xf>
    <xf numFmtId="165" fontId="14" fillId="0" borderId="1" xfId="1" quotePrefix="1" applyFont="1" applyFill="1" applyBorder="1" applyAlignment="1">
      <alignment vertical="center"/>
    </xf>
    <xf numFmtId="49" fontId="14" fillId="0" borderId="1" xfId="2" applyNumberFormat="1" applyFont="1" applyFill="1" applyBorder="1" applyAlignment="1">
      <alignment horizontal="center" vertical="center"/>
    </xf>
    <xf numFmtId="49" fontId="14" fillId="0" borderId="1" xfId="123" quotePrefix="1" applyNumberFormat="1" applyFont="1" applyFill="1" applyBorder="1" applyAlignment="1">
      <alignment horizontal="center" vertical="center"/>
    </xf>
    <xf numFmtId="49" fontId="14" fillId="0" borderId="1" xfId="123" applyNumberFormat="1" applyFont="1" applyFill="1" applyBorder="1" applyAlignment="1" applyProtection="1">
      <alignment horizontal="center" vertical="center"/>
    </xf>
    <xf numFmtId="0" fontId="0" fillId="0" borderId="0" xfId="0" applyAlignment="1">
      <alignment horizontal="center" vertical="center"/>
    </xf>
    <xf numFmtId="0" fontId="3" fillId="0" borderId="0" xfId="16"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3" fillId="0" borderId="5" xfId="16" applyBorder="1" applyAlignment="1">
      <alignment vertical="center"/>
    </xf>
    <xf numFmtId="0" fontId="3" fillId="0" borderId="6" xfId="16" applyBorder="1" applyAlignment="1">
      <alignment vertical="center"/>
    </xf>
    <xf numFmtId="17" fontId="6" fillId="0" borderId="16" xfId="16" quotePrefix="1" applyNumberFormat="1" applyFont="1" applyBorder="1" applyAlignment="1">
      <alignment horizontal="center" vertical="center"/>
    </xf>
    <xf numFmtId="0" fontId="6" fillId="0" borderId="16" xfId="16" quotePrefix="1" applyFont="1" applyBorder="1" applyAlignment="1">
      <alignment horizontal="center" vertical="center"/>
    </xf>
    <xf numFmtId="0" fontId="3" fillId="0" borderId="39" xfId="16" quotePrefix="1" applyBorder="1" applyAlignment="1">
      <alignment horizontal="center" vertical="center" wrapText="1"/>
    </xf>
    <xf numFmtId="0" fontId="3" fillId="0" borderId="16" xfId="16" applyBorder="1" applyAlignment="1">
      <alignment vertical="center" wrapText="1"/>
    </xf>
    <xf numFmtId="0" fontId="3" fillId="0" borderId="16" xfId="16" applyBorder="1" applyAlignment="1">
      <alignment horizontal="center" vertical="center" wrapText="1"/>
    </xf>
    <xf numFmtId="168" fontId="0" fillId="0" borderId="16" xfId="2" applyNumberFormat="1" applyFont="1" applyBorder="1" applyAlignment="1">
      <alignment horizontal="center" vertical="center" wrapText="1"/>
    </xf>
    <xf numFmtId="0" fontId="3" fillId="0" borderId="0" xfId="16" applyAlignment="1">
      <alignment vertical="center" wrapText="1"/>
    </xf>
    <xf numFmtId="0" fontId="6" fillId="0" borderId="0" xfId="16" applyFont="1" applyAlignment="1">
      <alignment horizontal="center" vertical="center"/>
    </xf>
    <xf numFmtId="0" fontId="3" fillId="0" borderId="0" xfId="16" applyAlignment="1">
      <alignment horizontal="center" vertical="center"/>
    </xf>
    <xf numFmtId="0" fontId="3" fillId="0" borderId="0" xfId="16" quotePrefix="1" applyAlignment="1">
      <alignment vertical="center"/>
    </xf>
    <xf numFmtId="169" fontId="3" fillId="0" borderId="0" xfId="16" applyNumberFormat="1" applyAlignment="1">
      <alignment vertical="center"/>
    </xf>
    <xf numFmtId="0" fontId="3" fillId="0" borderId="7" xfId="16" applyBorder="1" applyAlignment="1">
      <alignment vertical="center"/>
    </xf>
    <xf numFmtId="0" fontId="3" fillId="0" borderId="8" xfId="16" applyBorder="1" applyAlignment="1">
      <alignment vertical="center"/>
    </xf>
    <xf numFmtId="0" fontId="3" fillId="0" borderId="9" xfId="16" applyBorder="1" applyAlignment="1">
      <alignment vertical="center"/>
    </xf>
    <xf numFmtId="0" fontId="6" fillId="0" borderId="17" xfId="16" applyFont="1" applyBorder="1" applyAlignment="1">
      <alignment horizontal="center" vertical="center"/>
    </xf>
    <xf numFmtId="168" fontId="0" fillId="0" borderId="17" xfId="2" applyNumberFormat="1" applyFont="1" applyBorder="1" applyAlignment="1">
      <alignment horizontal="center" vertical="center" wrapText="1"/>
    </xf>
    <xf numFmtId="165" fontId="14" fillId="0" borderId="1" xfId="2" applyFont="1" applyFill="1" applyBorder="1" applyAlignment="1">
      <alignment horizontal="center" vertical="center"/>
    </xf>
    <xf numFmtId="0" fontId="10" fillId="0" borderId="0" xfId="16" applyFont="1" applyAlignment="1">
      <alignment horizontal="left" vertical="center"/>
    </xf>
    <xf numFmtId="0" fontId="10" fillId="0" borderId="0" xfId="16" applyFont="1" applyAlignment="1">
      <alignment vertical="center" wrapText="1"/>
    </xf>
    <xf numFmtId="0" fontId="10" fillId="0" borderId="0" xfId="16" applyFont="1" applyAlignment="1">
      <alignment vertical="center"/>
    </xf>
    <xf numFmtId="0" fontId="14" fillId="0" borderId="1" xfId="0" applyFont="1" applyBorder="1" applyAlignment="1">
      <alignment horizontal="center" vertical="center"/>
    </xf>
    <xf numFmtId="0" fontId="0" fillId="3" borderId="0" xfId="0" applyFill="1" applyAlignment="1">
      <alignment vertical="center"/>
    </xf>
    <xf numFmtId="49" fontId="14" fillId="0" borderId="1" xfId="16" applyNumberFormat="1" applyFont="1" applyBorder="1" applyAlignment="1">
      <alignment horizontal="center" vertical="center"/>
    </xf>
    <xf numFmtId="165" fontId="14" fillId="2" borderId="1" xfId="1" applyFont="1" applyFill="1" applyBorder="1" applyAlignment="1">
      <alignment vertical="center"/>
    </xf>
    <xf numFmtId="0" fontId="2" fillId="0" borderId="0" xfId="0" applyFont="1" applyAlignment="1">
      <alignment horizontal="center" vertical="center"/>
    </xf>
    <xf numFmtId="0" fontId="3" fillId="0" borderId="0" xfId="16" quotePrefix="1" applyAlignment="1">
      <alignment horizontal="center" vertical="center"/>
    </xf>
    <xf numFmtId="0" fontId="2" fillId="0" borderId="33" xfId="0" applyFont="1" applyBorder="1" applyAlignment="1">
      <alignment horizontal="center" vertical="center"/>
    </xf>
    <xf numFmtId="0" fontId="6" fillId="0" borderId="16" xfId="16" applyFont="1" applyBorder="1" applyAlignment="1">
      <alignment horizontal="center" vertical="center"/>
    </xf>
    <xf numFmtId="0" fontId="6" fillId="0" borderId="30" xfId="16"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65" fontId="14" fillId="2" borderId="1" xfId="1" quotePrefix="1" applyFont="1" applyFill="1" applyBorder="1" applyAlignment="1">
      <alignment vertical="center"/>
    </xf>
    <xf numFmtId="165" fontId="13" fillId="2" borderId="1" xfId="1" applyFont="1" applyFill="1" applyBorder="1" applyAlignment="1">
      <alignment vertical="center"/>
    </xf>
    <xf numFmtId="165" fontId="13" fillId="2" borderId="1" xfId="1" quotePrefix="1" applyFont="1" applyFill="1" applyBorder="1" applyAlignment="1">
      <alignment vertical="center"/>
    </xf>
    <xf numFmtId="0" fontId="2" fillId="0" borderId="28" xfId="0" applyFont="1" applyBorder="1" applyAlignment="1">
      <alignment vertical="center"/>
    </xf>
    <xf numFmtId="165" fontId="2" fillId="0" borderId="28" xfId="1" applyFont="1" applyBorder="1" applyAlignment="1">
      <alignment vertical="center"/>
    </xf>
    <xf numFmtId="166" fontId="2" fillId="0" borderId="8" xfId="165" applyNumberFormat="1" applyFont="1" applyFill="1" applyBorder="1" applyAlignment="1">
      <alignment horizontal="center" vertical="center" wrapText="1"/>
    </xf>
    <xf numFmtId="165" fontId="2" fillId="0" borderId="32" xfId="1" applyFont="1" applyBorder="1" applyAlignment="1">
      <alignment vertical="center"/>
    </xf>
    <xf numFmtId="168" fontId="0" fillId="3" borderId="17" xfId="2" applyNumberFormat="1" applyFont="1" applyFill="1" applyBorder="1" applyAlignment="1">
      <alignment horizontal="center" vertical="center" wrapText="1"/>
    </xf>
    <xf numFmtId="175" fontId="3" fillId="0" borderId="0" xfId="16" applyNumberFormat="1" applyAlignment="1">
      <alignment vertical="center"/>
    </xf>
    <xf numFmtId="173" fontId="3" fillId="0" borderId="0" xfId="16" applyNumberFormat="1" applyAlignment="1">
      <alignment vertical="center"/>
    </xf>
    <xf numFmtId="165" fontId="14" fillId="6" borderId="1" xfId="1" applyFont="1" applyFill="1" applyBorder="1" applyAlignment="1">
      <alignment vertical="center"/>
    </xf>
    <xf numFmtId="172" fontId="14" fillId="6" borderId="1" xfId="123" applyNumberFormat="1" applyFont="1" applyFill="1" applyBorder="1" applyAlignment="1">
      <alignment horizontal="center" vertical="center"/>
    </xf>
    <xf numFmtId="49" fontId="13" fillId="6" borderId="1" xfId="123" applyNumberFormat="1" applyFont="1" applyFill="1" applyBorder="1" applyAlignment="1">
      <alignment horizontal="center" vertical="center"/>
    </xf>
    <xf numFmtId="165" fontId="13" fillId="6" borderId="1" xfId="1" applyFont="1" applyFill="1" applyBorder="1" applyAlignment="1">
      <alignment vertical="center"/>
    </xf>
    <xf numFmtId="0" fontId="2" fillId="0" borderId="26" xfId="0" applyFont="1" applyBorder="1" applyAlignment="1">
      <alignment vertical="center"/>
    </xf>
    <xf numFmtId="0" fontId="0" fillId="0" borderId="0" xfId="0" applyAlignment="1">
      <alignment horizontal="center"/>
    </xf>
    <xf numFmtId="1" fontId="2" fillId="0" borderId="17" xfId="0" quotePrefix="1" applyNumberFormat="1" applyFont="1" applyBorder="1" applyAlignment="1">
      <alignment horizontal="center" vertical="center" wrapText="1"/>
    </xf>
    <xf numFmtId="0" fontId="10" fillId="0" borderId="0" xfId="16" applyFont="1" applyAlignment="1">
      <alignment horizontal="center" vertical="center"/>
    </xf>
    <xf numFmtId="165" fontId="14" fillId="0" borderId="1" xfId="1" applyFont="1" applyFill="1" applyBorder="1" applyAlignment="1">
      <alignment horizontal="center" vertical="center"/>
    </xf>
    <xf numFmtId="49" fontId="14" fillId="4" borderId="1" xfId="123" applyNumberFormat="1" applyFont="1" applyFill="1" applyBorder="1" applyAlignment="1">
      <alignment horizontal="center" vertical="center"/>
    </xf>
    <xf numFmtId="165" fontId="14" fillId="4" borderId="1" xfId="1" applyFont="1" applyFill="1" applyBorder="1" applyAlignment="1">
      <alignment vertical="center"/>
    </xf>
    <xf numFmtId="165" fontId="14" fillId="4" borderId="1" xfId="1" quotePrefix="1" applyFont="1" applyFill="1" applyBorder="1" applyAlignment="1">
      <alignment vertical="center"/>
    </xf>
    <xf numFmtId="172" fontId="14" fillId="4" borderId="1" xfId="123" applyNumberFormat="1" applyFont="1" applyFill="1" applyBorder="1" applyAlignment="1">
      <alignment horizontal="center" vertical="center"/>
    </xf>
    <xf numFmtId="49" fontId="14" fillId="2" borderId="1" xfId="123" applyNumberFormat="1" applyFont="1" applyFill="1" applyBorder="1" applyAlignment="1">
      <alignment horizontal="center" vertical="center"/>
    </xf>
    <xf numFmtId="172" fontId="14" fillId="2" borderId="1" xfId="123" applyNumberFormat="1" applyFont="1" applyFill="1" applyBorder="1" applyAlignment="1">
      <alignment horizontal="center" vertical="center"/>
    </xf>
    <xf numFmtId="49" fontId="13" fillId="4" borderId="1" xfId="123" applyNumberFormat="1" applyFont="1" applyFill="1" applyBorder="1" applyAlignment="1">
      <alignment horizontal="center" vertical="center"/>
    </xf>
    <xf numFmtId="165" fontId="13" fillId="4" borderId="1" xfId="1" applyFont="1" applyFill="1" applyBorder="1" applyAlignment="1">
      <alignment vertical="center"/>
    </xf>
    <xf numFmtId="165" fontId="13" fillId="4" borderId="1" xfId="1" quotePrefix="1" applyFont="1" applyFill="1" applyBorder="1" applyAlignment="1">
      <alignment vertical="center"/>
    </xf>
    <xf numFmtId="172" fontId="13" fillId="4" borderId="1" xfId="123" applyNumberFormat="1" applyFont="1" applyFill="1" applyBorder="1" applyAlignment="1">
      <alignment horizontal="center" vertical="center"/>
    </xf>
    <xf numFmtId="49" fontId="13" fillId="2" borderId="1" xfId="123" applyNumberFormat="1" applyFont="1" applyFill="1" applyBorder="1" applyAlignment="1">
      <alignment horizontal="center" vertical="center"/>
    </xf>
    <xf numFmtId="172" fontId="13" fillId="2" borderId="1" xfId="123" applyNumberFormat="1" applyFont="1" applyFill="1" applyBorder="1" applyAlignment="1">
      <alignment horizontal="center" vertical="center"/>
    </xf>
    <xf numFmtId="49" fontId="14" fillId="4" borderId="1" xfId="2" applyNumberFormat="1" applyFont="1" applyFill="1" applyBorder="1" applyAlignment="1">
      <alignment horizontal="center" vertical="center"/>
    </xf>
    <xf numFmtId="49" fontId="14" fillId="4" borderId="1" xfId="123" quotePrefix="1" applyNumberFormat="1" applyFont="1" applyFill="1" applyBorder="1" applyAlignment="1">
      <alignment horizontal="center" vertical="center"/>
    </xf>
    <xf numFmtId="49" fontId="14" fillId="2" borderId="1" xfId="123" quotePrefix="1" applyNumberFormat="1" applyFont="1" applyFill="1" applyBorder="1" applyAlignment="1">
      <alignment horizontal="center" vertical="center"/>
    </xf>
    <xf numFmtId="49" fontId="14" fillId="4" borderId="1" xfId="123" quotePrefix="1" applyNumberFormat="1" applyFont="1" applyFill="1" applyBorder="1" applyAlignment="1" applyProtection="1">
      <alignment horizontal="center" vertical="center"/>
    </xf>
    <xf numFmtId="49" fontId="13" fillId="4" borderId="1" xfId="123" applyNumberFormat="1" applyFont="1" applyFill="1" applyBorder="1" applyAlignment="1" applyProtection="1">
      <alignment horizontal="center" vertical="center"/>
    </xf>
    <xf numFmtId="0" fontId="14" fillId="0" borderId="0" xfId="16" applyFont="1" applyAlignment="1">
      <alignment vertical="center"/>
    </xf>
    <xf numFmtId="49" fontId="14" fillId="0" borderId="1" xfId="123" applyNumberFormat="1" applyFont="1" applyFill="1" applyBorder="1" applyAlignment="1">
      <alignment horizontal="center" vertical="center"/>
    </xf>
    <xf numFmtId="2" fontId="14" fillId="0" borderId="1" xfId="123" applyNumberFormat="1" applyFont="1" applyFill="1" applyBorder="1" applyAlignment="1">
      <alignment vertical="center" wrapText="1"/>
    </xf>
    <xf numFmtId="2" fontId="13" fillId="6" borderId="1" xfId="123" applyNumberFormat="1" applyFont="1" applyFill="1" applyBorder="1" applyAlignment="1">
      <alignment vertical="center" wrapText="1"/>
    </xf>
    <xf numFmtId="2" fontId="13" fillId="2" borderId="1" xfId="123" applyNumberFormat="1" applyFont="1" applyFill="1" applyBorder="1" applyAlignment="1">
      <alignment vertical="center" wrapText="1"/>
    </xf>
    <xf numFmtId="2" fontId="13" fillId="2" borderId="1" xfId="123" quotePrefix="1" applyNumberFormat="1" applyFont="1" applyFill="1" applyBorder="1" applyAlignment="1">
      <alignment vertical="center" wrapText="1"/>
    </xf>
    <xf numFmtId="2" fontId="13" fillId="4" borderId="1" xfId="123" applyNumberFormat="1" applyFont="1" applyFill="1" applyBorder="1" applyAlignment="1">
      <alignment vertical="center" wrapText="1"/>
    </xf>
    <xf numFmtId="2" fontId="13" fillId="4" borderId="1" xfId="2" applyNumberFormat="1" applyFont="1" applyFill="1" applyBorder="1" applyAlignment="1">
      <alignment vertical="center" wrapText="1"/>
    </xf>
    <xf numFmtId="2" fontId="13" fillId="4" borderId="1" xfId="123" quotePrefix="1" applyNumberFormat="1" applyFont="1" applyFill="1" applyBorder="1" applyAlignment="1">
      <alignment vertical="center" wrapText="1"/>
    </xf>
    <xf numFmtId="2" fontId="13" fillId="4" borderId="1" xfId="123" applyNumberFormat="1" applyFont="1" applyFill="1" applyBorder="1" applyAlignment="1" applyProtection="1">
      <alignment vertical="center" wrapText="1"/>
    </xf>
    <xf numFmtId="165" fontId="13" fillId="6" borderId="15" xfId="1" applyFont="1" applyFill="1" applyBorder="1" applyAlignment="1">
      <alignment horizontal="center" vertical="center" wrapText="1"/>
    </xf>
    <xf numFmtId="2" fontId="13" fillId="0" borderId="1" xfId="123" applyNumberFormat="1" applyFont="1" applyFill="1" applyBorder="1" applyAlignment="1">
      <alignment vertical="center" wrapText="1"/>
    </xf>
    <xf numFmtId="49" fontId="14" fillId="6" borderId="1" xfId="123" applyNumberFormat="1" applyFont="1" applyFill="1" applyBorder="1" applyAlignment="1">
      <alignment vertical="center"/>
    </xf>
    <xf numFmtId="49" fontId="14" fillId="2" borderId="1" xfId="123" applyNumberFormat="1" applyFont="1" applyFill="1" applyBorder="1" applyAlignment="1">
      <alignment vertical="center"/>
    </xf>
    <xf numFmtId="49" fontId="14" fillId="4" borderId="1" xfId="123" applyNumberFormat="1" applyFont="1" applyFill="1" applyBorder="1" applyAlignment="1">
      <alignment vertical="center"/>
    </xf>
    <xf numFmtId="49" fontId="13" fillId="4" borderId="1" xfId="123" applyNumberFormat="1" applyFont="1" applyFill="1" applyBorder="1" applyAlignment="1">
      <alignment vertical="center"/>
    </xf>
    <xf numFmtId="49" fontId="14" fillId="0" borderId="1" xfId="123" applyNumberFormat="1" applyFont="1" applyFill="1" applyBorder="1" applyAlignment="1">
      <alignment vertical="center"/>
    </xf>
    <xf numFmtId="49" fontId="13" fillId="2" borderId="1" xfId="123" applyNumberFormat="1" applyFont="1" applyFill="1" applyBorder="1" applyAlignment="1">
      <alignment vertical="center"/>
    </xf>
    <xf numFmtId="2" fontId="14" fillId="2" borderId="1" xfId="123" applyNumberFormat="1" applyFont="1" applyFill="1" applyBorder="1" applyAlignment="1">
      <alignment vertical="center" wrapText="1"/>
    </xf>
    <xf numFmtId="2" fontId="14" fillId="0" borderId="47" xfId="123" applyNumberFormat="1" applyFont="1" applyFill="1" applyBorder="1" applyAlignment="1">
      <alignment vertical="center" wrapText="1"/>
    </xf>
    <xf numFmtId="49" fontId="14" fillId="0" borderId="47" xfId="123" applyNumberFormat="1" applyFont="1" applyFill="1" applyBorder="1" applyAlignment="1">
      <alignment horizontal="center" vertical="center"/>
    </xf>
    <xf numFmtId="2" fontId="14" fillId="0" borderId="1" xfId="123" quotePrefix="1" applyNumberFormat="1" applyFont="1" applyFill="1" applyBorder="1" applyAlignment="1">
      <alignment vertical="center" wrapText="1"/>
    </xf>
    <xf numFmtId="0" fontId="13" fillId="0" borderId="0" xfId="16" applyFont="1" applyAlignment="1">
      <alignment vertical="center"/>
    </xf>
    <xf numFmtId="181" fontId="10" fillId="0" borderId="0" xfId="1" applyNumberFormat="1" applyFont="1" applyFill="1" applyAlignment="1">
      <alignment vertical="center"/>
    </xf>
    <xf numFmtId="181" fontId="14" fillId="0" borderId="0" xfId="1" applyNumberFormat="1" applyFont="1" applyFill="1" applyAlignment="1">
      <alignment vertical="center"/>
    </xf>
    <xf numFmtId="0" fontId="20" fillId="0" borderId="0" xfId="16" applyFont="1" applyAlignment="1">
      <alignment vertical="center"/>
    </xf>
    <xf numFmtId="0" fontId="20" fillId="0" borderId="0" xfId="16" applyFont="1" applyAlignment="1">
      <alignment horizontal="center" vertical="center"/>
    </xf>
    <xf numFmtId="168" fontId="10" fillId="0" borderId="0" xfId="1" applyNumberFormat="1" applyFont="1" applyFill="1" applyAlignment="1">
      <alignment vertical="center"/>
    </xf>
    <xf numFmtId="165" fontId="10" fillId="0" borderId="0" xfId="1" applyFont="1" applyFill="1" applyBorder="1" applyAlignment="1">
      <alignment vertical="center"/>
    </xf>
    <xf numFmtId="165" fontId="29" fillId="5" borderId="21" xfId="1" applyFont="1" applyFill="1" applyBorder="1" applyAlignment="1">
      <alignment horizontal="center" vertical="center"/>
    </xf>
    <xf numFmtId="165" fontId="14" fillId="0" borderId="0" xfId="1" applyFont="1" applyFill="1" applyAlignment="1">
      <alignment vertical="center"/>
    </xf>
    <xf numFmtId="165" fontId="28" fillId="0" borderId="0" xfId="16" applyNumberFormat="1" applyFont="1" applyAlignment="1">
      <alignment vertical="center"/>
    </xf>
    <xf numFmtId="0" fontId="2" fillId="0" borderId="53" xfId="0" applyFont="1" applyBorder="1" applyAlignment="1">
      <alignment horizontal="center" vertical="center"/>
    </xf>
    <xf numFmtId="0" fontId="6" fillId="0" borderId="56" xfId="16" applyFont="1" applyBorder="1" applyAlignment="1">
      <alignment horizontal="center" vertical="center"/>
    </xf>
    <xf numFmtId="0" fontId="6" fillId="0" borderId="48" xfId="16" applyFont="1" applyBorder="1" applyAlignment="1">
      <alignment horizontal="center" vertical="center"/>
    </xf>
    <xf numFmtId="17" fontId="6" fillId="0" borderId="48" xfId="16" quotePrefix="1" applyNumberFormat="1" applyFont="1" applyBorder="1" applyAlignment="1">
      <alignment horizontal="center" vertical="center"/>
    </xf>
    <xf numFmtId="168" fontId="0" fillId="0" borderId="48" xfId="2" applyNumberFormat="1" applyFont="1" applyBorder="1" applyAlignment="1">
      <alignment horizontal="center" vertical="center" wrapText="1"/>
    </xf>
    <xf numFmtId="168" fontId="0" fillId="0" borderId="48" xfId="2" applyNumberFormat="1" applyFont="1" applyFill="1" applyBorder="1" applyAlignment="1">
      <alignment horizontal="center" vertical="center" wrapText="1"/>
    </xf>
    <xf numFmtId="0" fontId="3" fillId="0" borderId="53" xfId="16" applyBorder="1" applyAlignment="1">
      <alignment vertical="center"/>
    </xf>
    <xf numFmtId="0" fontId="13" fillId="6" borderId="0" xfId="16" applyFont="1" applyFill="1" applyAlignment="1">
      <alignment horizontal="center" vertical="center"/>
    </xf>
    <xf numFmtId="165" fontId="13" fillId="6" borderId="0" xfId="1" applyFont="1" applyFill="1" applyBorder="1" applyAlignment="1">
      <alignment vertical="center"/>
    </xf>
    <xf numFmtId="43" fontId="0" fillId="0" borderId="0" xfId="0" applyNumberFormat="1"/>
    <xf numFmtId="174" fontId="3" fillId="0" borderId="0" xfId="16" applyNumberFormat="1" applyAlignment="1">
      <alignment vertical="center"/>
    </xf>
    <xf numFmtId="0" fontId="14" fillId="0" borderId="0" xfId="16" applyFont="1" applyAlignment="1">
      <alignment horizontal="center" vertical="center"/>
    </xf>
    <xf numFmtId="49" fontId="10" fillId="6" borderId="2" xfId="16" applyNumberFormat="1" applyFont="1" applyFill="1" applyBorder="1" applyAlignment="1">
      <alignment vertical="center"/>
    </xf>
    <xf numFmtId="49" fontId="10" fillId="6" borderId="3" xfId="16" applyNumberFormat="1" applyFont="1" applyFill="1" applyBorder="1" applyAlignment="1">
      <alignment vertical="center"/>
    </xf>
    <xf numFmtId="49" fontId="14" fillId="6" borderId="3" xfId="16" applyNumberFormat="1" applyFont="1" applyFill="1" applyBorder="1" applyAlignment="1">
      <alignment horizontal="center" vertical="center"/>
    </xf>
    <xf numFmtId="0" fontId="10" fillId="6" borderId="3" xfId="16" applyFont="1" applyFill="1" applyBorder="1" applyAlignment="1">
      <alignment vertical="center"/>
    </xf>
    <xf numFmtId="0" fontId="10" fillId="6" borderId="0" xfId="16" applyFont="1" applyFill="1" applyAlignment="1">
      <alignment vertical="center"/>
    </xf>
    <xf numFmtId="49" fontId="13" fillId="6" borderId="7" xfId="16" applyNumberFormat="1" applyFont="1" applyFill="1" applyBorder="1" applyAlignment="1">
      <alignment vertical="center"/>
    </xf>
    <xf numFmtId="49" fontId="13" fillId="6" borderId="53" xfId="16" applyNumberFormat="1" applyFont="1" applyFill="1" applyBorder="1" applyAlignment="1">
      <alignment vertical="center"/>
    </xf>
    <xf numFmtId="49" fontId="13" fillId="6" borderId="53" xfId="16" applyNumberFormat="1" applyFont="1" applyFill="1" applyBorder="1" applyAlignment="1">
      <alignment horizontal="center" vertical="center"/>
    </xf>
    <xf numFmtId="0" fontId="15" fillId="6" borderId="53" xfId="0" applyFont="1" applyFill="1" applyBorder="1"/>
    <xf numFmtId="0" fontId="10" fillId="6" borderId="53" xfId="16" applyFont="1" applyFill="1" applyBorder="1" applyAlignment="1">
      <alignment vertical="center"/>
    </xf>
    <xf numFmtId="49" fontId="13" fillId="6" borderId="2" xfId="16" applyNumberFormat="1" applyFont="1" applyFill="1" applyBorder="1" applyAlignment="1">
      <alignment vertical="center"/>
    </xf>
    <xf numFmtId="49" fontId="13" fillId="6" borderId="3" xfId="16" applyNumberFormat="1" applyFont="1" applyFill="1" applyBorder="1" applyAlignment="1">
      <alignment vertical="center"/>
    </xf>
    <xf numFmtId="49" fontId="13" fillId="6" borderId="3" xfId="16" applyNumberFormat="1" applyFont="1" applyFill="1" applyBorder="1" applyAlignment="1">
      <alignment horizontal="center" vertical="center"/>
    </xf>
    <xf numFmtId="49" fontId="13" fillId="6" borderId="5" xfId="16" applyNumberFormat="1" applyFont="1" applyFill="1" applyBorder="1" applyAlignment="1">
      <alignment vertical="center"/>
    </xf>
    <xf numFmtId="49" fontId="13" fillId="6" borderId="0" xfId="16" applyNumberFormat="1" applyFont="1" applyFill="1" applyAlignment="1">
      <alignment vertical="center"/>
    </xf>
    <xf numFmtId="49" fontId="13" fillId="6" borderId="0" xfId="16" applyNumberFormat="1" applyFont="1" applyFill="1" applyAlignment="1">
      <alignment horizontal="center" vertical="center"/>
    </xf>
    <xf numFmtId="165" fontId="13" fillId="6" borderId="27" xfId="1" applyFont="1" applyFill="1" applyBorder="1" applyAlignment="1">
      <alignment vertical="center"/>
    </xf>
    <xf numFmtId="171" fontId="13" fillId="6" borderId="0" xfId="16" applyNumberFormat="1" applyFont="1" applyFill="1" applyAlignment="1">
      <alignment horizontal="right" vertical="center"/>
    </xf>
    <xf numFmtId="171" fontId="13" fillId="6" borderId="0" xfId="16" applyNumberFormat="1" applyFont="1" applyFill="1" applyAlignment="1">
      <alignment vertical="center"/>
    </xf>
    <xf numFmtId="171" fontId="27" fillId="6" borderId="0" xfId="16" applyNumberFormat="1" applyFont="1" applyFill="1" applyAlignment="1">
      <alignment vertical="center"/>
    </xf>
    <xf numFmtId="171" fontId="13" fillId="6" borderId="0" xfId="16" applyNumberFormat="1" applyFont="1" applyFill="1" applyAlignment="1">
      <alignment horizontal="center" vertical="center"/>
    </xf>
    <xf numFmtId="165" fontId="13" fillId="6" borderId="0" xfId="1" applyFont="1" applyFill="1" applyBorder="1" applyAlignment="1">
      <alignment horizontal="center" vertical="center"/>
    </xf>
    <xf numFmtId="49" fontId="13" fillId="6" borderId="5" xfId="16" applyNumberFormat="1" applyFont="1" applyFill="1" applyBorder="1" applyAlignment="1">
      <alignment horizontal="left" vertical="center"/>
    </xf>
    <xf numFmtId="165" fontId="13" fillId="6" borderId="5" xfId="1" applyFont="1" applyFill="1" applyBorder="1" applyAlignment="1">
      <alignment vertical="center"/>
    </xf>
    <xf numFmtId="0" fontId="10" fillId="0" borderId="0" xfId="16" applyFont="1" applyAlignment="1">
      <alignment horizontal="right" vertical="center"/>
    </xf>
    <xf numFmtId="165" fontId="13" fillId="6" borderId="7" xfId="1" applyFont="1" applyFill="1" applyBorder="1" applyAlignment="1">
      <alignment vertical="center"/>
    </xf>
    <xf numFmtId="165" fontId="13" fillId="6" borderId="53" xfId="1" applyFont="1" applyFill="1" applyBorder="1" applyAlignment="1">
      <alignment vertical="center"/>
    </xf>
    <xf numFmtId="165" fontId="13" fillId="6" borderId="53" xfId="1" applyFont="1" applyFill="1" applyBorder="1" applyAlignment="1">
      <alignment horizontal="center" vertical="center"/>
    </xf>
    <xf numFmtId="165" fontId="13" fillId="6" borderId="31" xfId="1" applyFont="1" applyFill="1" applyBorder="1" applyAlignment="1">
      <alignment vertical="center"/>
    </xf>
    <xf numFmtId="171" fontId="10" fillId="0" borderId="53" xfId="16" applyNumberFormat="1" applyFont="1" applyBorder="1" applyAlignment="1">
      <alignment horizontal="center" vertical="center"/>
    </xf>
    <xf numFmtId="49" fontId="14" fillId="0" borderId="53" xfId="16" applyNumberFormat="1" applyFont="1" applyBorder="1" applyAlignment="1">
      <alignment horizontal="center" vertical="center"/>
    </xf>
    <xf numFmtId="165" fontId="10" fillId="0" borderId="53" xfId="1" applyFont="1" applyFill="1" applyBorder="1" applyAlignment="1">
      <alignment vertical="center"/>
    </xf>
    <xf numFmtId="43" fontId="31" fillId="0" borderId="0" xfId="0" applyNumberFormat="1" applyFont="1"/>
    <xf numFmtId="49" fontId="14" fillId="0" borderId="20" xfId="123" applyNumberFormat="1" applyFont="1" applyFill="1" applyBorder="1" applyAlignment="1">
      <alignment vertical="center"/>
    </xf>
    <xf numFmtId="49" fontId="13" fillId="6" borderId="20" xfId="123" applyNumberFormat="1" applyFont="1" applyFill="1" applyBorder="1" applyAlignment="1">
      <alignment vertical="center"/>
    </xf>
    <xf numFmtId="182" fontId="0" fillId="0" borderId="0" xfId="0" applyNumberFormat="1"/>
    <xf numFmtId="49" fontId="13" fillId="2" borderId="20" xfId="123" applyNumberFormat="1" applyFont="1" applyFill="1" applyBorder="1" applyAlignment="1">
      <alignment vertical="center"/>
    </xf>
    <xf numFmtId="49" fontId="13" fillId="4" borderId="20" xfId="123" applyNumberFormat="1" applyFont="1" applyFill="1" applyBorder="1" applyAlignment="1">
      <alignment vertical="center"/>
    </xf>
    <xf numFmtId="49" fontId="14" fillId="0" borderId="20" xfId="2" applyNumberFormat="1" applyFont="1" applyFill="1" applyBorder="1" applyAlignment="1">
      <alignment vertical="center"/>
    </xf>
    <xf numFmtId="0" fontId="16" fillId="0" borderId="1" xfId="0" applyFont="1" applyBorder="1" applyAlignment="1">
      <alignment horizontal="center" vertical="center"/>
    </xf>
    <xf numFmtId="49" fontId="16"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3" fillId="4" borderId="20" xfId="2" applyNumberFormat="1" applyFont="1" applyFill="1" applyBorder="1" applyAlignment="1">
      <alignment vertical="center"/>
    </xf>
    <xf numFmtId="2" fontId="14" fillId="0" borderId="0" xfId="123" applyNumberFormat="1" applyFont="1" applyFill="1" applyBorder="1" applyAlignment="1">
      <alignment vertical="center" wrapText="1"/>
    </xf>
    <xf numFmtId="49" fontId="10" fillId="6" borderId="0" xfId="16" applyNumberFormat="1" applyFont="1" applyFill="1" applyAlignment="1">
      <alignment vertical="center"/>
    </xf>
    <xf numFmtId="49" fontId="29" fillId="6" borderId="0" xfId="16" applyNumberFormat="1" applyFont="1" applyFill="1" applyAlignment="1">
      <alignment horizontal="center" vertical="center"/>
    </xf>
    <xf numFmtId="0" fontId="15" fillId="6" borderId="0" xfId="0" applyFont="1" applyFill="1"/>
    <xf numFmtId="49" fontId="25" fillId="6" borderId="0" xfId="16" applyNumberFormat="1" applyFont="1" applyFill="1" applyAlignment="1">
      <alignment horizontal="center" vertical="center"/>
    </xf>
    <xf numFmtId="172" fontId="14" fillId="0" borderId="0" xfId="123" applyNumberFormat="1" applyFont="1" applyBorder="1" applyAlignment="1">
      <alignment horizontal="center" vertical="center"/>
    </xf>
    <xf numFmtId="172" fontId="14" fillId="2" borderId="0" xfId="123" applyNumberFormat="1" applyFont="1" applyFill="1" applyBorder="1" applyAlignment="1">
      <alignment horizontal="center" vertical="center"/>
    </xf>
    <xf numFmtId="172" fontId="14" fillId="4" borderId="0" xfId="123" applyNumberFormat="1" applyFont="1" applyFill="1" applyBorder="1" applyAlignment="1">
      <alignment horizontal="center" vertical="center"/>
    </xf>
    <xf numFmtId="172" fontId="13" fillId="4" borderId="0" xfId="123" applyNumberFormat="1" applyFont="1" applyFill="1" applyBorder="1" applyAlignment="1">
      <alignment horizontal="center" vertical="center"/>
    </xf>
    <xf numFmtId="172" fontId="13" fillId="2" borderId="0" xfId="123" applyNumberFormat="1" applyFont="1" applyFill="1" applyBorder="1" applyAlignment="1">
      <alignment horizontal="center" vertical="center"/>
    </xf>
    <xf numFmtId="172" fontId="14" fillId="6" borderId="0" xfId="123" applyNumberFormat="1" applyFont="1" applyFill="1" applyBorder="1" applyAlignment="1">
      <alignment horizontal="center" vertical="center"/>
    </xf>
    <xf numFmtId="49" fontId="13" fillId="6" borderId="25" xfId="16" applyNumberFormat="1" applyFont="1" applyFill="1" applyBorder="1" applyAlignment="1">
      <alignment vertical="center"/>
    </xf>
    <xf numFmtId="49" fontId="13" fillId="6" borderId="27" xfId="16" applyNumberFormat="1" applyFont="1" applyFill="1" applyBorder="1" applyAlignment="1">
      <alignment horizontal="left" vertical="center"/>
    </xf>
    <xf numFmtId="171" fontId="13" fillId="6" borderId="4" xfId="16" applyNumberFormat="1" applyFont="1" applyFill="1" applyBorder="1" applyAlignment="1">
      <alignment vertical="center"/>
    </xf>
    <xf numFmtId="171" fontId="27" fillId="6" borderId="52" xfId="16" applyNumberFormat="1" applyFont="1" applyFill="1" applyBorder="1" applyAlignment="1">
      <alignment vertical="center"/>
    </xf>
    <xf numFmtId="0" fontId="16" fillId="0" borderId="58" xfId="0" applyFont="1" applyBorder="1" applyAlignment="1">
      <alignment horizontal="left" vertical="center"/>
    </xf>
    <xf numFmtId="0" fontId="0" fillId="0" borderId="0" xfId="0" applyAlignment="1">
      <alignment horizontal="right" vertical="center"/>
    </xf>
    <xf numFmtId="0" fontId="16" fillId="0" borderId="0" xfId="0" applyFont="1" applyAlignment="1">
      <alignment horizontal="center" vertical="center"/>
    </xf>
    <xf numFmtId="165" fontId="14" fillId="0" borderId="0" xfId="16" applyNumberFormat="1" applyFont="1" applyAlignment="1">
      <alignment vertical="center"/>
    </xf>
    <xf numFmtId="0" fontId="31" fillId="0" borderId="0" xfId="0" applyFont="1"/>
    <xf numFmtId="0" fontId="3" fillId="0" borderId="0" xfId="16" applyAlignment="1">
      <alignment horizontal="center" vertical="center" wrapText="1"/>
    </xf>
    <xf numFmtId="0" fontId="6" fillId="0" borderId="0" xfId="16" applyFont="1" applyAlignment="1">
      <alignment vertical="center"/>
    </xf>
    <xf numFmtId="181" fontId="20" fillId="0" borderId="0" xfId="16" applyNumberFormat="1" applyFont="1" applyAlignment="1">
      <alignment vertical="center"/>
    </xf>
    <xf numFmtId="43" fontId="20" fillId="0" borderId="0" xfId="16" applyNumberFormat="1" applyFont="1" applyAlignment="1">
      <alignment vertical="center"/>
    </xf>
    <xf numFmtId="0" fontId="13" fillId="6" borderId="0" xfId="16" applyFont="1" applyFill="1" applyAlignment="1">
      <alignment horizontal="center" vertical="center" wrapText="1"/>
    </xf>
    <xf numFmtId="172" fontId="14" fillId="0" borderId="1" xfId="123" applyNumberFormat="1" applyFont="1" applyFill="1" applyBorder="1" applyAlignment="1">
      <alignment horizontal="center" vertical="center"/>
    </xf>
    <xf numFmtId="165" fontId="10" fillId="0" borderId="0" xfId="16" applyNumberFormat="1" applyFont="1" applyAlignment="1">
      <alignment vertical="center"/>
    </xf>
    <xf numFmtId="43" fontId="10" fillId="0" borderId="0" xfId="16" applyNumberFormat="1" applyFont="1" applyAlignment="1">
      <alignment vertical="center"/>
    </xf>
    <xf numFmtId="165" fontId="13" fillId="6" borderId="1" xfId="1" quotePrefix="1" applyFont="1" applyFill="1" applyBorder="1" applyAlignment="1">
      <alignment vertical="center"/>
    </xf>
    <xf numFmtId="0" fontId="0" fillId="0" borderId="5" xfId="0" applyBorder="1"/>
    <xf numFmtId="165" fontId="13" fillId="13" borderId="1" xfId="1" quotePrefix="1" applyFont="1" applyFill="1" applyBorder="1" applyAlignment="1">
      <alignment vertical="center"/>
    </xf>
    <xf numFmtId="165" fontId="27" fillId="6" borderId="1" xfId="1" applyFont="1" applyFill="1" applyBorder="1" applyAlignment="1">
      <alignment vertical="center"/>
    </xf>
    <xf numFmtId="2" fontId="14" fillId="0" borderId="59" xfId="123" applyNumberFormat="1" applyFont="1" applyFill="1" applyBorder="1" applyAlignment="1">
      <alignment vertical="center" wrapText="1"/>
    </xf>
    <xf numFmtId="49" fontId="14" fillId="0" borderId="59" xfId="123" applyNumberFormat="1" applyFont="1" applyFill="1" applyBorder="1" applyAlignment="1">
      <alignment horizontal="center" vertical="center"/>
    </xf>
    <xf numFmtId="165" fontId="14" fillId="0" borderId="59" xfId="1" quotePrefix="1" applyFont="1" applyFill="1" applyBorder="1" applyAlignment="1">
      <alignment vertical="center"/>
    </xf>
    <xf numFmtId="165" fontId="14" fillId="0" borderId="59" xfId="1" applyFont="1" applyFill="1" applyBorder="1" applyAlignment="1">
      <alignment vertical="center"/>
    </xf>
    <xf numFmtId="49" fontId="14" fillId="0" borderId="59" xfId="123" applyNumberFormat="1" applyFont="1" applyFill="1" applyBorder="1" applyAlignment="1">
      <alignment vertical="center"/>
    </xf>
    <xf numFmtId="172" fontId="14" fillId="0" borderId="59" xfId="123" applyNumberFormat="1" applyFont="1" applyFill="1" applyBorder="1" applyAlignment="1">
      <alignment horizontal="center" vertical="center"/>
    </xf>
    <xf numFmtId="2" fontId="13" fillId="6" borderId="60" xfId="123" quotePrefix="1" applyNumberFormat="1" applyFont="1" applyFill="1" applyBorder="1" applyAlignment="1">
      <alignment vertical="center" wrapText="1"/>
    </xf>
    <xf numFmtId="49" fontId="13" fillId="6" borderId="60" xfId="123" applyNumberFormat="1" applyFont="1" applyFill="1" applyBorder="1" applyAlignment="1">
      <alignment horizontal="center" vertical="center"/>
    </xf>
    <xf numFmtId="165" fontId="13" fillId="6" borderId="60" xfId="1" applyFont="1" applyFill="1" applyBorder="1" applyAlignment="1">
      <alignment vertical="center"/>
    </xf>
    <xf numFmtId="0" fontId="0" fillId="6" borderId="57" xfId="0" applyFill="1" applyBorder="1" applyAlignment="1">
      <alignment horizontal="center" vertical="center" wrapText="1"/>
    </xf>
    <xf numFmtId="183" fontId="3" fillId="0" borderId="0" xfId="0" applyNumberFormat="1" applyFont="1" applyAlignment="1">
      <alignment horizontal="right" vertical="center"/>
    </xf>
    <xf numFmtId="183" fontId="6" fillId="0" borderId="0" xfId="0" applyNumberFormat="1" applyFont="1" applyAlignment="1">
      <alignment horizontal="right" vertical="center"/>
    </xf>
    <xf numFmtId="3" fontId="0" fillId="0" borderId="0" xfId="0" applyNumberFormat="1"/>
    <xf numFmtId="3" fontId="0" fillId="0" borderId="0" xfId="0" applyNumberFormat="1" applyAlignment="1">
      <alignment horizontal="center"/>
    </xf>
    <xf numFmtId="0" fontId="0" fillId="14" borderId="22" xfId="0" applyFill="1" applyBorder="1"/>
    <xf numFmtId="0" fontId="0" fillId="14" borderId="22" xfId="0" applyFill="1" applyBorder="1" applyAlignment="1">
      <alignment horizontal="center"/>
    </xf>
    <xf numFmtId="177" fontId="0" fillId="14" borderId="22" xfId="239" applyNumberFormat="1" applyFont="1" applyFill="1" applyBorder="1" applyAlignment="1">
      <alignment horizontal="center"/>
    </xf>
    <xf numFmtId="0" fontId="0" fillId="14" borderId="22" xfId="0" applyFill="1" applyBorder="1" applyAlignment="1">
      <alignment horizontal="left"/>
    </xf>
    <xf numFmtId="43" fontId="0" fillId="14" borderId="22" xfId="0" applyNumberFormat="1" applyFill="1" applyBorder="1"/>
    <xf numFmtId="0" fontId="33" fillId="0" borderId="0" xfId="0" applyFont="1"/>
    <xf numFmtId="4" fontId="0" fillId="0" borderId="0" xfId="0" applyNumberFormat="1" applyAlignment="1">
      <alignment horizontal="right" vertical="center"/>
    </xf>
    <xf numFmtId="4" fontId="0" fillId="0" borderId="0" xfId="0" applyNumberFormat="1" applyAlignment="1">
      <alignment horizontal="right"/>
    </xf>
    <xf numFmtId="0" fontId="0" fillId="0" borderId="0" xfId="0" applyAlignment="1">
      <alignment horizontal="left"/>
    </xf>
    <xf numFmtId="4" fontId="20" fillId="0" borderId="0" xfId="0" applyNumberFormat="1" applyFont="1" applyAlignment="1">
      <alignment horizontal="right" vertical="center"/>
    </xf>
    <xf numFmtId="184" fontId="0" fillId="14" borderId="22" xfId="0" applyNumberFormat="1" applyFill="1" applyBorder="1"/>
    <xf numFmtId="4" fontId="0" fillId="0" borderId="0" xfId="0" applyNumberFormat="1" applyAlignment="1">
      <alignment horizontal="center"/>
    </xf>
    <xf numFmtId="4" fontId="6" fillId="0" borderId="0" xfId="0" applyNumberFormat="1" applyFont="1" applyAlignment="1">
      <alignment horizontal="right" vertical="center"/>
    </xf>
    <xf numFmtId="0" fontId="10" fillId="9" borderId="0" xfId="16" applyFont="1" applyFill="1" applyAlignment="1">
      <alignment vertical="center"/>
    </xf>
    <xf numFmtId="49" fontId="14" fillId="12" borderId="1" xfId="123" applyNumberFormat="1" applyFont="1" applyFill="1" applyBorder="1" applyAlignment="1">
      <alignment vertical="center"/>
    </xf>
    <xf numFmtId="165" fontId="35" fillId="0" borderId="1" xfId="1" quotePrefix="1" applyFont="1" applyFill="1" applyBorder="1" applyAlignment="1">
      <alignment vertical="center"/>
    </xf>
    <xf numFmtId="165" fontId="35" fillId="9" borderId="1" xfId="1" quotePrefix="1" applyFont="1" applyFill="1" applyBorder="1" applyAlignment="1">
      <alignment vertical="center"/>
    </xf>
    <xf numFmtId="2" fontId="35" fillId="0" borderId="1" xfId="123" applyNumberFormat="1" applyFont="1" applyFill="1" applyBorder="1" applyAlignment="1">
      <alignment vertical="center" wrapText="1"/>
    </xf>
    <xf numFmtId="165" fontId="14" fillId="9" borderId="0" xfId="16" applyNumberFormat="1" applyFont="1" applyFill="1" applyAlignment="1">
      <alignment vertical="center"/>
    </xf>
    <xf numFmtId="0" fontId="14" fillId="9" borderId="0" xfId="16" applyFont="1" applyFill="1" applyAlignment="1">
      <alignment vertical="center"/>
    </xf>
    <xf numFmtId="183" fontId="32" fillId="0" borderId="0" xfId="0" applyNumberFormat="1" applyFont="1" applyAlignment="1">
      <alignment horizontal="right" vertical="center"/>
    </xf>
    <xf numFmtId="4" fontId="0" fillId="0" borderId="0" xfId="0" applyNumberFormat="1"/>
    <xf numFmtId="3" fontId="37" fillId="0" borderId="0" xfId="0" applyNumberFormat="1" applyFont="1" applyAlignment="1">
      <alignment horizontal="left"/>
    </xf>
    <xf numFmtId="4" fontId="31" fillId="0" borderId="0" xfId="0" applyNumberFormat="1" applyFont="1"/>
    <xf numFmtId="0" fontId="37" fillId="14" borderId="22" xfId="0" applyFont="1" applyFill="1" applyBorder="1" applyAlignment="1">
      <alignment horizontal="left"/>
    </xf>
    <xf numFmtId="0" fontId="0" fillId="0" borderId="59" xfId="0" applyBorder="1" applyAlignment="1">
      <alignment horizontal="center"/>
    </xf>
    <xf numFmtId="0" fontId="0" fillId="0" borderId="59" xfId="0" applyBorder="1"/>
    <xf numFmtId="183" fontId="0" fillId="0" borderId="59" xfId="0" applyNumberFormat="1" applyBorder="1" applyAlignment="1">
      <alignment horizontal="center"/>
    </xf>
    <xf numFmtId="43" fontId="0" fillId="0" borderId="59" xfId="188" applyFont="1" applyBorder="1" applyAlignment="1">
      <alignment horizontal="center"/>
    </xf>
    <xf numFmtId="0" fontId="0" fillId="0" borderId="59" xfId="0" quotePrefix="1" applyBorder="1"/>
    <xf numFmtId="183" fontId="31" fillId="0" borderId="59" xfId="0" applyNumberFormat="1" applyFont="1" applyBorder="1" applyAlignment="1">
      <alignment horizontal="center"/>
    </xf>
    <xf numFmtId="2" fontId="14" fillId="0" borderId="41" xfId="123" applyNumberFormat="1" applyFont="1" applyFill="1" applyBorder="1" applyAlignment="1">
      <alignment vertical="center" wrapText="1"/>
    </xf>
    <xf numFmtId="49" fontId="14" fillId="0" borderId="41" xfId="123" applyNumberFormat="1" applyFont="1" applyFill="1" applyBorder="1" applyAlignment="1">
      <alignment horizontal="center" vertical="center"/>
    </xf>
    <xf numFmtId="165" fontId="14" fillId="0" borderId="41" xfId="1" quotePrefix="1" applyFont="1" applyFill="1" applyBorder="1" applyAlignment="1">
      <alignment vertical="center"/>
    </xf>
    <xf numFmtId="165" fontId="14" fillId="0" borderId="41" xfId="1" applyFont="1" applyFill="1" applyBorder="1" applyAlignment="1">
      <alignment vertical="center"/>
    </xf>
    <xf numFmtId="49" fontId="14" fillId="0" borderId="41" xfId="123" applyNumberFormat="1" applyFont="1" applyFill="1" applyBorder="1" applyAlignment="1">
      <alignment vertical="center"/>
    </xf>
    <xf numFmtId="172" fontId="14" fillId="0" borderId="41" xfId="123" applyNumberFormat="1" applyFont="1" applyFill="1" applyBorder="1" applyAlignment="1">
      <alignment horizontal="center" vertical="center"/>
    </xf>
    <xf numFmtId="0" fontId="40" fillId="0" borderId="0" xfId="0" applyFont="1" applyAlignment="1">
      <alignment horizontal="center" vertical="center"/>
    </xf>
    <xf numFmtId="49" fontId="41" fillId="0" borderId="0" xfId="0" applyNumberFormat="1" applyFont="1" applyAlignment="1">
      <alignment horizontal="left" vertical="center"/>
    </xf>
    <xf numFmtId="0" fontId="36" fillId="0" borderId="0" xfId="0" applyFont="1" applyAlignment="1">
      <alignment vertical="center"/>
    </xf>
    <xf numFmtId="0" fontId="36" fillId="10" borderId="61" xfId="0" applyFont="1" applyFill="1" applyBorder="1" applyAlignment="1">
      <alignment vertical="center"/>
    </xf>
    <xf numFmtId="10" fontId="43" fillId="10" borderId="63" xfId="188" applyNumberFormat="1" applyFont="1" applyFill="1" applyBorder="1" applyAlignment="1">
      <alignment horizontal="center" vertical="center"/>
    </xf>
    <xf numFmtId="43" fontId="43" fillId="10" borderId="64" xfId="188" applyFont="1" applyFill="1" applyBorder="1" applyAlignment="1">
      <alignment vertical="center"/>
    </xf>
    <xf numFmtId="165" fontId="43" fillId="10" borderId="48" xfId="0" applyNumberFormat="1" applyFont="1" applyFill="1" applyBorder="1"/>
    <xf numFmtId="43" fontId="36" fillId="0" borderId="0" xfId="188" applyFont="1" applyFill="1" applyBorder="1" applyAlignment="1">
      <alignment vertical="center"/>
    </xf>
    <xf numFmtId="10" fontId="36" fillId="0" borderId="0" xfId="0" applyNumberFormat="1" applyFont="1" applyAlignment="1">
      <alignment horizontal="center" vertical="center"/>
    </xf>
    <xf numFmtId="10" fontId="36" fillId="9" borderId="0" xfId="239" applyNumberFormat="1" applyFont="1" applyFill="1" applyBorder="1"/>
    <xf numFmtId="0" fontId="36" fillId="0" borderId="0" xfId="0" applyFont="1"/>
    <xf numFmtId="0" fontId="36" fillId="15" borderId="65" xfId="0" applyFont="1" applyFill="1" applyBorder="1" applyAlignment="1">
      <alignment vertical="center"/>
    </xf>
    <xf numFmtId="43" fontId="43" fillId="15" borderId="37" xfId="188" applyFont="1" applyFill="1" applyBorder="1" applyAlignment="1">
      <alignment vertical="center"/>
    </xf>
    <xf numFmtId="181" fontId="43" fillId="15" borderId="37" xfId="188" applyNumberFormat="1" applyFont="1" applyFill="1" applyBorder="1" applyAlignment="1">
      <alignment horizontal="center" vertical="center"/>
    </xf>
    <xf numFmtId="10" fontId="43" fillId="15" borderId="37" xfId="188" applyNumberFormat="1" applyFont="1" applyFill="1" applyBorder="1" applyAlignment="1">
      <alignment horizontal="center" vertical="center"/>
    </xf>
    <xf numFmtId="43" fontId="43" fillId="15" borderId="1" xfId="188" applyFont="1" applyFill="1" applyBorder="1" applyAlignment="1">
      <alignment horizontal="right" vertical="center"/>
    </xf>
    <xf numFmtId="43" fontId="43" fillId="15" borderId="66" xfId="188" applyFont="1" applyFill="1" applyBorder="1" applyAlignment="1">
      <alignment vertical="center"/>
    </xf>
    <xf numFmtId="10" fontId="43" fillId="15" borderId="66" xfId="188" applyNumberFormat="1" applyFont="1" applyFill="1" applyBorder="1" applyAlignment="1">
      <alignment horizontal="center" vertical="center"/>
    </xf>
    <xf numFmtId="43" fontId="43" fillId="15" borderId="67" xfId="188" applyFont="1" applyFill="1" applyBorder="1" applyAlignment="1">
      <alignment horizontal="right" vertical="center"/>
    </xf>
    <xf numFmtId="0" fontId="44" fillId="15" borderId="68" xfId="0" applyFont="1" applyFill="1" applyBorder="1" applyAlignment="1">
      <alignment vertical="center"/>
    </xf>
    <xf numFmtId="43" fontId="45" fillId="15" borderId="69" xfId="188" applyFont="1" applyFill="1" applyBorder="1" applyAlignment="1">
      <alignment vertical="center"/>
    </xf>
    <xf numFmtId="10" fontId="45" fillId="15" borderId="69" xfId="188" applyNumberFormat="1" applyFont="1" applyFill="1" applyBorder="1" applyAlignment="1">
      <alignment horizontal="center" vertical="center"/>
    </xf>
    <xf numFmtId="43" fontId="45" fillId="15" borderId="70" xfId="188" applyFont="1" applyFill="1" applyBorder="1" applyAlignment="1">
      <alignment horizontal="right" vertical="center"/>
    </xf>
    <xf numFmtId="43" fontId="43" fillId="16" borderId="63" xfId="188" applyFont="1" applyFill="1" applyBorder="1" applyAlignment="1">
      <alignment vertical="center"/>
    </xf>
    <xf numFmtId="10" fontId="43" fillId="16" borderId="63" xfId="188" applyNumberFormat="1" applyFont="1" applyFill="1" applyBorder="1" applyAlignment="1">
      <alignment horizontal="center" vertical="center"/>
    </xf>
    <xf numFmtId="43" fontId="43" fillId="16" borderId="64" xfId="188" applyFont="1" applyFill="1" applyBorder="1" applyAlignment="1">
      <alignment horizontal="right" vertical="center"/>
    </xf>
    <xf numFmtId="43" fontId="43" fillId="16" borderId="37" xfId="188" applyFont="1" applyFill="1" applyBorder="1" applyAlignment="1">
      <alignment vertical="center"/>
    </xf>
    <xf numFmtId="10" fontId="43" fillId="16" borderId="37" xfId="188" applyNumberFormat="1" applyFont="1" applyFill="1" applyBorder="1" applyAlignment="1">
      <alignment horizontal="center" vertical="center"/>
    </xf>
    <xf numFmtId="43" fontId="43" fillId="16" borderId="1" xfId="188" applyFont="1" applyFill="1" applyBorder="1" applyAlignment="1">
      <alignment horizontal="right" vertical="center"/>
    </xf>
    <xf numFmtId="0" fontId="36" fillId="16" borderId="72" xfId="0" applyFont="1" applyFill="1" applyBorder="1" applyAlignment="1">
      <alignment vertical="center"/>
    </xf>
    <xf numFmtId="0" fontId="36" fillId="15" borderId="62" xfId="0" applyFont="1" applyFill="1" applyBorder="1" applyAlignment="1">
      <alignment vertical="center"/>
    </xf>
    <xf numFmtId="43" fontId="43" fillId="15" borderId="63" xfId="188" applyFont="1" applyFill="1" applyBorder="1" applyAlignment="1">
      <alignment vertical="center"/>
    </xf>
    <xf numFmtId="10" fontId="43" fillId="15" borderId="63" xfId="188" applyNumberFormat="1" applyFont="1" applyFill="1" applyBorder="1" applyAlignment="1">
      <alignment horizontal="center" vertical="center"/>
    </xf>
    <xf numFmtId="43" fontId="43" fillId="15" borderId="64" xfId="188" applyFont="1" applyFill="1" applyBorder="1" applyAlignment="1">
      <alignment horizontal="right" vertical="center"/>
    </xf>
    <xf numFmtId="0" fontId="36" fillId="15" borderId="76" xfId="0" applyFont="1" applyFill="1" applyBorder="1" applyAlignment="1">
      <alignment vertical="center"/>
    </xf>
    <xf numFmtId="0" fontId="44" fillId="15" borderId="80" xfId="0" applyFont="1" applyFill="1" applyBorder="1" applyAlignment="1">
      <alignment vertical="center"/>
    </xf>
    <xf numFmtId="43" fontId="45" fillId="15" borderId="81" xfId="188" applyFont="1" applyFill="1" applyBorder="1" applyAlignment="1">
      <alignment vertical="center"/>
    </xf>
    <xf numFmtId="10" fontId="45" fillId="15" borderId="81" xfId="188" applyNumberFormat="1" applyFont="1" applyFill="1" applyBorder="1" applyAlignment="1">
      <alignment horizontal="center" vertical="center"/>
    </xf>
    <xf numFmtId="43" fontId="45" fillId="15" borderId="82" xfId="188" applyFont="1" applyFill="1" applyBorder="1" applyAlignment="1">
      <alignment horizontal="right" vertical="center"/>
    </xf>
    <xf numFmtId="0" fontId="36" fillId="2" borderId="61" xfId="0" applyFont="1" applyFill="1" applyBorder="1" applyAlignment="1">
      <alignment vertical="center"/>
    </xf>
    <xf numFmtId="43" fontId="43" fillId="2" borderId="63" xfId="188" applyFont="1" applyFill="1" applyBorder="1" applyAlignment="1">
      <alignment vertical="center"/>
    </xf>
    <xf numFmtId="10" fontId="43" fillId="2" borderId="63" xfId="188" applyNumberFormat="1" applyFont="1" applyFill="1" applyBorder="1" applyAlignment="1">
      <alignment horizontal="center" vertical="center"/>
    </xf>
    <xf numFmtId="43" fontId="43" fillId="2" borderId="64" xfId="188" applyFont="1" applyFill="1" applyBorder="1" applyAlignment="1">
      <alignment horizontal="right" vertical="center"/>
    </xf>
    <xf numFmtId="0" fontId="36" fillId="2" borderId="71" xfId="0" applyFont="1" applyFill="1" applyBorder="1" applyAlignment="1">
      <alignment vertical="center"/>
    </xf>
    <xf numFmtId="43" fontId="43" fillId="2" borderId="37" xfId="188" applyFont="1" applyFill="1" applyBorder="1" applyAlignment="1">
      <alignment vertical="center"/>
    </xf>
    <xf numFmtId="10" fontId="43" fillId="2" borderId="37" xfId="188" applyNumberFormat="1" applyFont="1" applyFill="1" applyBorder="1" applyAlignment="1">
      <alignment horizontal="center" vertical="center"/>
    </xf>
    <xf numFmtId="43" fontId="43" fillId="2" borderId="1" xfId="188" applyFont="1" applyFill="1" applyBorder="1" applyAlignment="1">
      <alignment horizontal="right" vertical="center"/>
    </xf>
    <xf numFmtId="0" fontId="44" fillId="2" borderId="73" xfId="0" applyFont="1" applyFill="1" applyBorder="1" applyAlignment="1">
      <alignment vertical="center"/>
    </xf>
    <xf numFmtId="43" fontId="45" fillId="2" borderId="69" xfId="188" applyFont="1" applyFill="1" applyBorder="1" applyAlignment="1">
      <alignment vertical="center"/>
    </xf>
    <xf numFmtId="10" fontId="45" fillId="2" borderId="69" xfId="188" applyNumberFormat="1" applyFont="1" applyFill="1" applyBorder="1" applyAlignment="1">
      <alignment horizontal="center" vertical="center"/>
    </xf>
    <xf numFmtId="43" fontId="43" fillId="16" borderId="62" xfId="188" applyFont="1" applyFill="1" applyBorder="1" applyAlignment="1">
      <alignment vertical="center"/>
    </xf>
    <xf numFmtId="43" fontId="43" fillId="16" borderId="37" xfId="188" applyFont="1" applyFill="1" applyBorder="1" applyAlignment="1">
      <alignment horizontal="right" vertical="center"/>
    </xf>
    <xf numFmtId="181" fontId="43" fillId="15" borderId="66" xfId="188" applyNumberFormat="1" applyFont="1" applyFill="1" applyBorder="1" applyAlignment="1">
      <alignment horizontal="center" vertical="center"/>
    </xf>
    <xf numFmtId="181" fontId="45" fillId="15" borderId="69" xfId="188" applyNumberFormat="1" applyFont="1" applyFill="1" applyBorder="1" applyAlignment="1">
      <alignment horizontal="center" vertical="center"/>
    </xf>
    <xf numFmtId="181" fontId="43" fillId="16" borderId="63" xfId="188" applyNumberFormat="1" applyFont="1" applyFill="1" applyBorder="1" applyAlignment="1">
      <alignment horizontal="center" vertical="center"/>
    </xf>
    <xf numFmtId="181" fontId="43" fillId="16" borderId="37" xfId="188" applyNumberFormat="1" applyFont="1" applyFill="1" applyBorder="1" applyAlignment="1">
      <alignment horizontal="center" vertical="center"/>
    </xf>
    <xf numFmtId="181" fontId="43" fillId="15" borderId="63" xfId="188" applyNumberFormat="1" applyFont="1" applyFill="1" applyBorder="1" applyAlignment="1">
      <alignment horizontal="center" vertical="center"/>
    </xf>
    <xf numFmtId="181" fontId="45" fillId="15" borderId="81" xfId="188" applyNumberFormat="1" applyFont="1" applyFill="1" applyBorder="1" applyAlignment="1">
      <alignment horizontal="center" vertical="center"/>
    </xf>
    <xf numFmtId="181" fontId="43" fillId="2" borderId="63" xfId="188" applyNumberFormat="1" applyFont="1" applyFill="1" applyBorder="1" applyAlignment="1">
      <alignment horizontal="center" vertical="center"/>
    </xf>
    <xf numFmtId="181" fontId="43" fillId="2" borderId="37" xfId="188" applyNumberFormat="1" applyFont="1" applyFill="1" applyBorder="1" applyAlignment="1">
      <alignment horizontal="center" vertical="center"/>
    </xf>
    <xf numFmtId="181" fontId="45" fillId="2" borderId="69" xfId="188" applyNumberFormat="1" applyFont="1" applyFill="1" applyBorder="1" applyAlignment="1">
      <alignment horizontal="center" vertical="center"/>
    </xf>
    <xf numFmtId="3" fontId="43" fillId="10" borderId="62" xfId="0" applyNumberFormat="1" applyFont="1" applyFill="1" applyBorder="1" applyAlignment="1">
      <alignment horizontal="right" vertical="center"/>
    </xf>
    <xf numFmtId="10" fontId="44" fillId="2" borderId="0" xfId="0" applyNumberFormat="1" applyFont="1" applyFill="1" applyAlignment="1">
      <alignment horizontal="center" vertical="center"/>
    </xf>
    <xf numFmtId="49" fontId="14" fillId="11" borderId="1" xfId="123" quotePrefix="1" applyNumberFormat="1" applyFont="1" applyFill="1" applyBorder="1" applyAlignment="1">
      <alignment horizontal="center" vertical="center"/>
    </xf>
    <xf numFmtId="165" fontId="14" fillId="0" borderId="0" xfId="1" applyFont="1" applyAlignment="1">
      <alignment vertical="center"/>
    </xf>
    <xf numFmtId="0" fontId="36" fillId="16" borderId="84" xfId="0" applyFont="1" applyFill="1" applyBorder="1" applyAlignment="1">
      <alignment vertical="center"/>
    </xf>
    <xf numFmtId="43" fontId="43" fillId="16" borderId="63" xfId="188" applyFont="1" applyFill="1" applyBorder="1" applyAlignment="1">
      <alignment horizontal="right" vertical="center"/>
    </xf>
    <xf numFmtId="43" fontId="43" fillId="16" borderId="85" xfId="188" applyFont="1" applyFill="1" applyBorder="1" applyAlignment="1">
      <alignment vertical="center"/>
    </xf>
    <xf numFmtId="0" fontId="36" fillId="16" borderId="86" xfId="0" applyFont="1" applyFill="1" applyBorder="1" applyAlignment="1">
      <alignment vertical="center"/>
    </xf>
    <xf numFmtId="43" fontId="43" fillId="16" borderId="87" xfId="188" applyFont="1" applyFill="1" applyBorder="1" applyAlignment="1">
      <alignment vertical="center"/>
    </xf>
    <xf numFmtId="0" fontId="36" fillId="16" borderId="88" xfId="0" applyFont="1" applyFill="1" applyBorder="1" applyAlignment="1">
      <alignment vertical="center"/>
    </xf>
    <xf numFmtId="43" fontId="43" fillId="16" borderId="89" xfId="188" applyFont="1" applyFill="1" applyBorder="1" applyAlignment="1">
      <alignment vertical="center"/>
    </xf>
    <xf numFmtId="0" fontId="0" fillId="9" borderId="0" xfId="0" applyFill="1" applyAlignment="1">
      <alignment horizontal="right" vertical="center"/>
    </xf>
    <xf numFmtId="4" fontId="0" fillId="9" borderId="0" xfId="0" applyNumberFormat="1" applyFill="1"/>
    <xf numFmtId="0" fontId="36" fillId="16" borderId="90" xfId="0" applyFont="1" applyFill="1" applyBorder="1" applyAlignment="1">
      <alignment vertical="center"/>
    </xf>
    <xf numFmtId="165" fontId="27" fillId="9" borderId="15" xfId="1" applyFont="1" applyFill="1" applyBorder="1" applyAlignment="1">
      <alignment horizontal="center" vertical="center" wrapText="1"/>
    </xf>
    <xf numFmtId="183" fontId="0" fillId="0" borderId="59" xfId="0" applyNumberFormat="1" applyBorder="1" applyAlignment="1">
      <alignment horizontal="center" vertical="center"/>
    </xf>
    <xf numFmtId="0" fontId="0" fillId="0" borderId="59" xfId="0" applyBorder="1" applyAlignment="1">
      <alignment horizontal="center" vertical="center"/>
    </xf>
    <xf numFmtId="183" fontId="31" fillId="0" borderId="59" xfId="0" applyNumberFormat="1" applyFont="1" applyBorder="1" applyAlignment="1">
      <alignment horizontal="center" vertical="center"/>
    </xf>
    <xf numFmtId="165" fontId="14" fillId="0" borderId="59" xfId="1" quotePrefix="1" applyFont="1" applyFill="1" applyBorder="1" applyAlignment="1">
      <alignment horizontal="center" vertical="center"/>
    </xf>
    <xf numFmtId="49" fontId="0" fillId="0" borderId="59" xfId="0" applyNumberFormat="1" applyBorder="1" applyAlignment="1">
      <alignment horizontal="center"/>
    </xf>
    <xf numFmtId="165" fontId="29" fillId="0" borderId="0" xfId="16" applyNumberFormat="1" applyFont="1" applyAlignment="1">
      <alignment horizontal="right" vertical="center"/>
    </xf>
    <xf numFmtId="165" fontId="14" fillId="3" borderId="59" xfId="1" applyFont="1" applyFill="1" applyBorder="1" applyAlignment="1">
      <alignment vertical="center"/>
    </xf>
    <xf numFmtId="165" fontId="35" fillId="3" borderId="59" xfId="1" applyFont="1" applyFill="1" applyBorder="1" applyAlignment="1">
      <alignment vertical="center"/>
    </xf>
    <xf numFmtId="0" fontId="36" fillId="18" borderId="0" xfId="0" applyFont="1" applyFill="1" applyAlignment="1">
      <alignment vertical="center"/>
    </xf>
    <xf numFmtId="0" fontId="36" fillId="9" borderId="48" xfId="0" applyFont="1" applyFill="1" applyBorder="1" applyAlignment="1">
      <alignment horizontal="center" vertical="center"/>
    </xf>
    <xf numFmtId="0" fontId="36" fillId="9" borderId="50" xfId="0" applyFont="1" applyFill="1" applyBorder="1" applyAlignment="1">
      <alignment horizontal="center" vertical="center"/>
    </xf>
    <xf numFmtId="0" fontId="36" fillId="9" borderId="59" xfId="0" applyFont="1" applyFill="1" applyBorder="1" applyAlignment="1">
      <alignment horizontal="center" vertical="center"/>
    </xf>
    <xf numFmtId="0" fontId="36" fillId="9" borderId="83" xfId="0" applyFont="1" applyFill="1" applyBorder="1" applyAlignment="1">
      <alignment horizontal="center" vertical="center"/>
    </xf>
    <xf numFmtId="0" fontId="36" fillId="16" borderId="93" xfId="0" applyFont="1" applyFill="1" applyBorder="1" applyAlignment="1">
      <alignment vertical="center"/>
    </xf>
    <xf numFmtId="0" fontId="36" fillId="16" borderId="94" xfId="0" applyFont="1" applyFill="1" applyBorder="1" applyAlignment="1">
      <alignment vertical="center"/>
    </xf>
    <xf numFmtId="43" fontId="43" fillId="16" borderId="69" xfId="188" applyFont="1" applyFill="1" applyBorder="1" applyAlignment="1">
      <alignment vertical="center"/>
    </xf>
    <xf numFmtId="181" fontId="43" fillId="16" borderId="69" xfId="188" applyNumberFormat="1" applyFont="1" applyFill="1" applyBorder="1" applyAlignment="1">
      <alignment horizontal="center" vertical="center"/>
    </xf>
    <xf numFmtId="10" fontId="43" fillId="16" borderId="69" xfId="188" applyNumberFormat="1" applyFont="1" applyFill="1" applyBorder="1" applyAlignment="1">
      <alignment horizontal="center" vertical="center"/>
    </xf>
    <xf numFmtId="43" fontId="43" fillId="16" borderId="91" xfId="188" applyFont="1" applyFill="1" applyBorder="1" applyAlignment="1">
      <alignment horizontal="right" vertical="center"/>
    </xf>
    <xf numFmtId="0" fontId="36" fillId="9" borderId="50" xfId="0" quotePrefix="1" applyFont="1" applyFill="1" applyBorder="1" applyAlignment="1">
      <alignment horizontal="center" vertical="center"/>
    </xf>
    <xf numFmtId="0" fontId="36" fillId="9" borderId="59" xfId="0" quotePrefix="1" applyFont="1" applyFill="1" applyBorder="1" applyAlignment="1">
      <alignment horizontal="center" vertical="center"/>
    </xf>
    <xf numFmtId="0" fontId="36" fillId="9" borderId="83" xfId="0" quotePrefix="1" applyFont="1" applyFill="1" applyBorder="1" applyAlignment="1">
      <alignment horizontal="center" vertical="center"/>
    </xf>
    <xf numFmtId="0" fontId="0" fillId="6" borderId="95" xfId="0" applyFill="1" applyBorder="1" applyAlignment="1">
      <alignment horizontal="center" vertical="center"/>
    </xf>
    <xf numFmtId="0" fontId="0" fillId="6" borderId="96" xfId="0" applyFill="1" applyBorder="1" applyAlignment="1">
      <alignment horizontal="center" vertical="center"/>
    </xf>
    <xf numFmtId="0" fontId="36" fillId="16" borderId="50" xfId="0" applyFont="1" applyFill="1" applyBorder="1" applyAlignment="1">
      <alignment vertical="center"/>
    </xf>
    <xf numFmtId="0" fontId="36" fillId="16" borderId="59" xfId="0" applyFont="1" applyFill="1" applyBorder="1" applyAlignment="1">
      <alignment vertical="center"/>
    </xf>
    <xf numFmtId="40" fontId="43" fillId="10" borderId="46" xfId="0" applyNumberFormat="1" applyFont="1" applyFill="1" applyBorder="1" applyAlignment="1">
      <alignment vertical="center"/>
    </xf>
    <xf numFmtId="49" fontId="10" fillId="0" borderId="5" xfId="16" applyNumberFormat="1" applyFont="1" applyBorder="1" applyAlignment="1">
      <alignment vertical="center"/>
    </xf>
    <xf numFmtId="171" fontId="10" fillId="0" borderId="0" xfId="16" applyNumberFormat="1" applyFont="1" applyAlignment="1">
      <alignment horizontal="center" vertical="center"/>
    </xf>
    <xf numFmtId="49" fontId="14" fillId="0" borderId="0" xfId="16" applyNumberFormat="1" applyFont="1" applyAlignment="1">
      <alignment horizontal="center" vertical="center"/>
    </xf>
    <xf numFmtId="165" fontId="10" fillId="9" borderId="0" xfId="1" applyFont="1" applyFill="1" applyBorder="1" applyAlignment="1">
      <alignment vertical="center"/>
    </xf>
    <xf numFmtId="0" fontId="13" fillId="6" borderId="15" xfId="16" applyFont="1" applyFill="1" applyBorder="1" applyAlignment="1">
      <alignment vertical="center"/>
    </xf>
    <xf numFmtId="0" fontId="13" fillId="6" borderId="15" xfId="16" applyFont="1" applyFill="1" applyBorder="1" applyAlignment="1">
      <alignment horizontal="center" vertical="center"/>
    </xf>
    <xf numFmtId="49" fontId="13" fillId="6" borderId="15" xfId="16" applyNumberFormat="1" applyFont="1" applyFill="1" applyBorder="1" applyAlignment="1">
      <alignment horizontal="center" vertical="center" wrapText="1"/>
    </xf>
    <xf numFmtId="165" fontId="29" fillId="10" borderId="21" xfId="1" applyFont="1" applyFill="1" applyBorder="1" applyAlignment="1">
      <alignment horizontal="center" vertical="center"/>
    </xf>
    <xf numFmtId="0" fontId="14" fillId="0" borderId="48" xfId="123" applyNumberFormat="1" applyFont="1" applyFill="1" applyBorder="1" applyAlignment="1">
      <alignment vertical="center"/>
    </xf>
    <xf numFmtId="174" fontId="3" fillId="0" borderId="48" xfId="16" applyNumberFormat="1" applyBorder="1" applyAlignment="1">
      <alignment vertical="center" wrapText="1"/>
    </xf>
    <xf numFmtId="49" fontId="14" fillId="0" borderId="48" xfId="123" applyNumberFormat="1" applyFont="1" applyFill="1" applyBorder="1" applyAlignment="1">
      <alignment vertical="center"/>
    </xf>
    <xf numFmtId="43" fontId="14" fillId="0" borderId="0" xfId="16" applyNumberFormat="1" applyFont="1" applyAlignment="1">
      <alignment vertical="center"/>
    </xf>
    <xf numFmtId="165" fontId="35" fillId="0" borderId="1" xfId="1" applyFont="1" applyFill="1" applyBorder="1" applyAlignment="1">
      <alignment vertical="center"/>
    </xf>
    <xf numFmtId="165" fontId="13" fillId="9" borderId="1" xfId="1" quotePrefix="1" applyFont="1" applyFill="1" applyBorder="1" applyAlignment="1">
      <alignment vertical="center"/>
    </xf>
    <xf numFmtId="2" fontId="13" fillId="0" borderId="59" xfId="123" applyNumberFormat="1" applyFont="1" applyFill="1" applyBorder="1" applyAlignment="1">
      <alignment vertical="center" wrapText="1"/>
    </xf>
    <xf numFmtId="0" fontId="15" fillId="0" borderId="59" xfId="0" applyFont="1" applyBorder="1"/>
    <xf numFmtId="0" fontId="48" fillId="0" borderId="56" xfId="0" applyFont="1" applyBorder="1" applyAlignment="1">
      <alignment horizontal="center"/>
    </xf>
    <xf numFmtId="0" fontId="48" fillId="0" borderId="56" xfId="0" applyFont="1" applyBorder="1"/>
    <xf numFmtId="3" fontId="48" fillId="0" borderId="56" xfId="0" applyNumberFormat="1" applyFont="1" applyBorder="1"/>
    <xf numFmtId="3" fontId="48" fillId="0" borderId="56" xfId="0" applyNumberFormat="1" applyFont="1" applyBorder="1" applyAlignment="1">
      <alignment horizontal="center"/>
    </xf>
    <xf numFmtId="0" fontId="48" fillId="0" borderId="56" xfId="0" applyFont="1" applyBorder="1" applyAlignment="1">
      <alignment horizontal="right" vertical="center"/>
    </xf>
    <xf numFmtId="4" fontId="47" fillId="0" borderId="56" xfId="0" applyNumberFormat="1" applyFont="1" applyBorder="1" applyAlignment="1">
      <alignment horizontal="right" vertical="center"/>
    </xf>
    <xf numFmtId="43" fontId="0" fillId="0" borderId="0" xfId="0" applyNumberFormat="1" applyAlignment="1">
      <alignment horizontal="right" vertical="center"/>
    </xf>
    <xf numFmtId="49" fontId="10" fillId="6" borderId="2" xfId="16" applyNumberFormat="1" applyFont="1" applyFill="1" applyBorder="1" applyAlignment="1">
      <alignment horizontal="center" vertical="center"/>
    </xf>
    <xf numFmtId="49" fontId="13" fillId="6" borderId="7" xfId="16" applyNumberFormat="1" applyFont="1" applyFill="1" applyBorder="1" applyAlignment="1">
      <alignment horizontal="center" vertical="center"/>
    </xf>
    <xf numFmtId="49" fontId="13" fillId="6" borderId="2" xfId="16" applyNumberFormat="1" applyFont="1" applyFill="1" applyBorder="1" applyAlignment="1">
      <alignment horizontal="center" vertical="center"/>
    </xf>
    <xf numFmtId="49" fontId="13" fillId="6" borderId="5" xfId="16" applyNumberFormat="1" applyFont="1" applyFill="1" applyBorder="1" applyAlignment="1">
      <alignment horizontal="center" vertical="center"/>
    </xf>
    <xf numFmtId="165" fontId="13" fillId="6" borderId="5" xfId="1" applyFont="1" applyFill="1" applyBorder="1" applyAlignment="1">
      <alignment horizontal="center" vertical="center"/>
    </xf>
    <xf numFmtId="165" fontId="13" fillId="6" borderId="7" xfId="1" applyFont="1" applyFill="1" applyBorder="1" applyAlignment="1">
      <alignment horizontal="center" vertical="center"/>
    </xf>
    <xf numFmtId="49" fontId="10" fillId="0" borderId="7" xfId="16" applyNumberFormat="1" applyFont="1" applyBorder="1" applyAlignment="1">
      <alignment horizontal="center" vertical="center"/>
    </xf>
    <xf numFmtId="2" fontId="14" fillId="0" borderId="1" xfId="123" applyNumberFormat="1" applyFont="1" applyFill="1" applyBorder="1" applyAlignment="1">
      <alignment horizontal="center" vertical="center" wrapText="1"/>
    </xf>
    <xf numFmtId="0" fontId="13" fillId="2" borderId="59" xfId="16" applyFont="1" applyFill="1" applyBorder="1" applyAlignment="1">
      <alignment horizontal="center" vertical="center"/>
    </xf>
    <xf numFmtId="0" fontId="13" fillId="2" borderId="59" xfId="16" applyFont="1" applyFill="1" applyBorder="1" applyAlignment="1">
      <alignment vertical="center"/>
    </xf>
    <xf numFmtId="165" fontId="13" fillId="2" borderId="59" xfId="16" applyNumberFormat="1" applyFont="1" applyFill="1" applyBorder="1" applyAlignment="1">
      <alignment vertical="center"/>
    </xf>
    <xf numFmtId="165" fontId="14" fillId="0" borderId="64" xfId="1" quotePrefix="1" applyFont="1" applyFill="1" applyBorder="1" applyAlignment="1">
      <alignment vertical="center"/>
    </xf>
    <xf numFmtId="49" fontId="14" fillId="0" borderId="64" xfId="123" applyNumberFormat="1" applyFont="1" applyFill="1" applyBorder="1" applyAlignment="1">
      <alignment vertical="center"/>
    </xf>
    <xf numFmtId="49" fontId="13" fillId="9" borderId="1" xfId="123" applyNumberFormat="1" applyFont="1" applyFill="1" applyBorder="1" applyAlignment="1">
      <alignment horizontal="center" vertical="center"/>
    </xf>
    <xf numFmtId="0" fontId="16" fillId="0" borderId="67" xfId="0" applyFont="1" applyBorder="1" applyAlignment="1">
      <alignment horizontal="center" vertical="center"/>
    </xf>
    <xf numFmtId="0" fontId="16" fillId="0" borderId="59" xfId="0" applyFont="1" applyBorder="1" applyAlignment="1">
      <alignment horizontal="center" vertical="center"/>
    </xf>
    <xf numFmtId="2" fontId="13" fillId="20" borderId="1" xfId="123" applyNumberFormat="1" applyFont="1" applyFill="1" applyBorder="1" applyAlignment="1">
      <alignment vertical="center" wrapText="1"/>
    </xf>
    <xf numFmtId="49" fontId="13" fillId="6" borderId="67" xfId="123" applyNumberFormat="1" applyFont="1" applyFill="1" applyBorder="1" applyAlignment="1">
      <alignment horizontal="center" vertical="center"/>
    </xf>
    <xf numFmtId="49" fontId="14" fillId="0" borderId="60" xfId="123" applyNumberFormat="1" applyFont="1" applyFill="1" applyBorder="1" applyAlignment="1">
      <alignment horizontal="center" vertical="center"/>
    </xf>
    <xf numFmtId="49" fontId="13" fillId="20" borderId="1" xfId="123" applyNumberFormat="1" applyFont="1" applyFill="1" applyBorder="1" applyAlignment="1">
      <alignment horizontal="center" vertical="center"/>
    </xf>
    <xf numFmtId="49" fontId="14" fillId="20" borderId="1" xfId="123" applyNumberFormat="1" applyFont="1" applyFill="1" applyBorder="1" applyAlignment="1">
      <alignment horizontal="center" vertical="center"/>
    </xf>
    <xf numFmtId="165" fontId="13" fillId="20" borderId="1" xfId="1" applyFont="1" applyFill="1" applyBorder="1" applyAlignment="1">
      <alignment vertical="center"/>
    </xf>
    <xf numFmtId="2" fontId="13" fillId="20" borderId="1" xfId="123" quotePrefix="1" applyNumberFormat="1" applyFont="1" applyFill="1" applyBorder="1" applyAlignment="1">
      <alignment vertical="center" wrapText="1"/>
    </xf>
    <xf numFmtId="0" fontId="36" fillId="2" borderId="71" xfId="0" applyFont="1" applyFill="1" applyBorder="1" applyAlignment="1">
      <alignment vertical="center" wrapText="1"/>
    </xf>
    <xf numFmtId="0" fontId="36" fillId="8" borderId="71" xfId="0" applyFont="1" applyFill="1" applyBorder="1" applyAlignment="1">
      <alignment vertical="center"/>
    </xf>
    <xf numFmtId="43" fontId="43" fillId="8" borderId="92" xfId="188" applyFont="1" applyFill="1" applyBorder="1" applyAlignment="1">
      <alignment vertical="center"/>
    </xf>
    <xf numFmtId="181" fontId="43" fillId="8" borderId="92" xfId="188" applyNumberFormat="1" applyFont="1" applyFill="1" applyBorder="1" applyAlignment="1">
      <alignment horizontal="center" vertical="center"/>
    </xf>
    <xf numFmtId="10" fontId="43" fillId="8" borderId="92" xfId="188" applyNumberFormat="1" applyFont="1" applyFill="1" applyBorder="1" applyAlignment="1">
      <alignment horizontal="center" vertical="center"/>
    </xf>
    <xf numFmtId="43" fontId="43" fillId="8" borderId="60" xfId="188" applyFont="1" applyFill="1" applyBorder="1" applyAlignment="1">
      <alignment horizontal="right" vertical="center"/>
    </xf>
    <xf numFmtId="43" fontId="43" fillId="8" borderId="77" xfId="188" applyFont="1" applyFill="1" applyBorder="1" applyAlignment="1">
      <alignment vertical="center"/>
    </xf>
    <xf numFmtId="181" fontId="43" fillId="8" borderId="77" xfId="188" applyNumberFormat="1" applyFont="1" applyFill="1" applyBorder="1" applyAlignment="1">
      <alignment horizontal="center" vertical="center"/>
    </xf>
    <xf numFmtId="10" fontId="43" fillId="8" borderId="77" xfId="188" applyNumberFormat="1" applyFont="1" applyFill="1" applyBorder="1" applyAlignment="1">
      <alignment horizontal="center" vertical="center"/>
    </xf>
    <xf numFmtId="43" fontId="43" fillId="8" borderId="78" xfId="188" applyFont="1" applyFill="1" applyBorder="1" applyAlignment="1">
      <alignment horizontal="right" vertical="center"/>
    </xf>
    <xf numFmtId="0" fontId="36" fillId="8" borderId="71" xfId="0" applyFont="1" applyFill="1" applyBorder="1" applyAlignment="1">
      <alignment vertical="center" wrapText="1"/>
    </xf>
    <xf numFmtId="43" fontId="43" fillId="8" borderId="66" xfId="188" applyFont="1" applyFill="1" applyBorder="1" applyAlignment="1">
      <alignment vertical="center"/>
    </xf>
    <xf numFmtId="181" fontId="43" fillId="8" borderId="37" xfId="188" applyNumberFormat="1" applyFont="1" applyFill="1" applyBorder="1" applyAlignment="1">
      <alignment horizontal="center" vertical="center"/>
    </xf>
    <xf numFmtId="0" fontId="44" fillId="8" borderId="80" xfId="0" applyFont="1" applyFill="1" applyBorder="1" applyAlignment="1">
      <alignment vertical="center"/>
    </xf>
    <xf numFmtId="43" fontId="45" fillId="8" borderId="81" xfId="188" applyFont="1" applyFill="1" applyBorder="1" applyAlignment="1">
      <alignment vertical="center"/>
    </xf>
    <xf numFmtId="181" fontId="45" fillId="8" borderId="81" xfId="188" applyNumberFormat="1" applyFont="1" applyFill="1" applyBorder="1" applyAlignment="1">
      <alignment horizontal="center" vertical="center"/>
    </xf>
    <xf numFmtId="10" fontId="45" fillId="8" borderId="81" xfId="188" applyNumberFormat="1" applyFont="1" applyFill="1" applyBorder="1" applyAlignment="1">
      <alignment horizontal="center" vertical="center"/>
    </xf>
    <xf numFmtId="43" fontId="45" fillId="8" borderId="82" xfId="188" applyFont="1" applyFill="1" applyBorder="1" applyAlignment="1">
      <alignment horizontal="right" vertical="center"/>
    </xf>
    <xf numFmtId="165" fontId="14" fillId="3" borderId="1" xfId="1" applyFont="1" applyFill="1" applyBorder="1" applyAlignment="1">
      <alignment vertical="center"/>
    </xf>
    <xf numFmtId="0" fontId="14" fillId="0" borderId="0" xfId="16" applyFont="1" applyAlignment="1">
      <alignment horizontal="right" vertical="center"/>
    </xf>
    <xf numFmtId="2" fontId="27" fillId="15" borderId="1" xfId="123" applyNumberFormat="1" applyFont="1" applyFill="1" applyBorder="1" applyAlignment="1">
      <alignment vertical="center" wrapText="1"/>
    </xf>
    <xf numFmtId="49" fontId="35" fillId="15" borderId="1" xfId="16" applyNumberFormat="1" applyFont="1" applyFill="1" applyBorder="1" applyAlignment="1">
      <alignment horizontal="center" vertical="center"/>
    </xf>
    <xf numFmtId="0" fontId="3" fillId="0" borderId="0" xfId="16"/>
    <xf numFmtId="0" fontId="22" fillId="0" borderId="0" xfId="16" applyFont="1" applyAlignment="1">
      <alignment horizontal="center" vertical="center"/>
    </xf>
    <xf numFmtId="0" fontId="6" fillId="2" borderId="48" xfId="241" applyFont="1" applyFill="1" applyBorder="1" applyAlignment="1">
      <alignment horizontal="center" vertical="center" wrapText="1"/>
    </xf>
    <xf numFmtId="0" fontId="6" fillId="0" borderId="48" xfId="241" applyFont="1" applyBorder="1" applyAlignment="1">
      <alignment horizontal="center" vertical="center"/>
    </xf>
    <xf numFmtId="0" fontId="6" fillId="0" borderId="48" xfId="241" applyFont="1" applyBorder="1" applyAlignment="1">
      <alignment horizontal="center" vertical="center" wrapText="1"/>
    </xf>
    <xf numFmtId="0" fontId="17" fillId="0" borderId="48" xfId="16" applyFont="1" applyBorder="1" applyAlignment="1">
      <alignment horizontal="left" vertical="center" wrapText="1"/>
    </xf>
    <xf numFmtId="0" fontId="17" fillId="3" borderId="48" xfId="16" applyFont="1" applyFill="1" applyBorder="1" applyAlignment="1">
      <alignment horizontal="center" vertical="center"/>
    </xf>
    <xf numFmtId="0" fontId="43" fillId="3" borderId="48" xfId="241" applyFont="1" applyFill="1" applyBorder="1" applyAlignment="1">
      <alignment horizontal="justify" vertical="center" wrapText="1"/>
    </xf>
    <xf numFmtId="0" fontId="43" fillId="3" borderId="48" xfId="241" applyFont="1" applyFill="1" applyBorder="1" applyAlignment="1">
      <alignment horizontal="center" vertical="center"/>
    </xf>
    <xf numFmtId="4" fontId="43" fillId="3" borderId="48" xfId="241" applyNumberFormat="1" applyFont="1" applyFill="1" applyBorder="1" applyAlignment="1">
      <alignment horizontal="right" vertical="center"/>
    </xf>
    <xf numFmtId="4" fontId="43" fillId="3" borderId="48" xfId="241" applyNumberFormat="1" applyFont="1" applyFill="1" applyBorder="1" applyAlignment="1">
      <alignment vertical="center"/>
    </xf>
    <xf numFmtId="0" fontId="43" fillId="3" borderId="48" xfId="16" applyFont="1" applyFill="1" applyBorder="1" applyAlignment="1">
      <alignment horizontal="center" vertical="center"/>
    </xf>
    <xf numFmtId="2" fontId="43" fillId="3" borderId="48" xfId="123" applyNumberFormat="1" applyFont="1" applyFill="1" applyBorder="1" applyAlignment="1">
      <alignment horizontal="justify" vertical="center" wrapText="1"/>
    </xf>
    <xf numFmtId="49" fontId="43" fillId="3" borderId="48" xfId="123" applyNumberFormat="1" applyFont="1" applyFill="1" applyBorder="1" applyAlignment="1">
      <alignment horizontal="center" vertical="center"/>
    </xf>
    <xf numFmtId="165" fontId="43" fillId="3" borderId="48" xfId="1" quotePrefix="1" applyFont="1" applyFill="1" applyBorder="1" applyAlignment="1">
      <alignment vertical="center"/>
    </xf>
    <xf numFmtId="2" fontId="17" fillId="3" borderId="48" xfId="240" applyNumberFormat="1" applyFont="1" applyFill="1" applyBorder="1" applyAlignment="1">
      <alignment horizontal="justify" vertical="center" wrapText="1"/>
    </xf>
    <xf numFmtId="0" fontId="43" fillId="0" borderId="48" xfId="242" applyFont="1" applyBorder="1" applyAlignment="1">
      <alignment horizontal="justify" vertical="center" wrapText="1"/>
    </xf>
    <xf numFmtId="0" fontId="17" fillId="0" borderId="48" xfId="242" applyFont="1" applyBorder="1" applyAlignment="1">
      <alignment horizontal="justify" vertical="center" wrapText="1"/>
    </xf>
    <xf numFmtId="49" fontId="43" fillId="3" borderId="48" xfId="241" applyNumberFormat="1" applyFont="1" applyFill="1" applyBorder="1" applyAlignment="1">
      <alignment horizontal="left" vertical="center" wrapText="1"/>
    </xf>
    <xf numFmtId="0" fontId="17" fillId="3" borderId="48" xfId="241" applyFont="1" applyFill="1" applyBorder="1" applyAlignment="1">
      <alignment horizontal="left" vertical="center" wrapText="1"/>
    </xf>
    <xf numFmtId="4" fontId="17" fillId="3" borderId="48" xfId="241" applyNumberFormat="1" applyFont="1" applyFill="1" applyBorder="1" applyAlignment="1">
      <alignment vertical="center"/>
    </xf>
    <xf numFmtId="0" fontId="43" fillId="3" borderId="48" xfId="241" applyFont="1" applyFill="1" applyBorder="1" applyAlignment="1">
      <alignment horizontal="left" vertical="center" wrapText="1"/>
    </xf>
    <xf numFmtId="4" fontId="38" fillId="0" borderId="0" xfId="16" quotePrefix="1" applyNumberFormat="1" applyFont="1"/>
    <xf numFmtId="2" fontId="43" fillId="3" borderId="48" xfId="240" applyNumberFormat="1" applyFont="1" applyFill="1" applyBorder="1" applyAlignment="1">
      <alignment horizontal="justify" vertical="center" wrapText="1"/>
    </xf>
    <xf numFmtId="2" fontId="43" fillId="3" borderId="48" xfId="240" applyNumberFormat="1" applyFont="1" applyFill="1" applyBorder="1" applyAlignment="1">
      <alignment horizontal="center" vertical="center"/>
    </xf>
    <xf numFmtId="4" fontId="43" fillId="3" borderId="48" xfId="0" applyNumberFormat="1" applyFont="1" applyFill="1" applyBorder="1" applyAlignment="1">
      <alignment horizontal="right" vertical="center"/>
    </xf>
    <xf numFmtId="0" fontId="50" fillId="0" borderId="0" xfId="0" applyFont="1"/>
    <xf numFmtId="0" fontId="43" fillId="0" borderId="48" xfId="242" applyFont="1" applyBorder="1" applyAlignment="1">
      <alignment horizontal="right" vertical="center" wrapText="1"/>
    </xf>
    <xf numFmtId="2" fontId="43" fillId="3" borderId="48" xfId="241" applyNumberFormat="1" applyFont="1" applyFill="1" applyBorder="1" applyAlignment="1">
      <alignment horizontal="center" vertical="center"/>
    </xf>
    <xf numFmtId="0" fontId="43" fillId="3" borderId="48" xfId="241" applyFont="1" applyFill="1" applyBorder="1" applyAlignment="1">
      <alignment horizontal="center" vertical="center" wrapText="1"/>
    </xf>
    <xf numFmtId="4" fontId="43" fillId="3" borderId="48" xfId="16" applyNumberFormat="1" applyFont="1" applyFill="1" applyBorder="1" applyAlignment="1">
      <alignment horizontal="right" vertical="center"/>
    </xf>
    <xf numFmtId="2" fontId="43" fillId="3" borderId="48" xfId="240" applyNumberFormat="1" applyFont="1" applyFill="1" applyBorder="1" applyAlignment="1">
      <alignment horizontal="right" vertical="center"/>
    </xf>
    <xf numFmtId="49" fontId="43" fillId="3" borderId="48" xfId="241" applyNumberFormat="1" applyFont="1" applyFill="1" applyBorder="1" applyAlignment="1">
      <alignment horizontal="right" vertical="center" wrapText="1"/>
    </xf>
    <xf numFmtId="4" fontId="43" fillId="3" borderId="48" xfId="16" applyNumberFormat="1" applyFont="1" applyFill="1" applyBorder="1" applyAlignment="1">
      <alignment horizontal="left" vertical="center"/>
    </xf>
    <xf numFmtId="0" fontId="43" fillId="3" borderId="48" xfId="240" applyFont="1" applyFill="1" applyBorder="1" applyAlignment="1">
      <alignment horizontal="center" vertical="center"/>
    </xf>
    <xf numFmtId="0" fontId="43" fillId="3" borderId="48" xfId="240" applyFont="1" applyFill="1" applyBorder="1" applyAlignment="1">
      <alignment horizontal="right" vertical="center" wrapText="1"/>
    </xf>
    <xf numFmtId="3" fontId="43" fillId="3" borderId="48" xfId="240" applyNumberFormat="1" applyFont="1" applyFill="1" applyBorder="1" applyAlignment="1">
      <alignment horizontal="center" vertical="center"/>
    </xf>
    <xf numFmtId="2" fontId="43" fillId="3" borderId="48" xfId="240" applyNumberFormat="1" applyFont="1" applyFill="1" applyBorder="1" applyAlignment="1">
      <alignment vertical="center"/>
    </xf>
    <xf numFmtId="4" fontId="17" fillId="21" borderId="48" xfId="241" applyNumberFormat="1" applyFont="1" applyFill="1" applyBorder="1" applyAlignment="1">
      <alignment vertical="center"/>
    </xf>
    <xf numFmtId="0" fontId="43" fillId="0" borderId="48" xfId="16" applyFont="1" applyBorder="1" applyAlignment="1">
      <alignment horizontal="center" vertical="center"/>
    </xf>
    <xf numFmtId="0" fontId="43" fillId="0" borderId="48" xfId="240" applyFont="1" applyBorder="1" applyAlignment="1">
      <alignment vertical="center" wrapText="1"/>
    </xf>
    <xf numFmtId="0" fontId="43" fillId="0" borderId="48" xfId="240" applyFont="1" applyBorder="1" applyAlignment="1">
      <alignment horizontal="center" vertical="center"/>
    </xf>
    <xf numFmtId="4" fontId="43" fillId="0" borderId="48" xfId="16" applyNumberFormat="1" applyFont="1" applyBorder="1" applyAlignment="1">
      <alignment horizontal="right" vertical="center"/>
    </xf>
    <xf numFmtId="2" fontId="43" fillId="0" borderId="48" xfId="240" applyNumberFormat="1" applyFont="1" applyBorder="1" applyAlignment="1">
      <alignment vertical="center"/>
    </xf>
    <xf numFmtId="4" fontId="43" fillId="0" borderId="48" xfId="241" applyNumberFormat="1" applyFont="1" applyBorder="1" applyAlignment="1">
      <alignment vertical="center"/>
    </xf>
    <xf numFmtId="0" fontId="24" fillId="0" borderId="0" xfId="241" applyAlignment="1">
      <alignment vertical="center"/>
    </xf>
    <xf numFmtId="165" fontId="35" fillId="9" borderId="1" xfId="1" applyFont="1" applyFill="1" applyBorder="1" applyAlignment="1">
      <alignment vertical="center"/>
    </xf>
    <xf numFmtId="0" fontId="17" fillId="18" borderId="48" xfId="16" applyFont="1" applyFill="1" applyBorder="1" applyAlignment="1">
      <alignment horizontal="center" vertical="center"/>
    </xf>
    <xf numFmtId="40" fontId="0" fillId="0" borderId="0" xfId="0" applyNumberFormat="1" applyAlignment="1">
      <alignment vertical="center"/>
    </xf>
    <xf numFmtId="165" fontId="14" fillId="4" borderId="59" xfId="1" applyFont="1" applyFill="1" applyBorder="1" applyAlignment="1">
      <alignment vertical="center"/>
    </xf>
    <xf numFmtId="165" fontId="13" fillId="22" borderId="1" xfId="1" applyFont="1" applyFill="1" applyBorder="1" applyAlignment="1">
      <alignment vertical="center"/>
    </xf>
    <xf numFmtId="165" fontId="35" fillId="4" borderId="1" xfId="1" applyFont="1" applyFill="1" applyBorder="1" applyAlignment="1">
      <alignment vertical="center"/>
    </xf>
    <xf numFmtId="165" fontId="14" fillId="3" borderId="1" xfId="1" quotePrefix="1" applyFont="1" applyFill="1" applyBorder="1" applyAlignment="1">
      <alignment vertical="center"/>
    </xf>
    <xf numFmtId="4" fontId="35" fillId="15" borderId="1" xfId="16" applyNumberFormat="1" applyFont="1" applyFill="1" applyBorder="1" applyAlignment="1">
      <alignment horizontal="right" vertical="center"/>
    </xf>
    <xf numFmtId="165" fontId="14" fillId="18" borderId="1" xfId="1" quotePrefix="1" applyFont="1" applyFill="1" applyBorder="1" applyAlignment="1">
      <alignment vertical="center"/>
    </xf>
    <xf numFmtId="165" fontId="14" fillId="18" borderId="1" xfId="1" applyFont="1" applyFill="1" applyBorder="1" applyAlignment="1">
      <alignment vertical="center"/>
    </xf>
    <xf numFmtId="165" fontId="35" fillId="18" borderId="1" xfId="1" applyFont="1" applyFill="1" applyBorder="1" applyAlignment="1">
      <alignment vertical="center"/>
    </xf>
    <xf numFmtId="0" fontId="43" fillId="0" borderId="0" xfId="16" applyFont="1" applyAlignment="1">
      <alignment horizontal="center"/>
    </xf>
    <xf numFmtId="10" fontId="43" fillId="3" borderId="48" xfId="242" applyNumberFormat="1" applyFont="1" applyFill="1" applyBorder="1" applyAlignment="1">
      <alignment vertical="center"/>
    </xf>
    <xf numFmtId="4" fontId="43" fillId="0" borderId="0" xfId="16" applyNumberFormat="1" applyFont="1"/>
    <xf numFmtId="4" fontId="17" fillId="0" borderId="0" xfId="16" applyNumberFormat="1" applyFont="1"/>
    <xf numFmtId="0" fontId="36" fillId="16" borderId="101" xfId="0" applyFont="1" applyFill="1" applyBorder="1" applyAlignment="1">
      <alignment vertical="center"/>
    </xf>
    <xf numFmtId="43" fontId="43" fillId="16" borderId="102" xfId="188" applyFont="1" applyFill="1" applyBorder="1" applyAlignment="1">
      <alignment vertical="center"/>
    </xf>
    <xf numFmtId="43" fontId="43" fillId="16" borderId="103" xfId="188" applyFont="1" applyFill="1" applyBorder="1" applyAlignment="1">
      <alignment horizontal="right" vertical="center"/>
    </xf>
    <xf numFmtId="4" fontId="17" fillId="17" borderId="105" xfId="0" applyNumberFormat="1" applyFont="1" applyFill="1" applyBorder="1" applyAlignment="1">
      <alignment vertical="center"/>
    </xf>
    <xf numFmtId="4" fontId="17" fillId="17" borderId="105" xfId="0" applyNumberFormat="1" applyFont="1" applyFill="1" applyBorder="1" applyAlignment="1">
      <alignment horizontal="center" vertical="center"/>
    </xf>
    <xf numFmtId="4" fontId="17" fillId="17" borderId="106" xfId="0" applyNumberFormat="1" applyFont="1" applyFill="1" applyBorder="1" applyAlignment="1">
      <alignment horizontal="center" vertical="center"/>
    </xf>
    <xf numFmtId="49" fontId="51" fillId="0" borderId="22" xfId="0" applyNumberFormat="1" applyFont="1" applyBorder="1" applyAlignment="1">
      <alignment vertical="center"/>
    </xf>
    <xf numFmtId="186" fontId="0" fillId="0" borderId="0" xfId="0" applyNumberFormat="1"/>
    <xf numFmtId="2" fontId="14" fillId="4" borderId="1" xfId="123" applyNumberFormat="1" applyFont="1" applyFill="1" applyBorder="1" applyAlignment="1">
      <alignment vertical="center" wrapText="1"/>
    </xf>
    <xf numFmtId="2" fontId="14" fillId="4" borderId="1" xfId="2" applyNumberFormat="1" applyFont="1" applyFill="1" applyBorder="1" applyAlignment="1">
      <alignment vertical="center" wrapText="1"/>
    </xf>
    <xf numFmtId="2" fontId="14" fillId="4" borderId="1" xfId="123" quotePrefix="1" applyNumberFormat="1" applyFont="1" applyFill="1" applyBorder="1" applyAlignment="1">
      <alignment vertical="center" wrapText="1"/>
    </xf>
    <xf numFmtId="2" fontId="14" fillId="4" borderId="1" xfId="123" applyNumberFormat="1" applyFont="1" applyFill="1" applyBorder="1" applyAlignment="1" applyProtection="1">
      <alignment vertical="center" wrapText="1"/>
    </xf>
    <xf numFmtId="49" fontId="14" fillId="4" borderId="1" xfId="123" applyNumberFormat="1" applyFont="1" applyFill="1" applyBorder="1" applyAlignment="1" applyProtection="1">
      <alignment horizontal="center" vertical="center"/>
    </xf>
    <xf numFmtId="49" fontId="35" fillId="2" borderId="1" xfId="123" applyNumberFormat="1" applyFont="1" applyFill="1" applyBorder="1" applyAlignment="1">
      <alignment horizontal="center" vertical="center"/>
    </xf>
    <xf numFmtId="165" fontId="14" fillId="19" borderId="59" xfId="1" applyFont="1" applyFill="1" applyBorder="1" applyAlignment="1">
      <alignment vertical="center"/>
    </xf>
    <xf numFmtId="165" fontId="35" fillId="4" borderId="1" xfId="1" quotePrefix="1" applyFont="1" applyFill="1" applyBorder="1" applyAlignment="1">
      <alignment vertical="center"/>
    </xf>
    <xf numFmtId="165" fontId="29" fillId="5" borderId="107" xfId="1" applyFont="1" applyFill="1" applyBorder="1" applyAlignment="1">
      <alignment horizontal="center" vertical="center"/>
    </xf>
    <xf numFmtId="165" fontId="0" fillId="0" borderId="0" xfId="1" applyFont="1" applyAlignment="1">
      <alignment horizontal="center"/>
    </xf>
    <xf numFmtId="165" fontId="35" fillId="0" borderId="59" xfId="1" applyFont="1" applyFill="1" applyBorder="1" applyAlignment="1">
      <alignment vertical="center"/>
    </xf>
    <xf numFmtId="165" fontId="27" fillId="2" borderId="1" xfId="1" quotePrefix="1" applyFont="1" applyFill="1" applyBorder="1" applyAlignment="1">
      <alignment vertical="center"/>
    </xf>
    <xf numFmtId="165" fontId="3" fillId="0" borderId="108" xfId="1" applyFont="1" applyBorder="1"/>
    <xf numFmtId="165" fontId="3" fillId="0" borderId="0" xfId="1" applyFont="1" applyBorder="1"/>
    <xf numFmtId="49" fontId="14" fillId="23" borderId="1" xfId="123" applyNumberFormat="1" applyFont="1" applyFill="1" applyBorder="1" applyAlignment="1">
      <alignment horizontal="center" vertical="center"/>
    </xf>
    <xf numFmtId="49" fontId="13" fillId="23" borderId="1" xfId="123" applyNumberFormat="1" applyFont="1" applyFill="1" applyBorder="1" applyAlignment="1">
      <alignment horizontal="center" vertical="center"/>
    </xf>
    <xf numFmtId="0" fontId="16" fillId="23" borderId="59" xfId="0" applyFont="1" applyFill="1" applyBorder="1" applyAlignment="1">
      <alignment horizontal="center" vertical="center"/>
    </xf>
    <xf numFmtId="0" fontId="0" fillId="0" borderId="0" xfId="0" applyAlignment="1">
      <alignment horizontal="left" vertical="center"/>
    </xf>
    <xf numFmtId="0" fontId="36" fillId="0" borderId="0" xfId="0" quotePrefix="1" applyFont="1" applyAlignment="1">
      <alignment horizontal="left"/>
    </xf>
    <xf numFmtId="0" fontId="36" fillId="0" borderId="0" xfId="0" quotePrefix="1" applyFont="1" applyAlignment="1">
      <alignment horizontal="left" vertical="center"/>
    </xf>
    <xf numFmtId="0" fontId="36" fillId="0" borderId="0" xfId="0" applyFont="1" applyAlignment="1">
      <alignment horizontal="left"/>
    </xf>
    <xf numFmtId="165" fontId="0" fillId="0" borderId="0" xfId="0" applyNumberFormat="1" applyAlignment="1">
      <alignment horizontal="center"/>
    </xf>
    <xf numFmtId="4" fontId="43" fillId="9" borderId="0" xfId="16" applyNumberFormat="1" applyFont="1" applyFill="1"/>
    <xf numFmtId="2" fontId="3" fillId="18" borderId="0" xfId="16" applyNumberFormat="1" applyFill="1"/>
    <xf numFmtId="0" fontId="43" fillId="3" borderId="48" xfId="241" applyFont="1" applyFill="1" applyBorder="1" applyAlignment="1">
      <alignment horizontal="right" vertical="center" wrapText="1"/>
    </xf>
    <xf numFmtId="43" fontId="10" fillId="0" borderId="48" xfId="16" applyNumberFormat="1" applyFont="1" applyBorder="1" applyAlignment="1">
      <alignment vertical="center"/>
    </xf>
    <xf numFmtId="165" fontId="10" fillId="0" borderId="48" xfId="16" applyNumberFormat="1" applyFont="1" applyBorder="1" applyAlignment="1">
      <alignment vertical="center"/>
    </xf>
    <xf numFmtId="43" fontId="52" fillId="9" borderId="0" xfId="16" applyNumberFormat="1" applyFont="1" applyFill="1" applyAlignment="1">
      <alignment vertical="center"/>
    </xf>
    <xf numFmtId="0" fontId="53" fillId="0" borderId="0" xfId="16" applyFont="1" applyAlignment="1">
      <alignment horizontal="right" vertical="center"/>
    </xf>
    <xf numFmtId="165" fontId="53" fillId="0" borderId="0" xfId="16" applyNumberFormat="1" applyFont="1" applyAlignment="1">
      <alignment vertical="center"/>
    </xf>
    <xf numFmtId="43" fontId="52" fillId="0" borderId="48" xfId="16" applyNumberFormat="1" applyFont="1" applyBorder="1" applyAlignment="1">
      <alignment vertical="center"/>
    </xf>
    <xf numFmtId="49" fontId="13" fillId="0" borderId="1" xfId="123" applyNumberFormat="1" applyFont="1" applyFill="1" applyBorder="1" applyAlignment="1">
      <alignment vertical="center"/>
    </xf>
    <xf numFmtId="172" fontId="13" fillId="0" borderId="1" xfId="123" applyNumberFormat="1" applyFont="1" applyFill="1" applyBorder="1" applyAlignment="1">
      <alignment horizontal="center" vertical="center"/>
    </xf>
    <xf numFmtId="0" fontId="0" fillId="9" borderId="99" xfId="0" applyFill="1" applyBorder="1"/>
    <xf numFmtId="0" fontId="0" fillId="9" borderId="27" xfId="0" applyFill="1" applyBorder="1"/>
    <xf numFmtId="0" fontId="0" fillId="9" borderId="95" xfId="0" applyFill="1" applyBorder="1"/>
    <xf numFmtId="4" fontId="13" fillId="0" borderId="0" xfId="16" applyNumberFormat="1" applyFont="1" applyAlignment="1">
      <alignment vertical="center"/>
    </xf>
    <xf numFmtId="4" fontId="14" fillId="0" borderId="0" xfId="16" applyNumberFormat="1" applyFont="1" applyAlignment="1">
      <alignment vertical="center"/>
    </xf>
    <xf numFmtId="177" fontId="14" fillId="0" borderId="0" xfId="239" applyNumberFormat="1" applyFont="1" applyAlignment="1">
      <alignment vertical="center"/>
    </xf>
    <xf numFmtId="177" fontId="13" fillId="9" borderId="0" xfId="16" applyNumberFormat="1" applyFont="1" applyFill="1" applyAlignment="1">
      <alignment vertical="center"/>
    </xf>
    <xf numFmtId="0" fontId="14" fillId="9" borderId="0" xfId="16" applyFont="1" applyFill="1" applyAlignment="1">
      <alignment horizontal="right" vertical="center"/>
    </xf>
    <xf numFmtId="0" fontId="13" fillId="9" borderId="46" xfId="16" applyFont="1" applyFill="1" applyBorder="1" applyAlignment="1">
      <alignment vertical="center"/>
    </xf>
    <xf numFmtId="0" fontId="14" fillId="9" borderId="46" xfId="16" applyFont="1" applyFill="1" applyBorder="1" applyAlignment="1">
      <alignment vertical="center"/>
    </xf>
    <xf numFmtId="0" fontId="14" fillId="9" borderId="100" xfId="16" applyFont="1" applyFill="1" applyBorder="1" applyAlignment="1">
      <alignment vertical="center"/>
    </xf>
    <xf numFmtId="0" fontId="14" fillId="9" borderId="28" xfId="16" applyFont="1" applyFill="1" applyBorder="1" applyAlignment="1">
      <alignment vertical="center"/>
    </xf>
    <xf numFmtId="0" fontId="14" fillId="9" borderId="22" xfId="16" applyFont="1" applyFill="1" applyBorder="1" applyAlignment="1">
      <alignment vertical="center"/>
    </xf>
    <xf numFmtId="0" fontId="14" fillId="9" borderId="96" xfId="16" applyFont="1" applyFill="1" applyBorder="1" applyAlignment="1">
      <alignment vertical="center"/>
    </xf>
    <xf numFmtId="0" fontId="0" fillId="13" borderId="30" xfId="0" applyFill="1" applyBorder="1"/>
    <xf numFmtId="0" fontId="14" fillId="13" borderId="56" xfId="16" applyFont="1" applyFill="1" applyBorder="1" applyAlignment="1">
      <alignment vertical="center"/>
    </xf>
    <xf numFmtId="0" fontId="14" fillId="13" borderId="55" xfId="16" applyFont="1" applyFill="1" applyBorder="1" applyAlignment="1">
      <alignment vertical="center"/>
    </xf>
    <xf numFmtId="0" fontId="0" fillId="24" borderId="30" xfId="0" applyFill="1" applyBorder="1"/>
    <xf numFmtId="0" fontId="14" fillId="24" borderId="56" xfId="16" applyFont="1" applyFill="1" applyBorder="1" applyAlignment="1">
      <alignment vertical="center"/>
    </xf>
    <xf numFmtId="0" fontId="13" fillId="24" borderId="56" xfId="16" applyFont="1" applyFill="1" applyBorder="1" applyAlignment="1">
      <alignment vertical="center"/>
    </xf>
    <xf numFmtId="0" fontId="13" fillId="24" borderId="55" xfId="16" applyFont="1" applyFill="1" applyBorder="1" applyAlignment="1">
      <alignment vertical="center"/>
    </xf>
    <xf numFmtId="4" fontId="14" fillId="13" borderId="1" xfId="123" applyNumberFormat="1" applyFont="1" applyFill="1" applyBorder="1" applyAlignment="1">
      <alignment horizontal="right" vertical="center"/>
    </xf>
    <xf numFmtId="4" fontId="14" fillId="0" borderId="1" xfId="123" applyNumberFormat="1" applyFont="1" applyFill="1" applyBorder="1" applyAlignment="1">
      <alignment horizontal="right" vertical="center"/>
    </xf>
    <xf numFmtId="165" fontId="13" fillId="13" borderId="1" xfId="1" applyFont="1" applyFill="1" applyBorder="1" applyAlignment="1">
      <alignment vertical="center"/>
    </xf>
    <xf numFmtId="165" fontId="13" fillId="13" borderId="59" xfId="16" applyNumberFormat="1" applyFont="1" applyFill="1" applyBorder="1" applyAlignment="1">
      <alignment vertical="center"/>
    </xf>
    <xf numFmtId="4" fontId="14" fillId="2" borderId="1" xfId="123" applyNumberFormat="1" applyFont="1" applyFill="1" applyBorder="1" applyAlignment="1">
      <alignment horizontal="right" vertical="center"/>
    </xf>
    <xf numFmtId="177" fontId="14" fillId="9" borderId="0" xfId="239" applyNumberFormat="1" applyFont="1" applyFill="1" applyBorder="1" applyAlignment="1">
      <alignment vertical="center"/>
    </xf>
    <xf numFmtId="177" fontId="14" fillId="13" borderId="0" xfId="239" applyNumberFormat="1" applyFont="1" applyFill="1" applyAlignment="1">
      <alignment vertical="center"/>
    </xf>
    <xf numFmtId="4" fontId="14" fillId="24" borderId="1" xfId="123" applyNumberFormat="1" applyFont="1" applyFill="1" applyBorder="1" applyAlignment="1">
      <alignment horizontal="right" vertical="center"/>
    </xf>
    <xf numFmtId="165" fontId="13" fillId="2" borderId="1" xfId="1" quotePrefix="1" applyFont="1" applyFill="1" applyBorder="1" applyAlignment="1">
      <alignment horizontal="right" vertical="center"/>
    </xf>
    <xf numFmtId="165" fontId="14" fillId="13" borderId="1" xfId="1" quotePrefix="1" applyFont="1" applyFill="1" applyBorder="1" applyAlignment="1">
      <alignment vertical="center"/>
    </xf>
    <xf numFmtId="172" fontId="14" fillId="2" borderId="1" xfId="123" applyNumberFormat="1" applyFont="1" applyFill="1" applyBorder="1" applyAlignment="1">
      <alignment horizontal="right" vertical="center"/>
    </xf>
    <xf numFmtId="4" fontId="14" fillId="6" borderId="1" xfId="123" applyNumberFormat="1" applyFont="1" applyFill="1" applyBorder="1" applyAlignment="1">
      <alignment horizontal="right" vertical="center"/>
    </xf>
    <xf numFmtId="165" fontId="13" fillId="18" borderId="1" xfId="1" applyFont="1" applyFill="1" applyBorder="1" applyAlignment="1">
      <alignment vertical="center"/>
    </xf>
    <xf numFmtId="4" fontId="14" fillId="0" borderId="59" xfId="123" applyNumberFormat="1" applyFont="1" applyFill="1" applyBorder="1" applyAlignment="1">
      <alignment horizontal="right" vertical="center"/>
    </xf>
    <xf numFmtId="4" fontId="14" fillId="18" borderId="1" xfId="123" applyNumberFormat="1" applyFont="1" applyFill="1" applyBorder="1" applyAlignment="1">
      <alignment horizontal="right" vertical="center"/>
    </xf>
    <xf numFmtId="165" fontId="14" fillId="0" borderId="1" xfId="123" applyFont="1" applyFill="1" applyBorder="1" applyAlignment="1">
      <alignment horizontal="center" vertical="center"/>
    </xf>
    <xf numFmtId="165" fontId="14" fillId="0" borderId="1" xfId="123" applyFont="1" applyFill="1" applyBorder="1" applyAlignment="1">
      <alignment horizontal="right" vertical="center"/>
    </xf>
    <xf numFmtId="165" fontId="13" fillId="24" borderId="1" xfId="1" quotePrefix="1" applyFont="1" applyFill="1" applyBorder="1" applyAlignment="1">
      <alignment vertical="center"/>
    </xf>
    <xf numFmtId="165" fontId="13" fillId="24" borderId="1" xfId="1" applyFont="1" applyFill="1" applyBorder="1" applyAlignment="1">
      <alignment vertical="center"/>
    </xf>
    <xf numFmtId="0" fontId="55" fillId="9" borderId="30" xfId="16" applyFont="1" applyFill="1" applyBorder="1" applyAlignment="1">
      <alignment vertical="center"/>
    </xf>
    <xf numFmtId="0" fontId="10" fillId="9" borderId="56" xfId="16" applyFont="1" applyFill="1" applyBorder="1" applyAlignment="1">
      <alignment vertical="center"/>
    </xf>
    <xf numFmtId="0" fontId="10" fillId="9" borderId="55" xfId="16" applyFont="1" applyFill="1" applyBorder="1" applyAlignment="1">
      <alignment vertical="center"/>
    </xf>
    <xf numFmtId="165" fontId="13" fillId="18" borderId="1" xfId="1" quotePrefix="1" applyFont="1" applyFill="1" applyBorder="1" applyAlignment="1">
      <alignment vertical="center"/>
    </xf>
    <xf numFmtId="165" fontId="14" fillId="18" borderId="59" xfId="1" applyFont="1" applyFill="1" applyBorder="1" applyAlignment="1">
      <alignment vertical="center"/>
    </xf>
    <xf numFmtId="4" fontId="35" fillId="18" borderId="1" xfId="16" applyNumberFormat="1" applyFont="1" applyFill="1" applyBorder="1" applyAlignment="1">
      <alignment horizontal="right" vertical="center"/>
    </xf>
    <xf numFmtId="0" fontId="57" fillId="25" borderId="110" xfId="0" applyFont="1" applyFill="1" applyBorder="1" applyAlignment="1">
      <alignment horizontal="center" vertical="center"/>
    </xf>
    <xf numFmtId="0" fontId="57" fillId="25" borderId="111" xfId="0" applyFont="1" applyFill="1" applyBorder="1" applyAlignment="1">
      <alignment horizontal="center" vertical="center" wrapText="1"/>
    </xf>
    <xf numFmtId="0" fontId="57" fillId="25" borderId="112" xfId="0" applyFont="1" applyFill="1" applyBorder="1" applyAlignment="1">
      <alignment horizontal="center" vertical="center" wrapText="1"/>
    </xf>
    <xf numFmtId="0" fontId="58" fillId="0" borderId="0" xfId="0" applyFont="1" applyAlignment="1">
      <alignment horizontal="center" vertical="center" wrapText="1"/>
    </xf>
    <xf numFmtId="0" fontId="58" fillId="26" borderId="116" xfId="0" applyFont="1" applyFill="1" applyBorder="1" applyAlignment="1">
      <alignment horizontal="center" vertical="center" wrapText="1"/>
    </xf>
    <xf numFmtId="0" fontId="58" fillId="0" borderId="0" xfId="0" applyFont="1" applyAlignment="1">
      <alignment horizontal="center" vertical="center"/>
    </xf>
    <xf numFmtId="4" fontId="58" fillId="0" borderId="0" xfId="0" applyNumberFormat="1" applyFont="1" applyAlignment="1">
      <alignment horizontal="center" vertical="center"/>
    </xf>
    <xf numFmtId="3" fontId="58" fillId="0" borderId="117" xfId="0" applyNumberFormat="1" applyFont="1" applyBorder="1" applyAlignment="1">
      <alignment horizontal="center" vertical="center" wrapText="1"/>
    </xf>
    <xf numFmtId="0" fontId="58" fillId="0" borderId="109" xfId="0" applyFont="1" applyBorder="1" applyAlignment="1">
      <alignment horizontal="center" vertical="center" wrapText="1"/>
    </xf>
    <xf numFmtId="40" fontId="0" fillId="0" borderId="0" xfId="0" applyNumberFormat="1"/>
    <xf numFmtId="0" fontId="58" fillId="26" borderId="120" xfId="0" applyFont="1" applyFill="1" applyBorder="1" applyAlignment="1">
      <alignment horizontal="center" vertical="center" wrapText="1"/>
    </xf>
    <xf numFmtId="0" fontId="58" fillId="0" borderId="121" xfId="0" applyFont="1" applyBorder="1" applyAlignment="1">
      <alignment horizontal="center" vertical="center"/>
    </xf>
    <xf numFmtId="4" fontId="58" fillId="0" borderId="121" xfId="0" applyNumberFormat="1" applyFont="1" applyBorder="1" applyAlignment="1">
      <alignment horizontal="center" vertical="center"/>
    </xf>
    <xf numFmtId="0" fontId="58" fillId="0" borderId="121" xfId="0" applyFont="1" applyBorder="1" applyAlignment="1">
      <alignment horizontal="center" vertical="center" wrapText="1"/>
    </xf>
    <xf numFmtId="3" fontId="58" fillId="0" borderId="112" xfId="0" applyNumberFormat="1" applyFont="1" applyBorder="1" applyAlignment="1">
      <alignment horizontal="center" vertical="center" wrapText="1"/>
    </xf>
    <xf numFmtId="0" fontId="59" fillId="27" borderId="122" xfId="0" applyFont="1" applyFill="1" applyBorder="1" applyAlignment="1">
      <alignment horizontal="center" vertical="center"/>
    </xf>
    <xf numFmtId="0" fontId="60" fillId="27" borderId="123" xfId="0" applyFont="1" applyFill="1" applyBorder="1" applyAlignment="1">
      <alignment horizontal="center" vertical="center"/>
    </xf>
    <xf numFmtId="0" fontId="60" fillId="27" borderId="123" xfId="0" applyFont="1" applyFill="1" applyBorder="1" applyAlignment="1">
      <alignment horizontal="center" vertical="center" wrapText="1"/>
    </xf>
    <xf numFmtId="3" fontId="59" fillId="27" borderId="124" xfId="0" applyNumberFormat="1" applyFont="1" applyFill="1" applyBorder="1" applyAlignment="1">
      <alignment horizontal="center" vertical="center" wrapText="1"/>
    </xf>
    <xf numFmtId="4" fontId="17" fillId="13" borderId="48" xfId="241" applyNumberFormat="1" applyFont="1" applyFill="1" applyBorder="1" applyAlignment="1">
      <alignment horizontal="right" vertical="center" wrapText="1"/>
    </xf>
    <xf numFmtId="4" fontId="17" fillId="13" borderId="48" xfId="241" applyNumberFormat="1" applyFont="1" applyFill="1" applyBorder="1" applyAlignment="1">
      <alignment vertical="center"/>
    </xf>
    <xf numFmtId="165" fontId="45" fillId="0" borderId="0" xfId="1" applyFont="1"/>
    <xf numFmtId="4" fontId="43" fillId="9" borderId="48" xfId="241" applyNumberFormat="1" applyFont="1" applyFill="1" applyBorder="1" applyAlignment="1">
      <alignment horizontal="right" vertical="center"/>
    </xf>
    <xf numFmtId="4" fontId="43" fillId="9" borderId="48" xfId="241" applyNumberFormat="1" applyFont="1" applyFill="1" applyBorder="1" applyAlignment="1">
      <alignment vertical="center"/>
    </xf>
    <xf numFmtId="0" fontId="61" fillId="0" borderId="0" xfId="241" applyFont="1" applyAlignment="1">
      <alignment vertical="center"/>
    </xf>
    <xf numFmtId="4" fontId="43" fillId="13" borderId="48" xfId="241" applyNumberFormat="1" applyFont="1" applyFill="1" applyBorder="1" applyAlignment="1">
      <alignment vertical="center"/>
    </xf>
    <xf numFmtId="0" fontId="17" fillId="3" borderId="30" xfId="16" applyFont="1" applyFill="1" applyBorder="1" applyAlignment="1">
      <alignment horizontal="center" vertical="center"/>
    </xf>
    <xf numFmtId="0" fontId="43" fillId="0" borderId="56" xfId="242" applyFont="1" applyBorder="1" applyAlignment="1">
      <alignment horizontal="justify" vertical="center" wrapText="1"/>
    </xf>
    <xf numFmtId="0" fontId="43" fillId="3" borderId="56" xfId="241" applyFont="1" applyFill="1" applyBorder="1" applyAlignment="1">
      <alignment horizontal="center" vertical="center"/>
    </xf>
    <xf numFmtId="4" fontId="43" fillId="3" borderId="56" xfId="241" applyNumberFormat="1" applyFont="1" applyFill="1" applyBorder="1" applyAlignment="1">
      <alignment horizontal="right" vertical="center"/>
    </xf>
    <xf numFmtId="4" fontId="43" fillId="3" borderId="55" xfId="241" applyNumberFormat="1" applyFont="1" applyFill="1" applyBorder="1" applyAlignment="1">
      <alignment vertical="center"/>
    </xf>
    <xf numFmtId="0" fontId="0" fillId="28" borderId="0" xfId="0" applyFill="1" applyAlignment="1">
      <alignment horizontal="center"/>
    </xf>
    <xf numFmtId="185" fontId="54" fillId="9" borderId="48" xfId="0" applyNumberFormat="1" applyFont="1" applyFill="1" applyBorder="1" applyAlignment="1">
      <alignment horizontal="center"/>
    </xf>
    <xf numFmtId="185" fontId="54" fillId="9" borderId="0" xfId="0" applyNumberFormat="1" applyFont="1" applyFill="1" applyAlignment="1">
      <alignment horizontal="center"/>
    </xf>
    <xf numFmtId="0" fontId="0" fillId="29" borderId="0" xfId="0" applyFill="1" applyAlignment="1">
      <alignment horizontal="center"/>
    </xf>
    <xf numFmtId="0" fontId="33" fillId="29" borderId="0" xfId="0" applyFont="1" applyFill="1"/>
    <xf numFmtId="0" fontId="31" fillId="9" borderId="0" xfId="0" applyFont="1" applyFill="1"/>
    <xf numFmtId="165" fontId="14" fillId="7" borderId="59" xfId="1" applyFont="1" applyFill="1" applyBorder="1" applyAlignment="1">
      <alignment vertical="center"/>
    </xf>
    <xf numFmtId="49" fontId="3" fillId="30" borderId="36" xfId="0" applyNumberFormat="1" applyFont="1" applyFill="1" applyBorder="1" applyAlignment="1">
      <alignment horizontal="center" vertical="center"/>
    </xf>
    <xf numFmtId="49" fontId="3" fillId="0" borderId="18" xfId="0" applyNumberFormat="1" applyFont="1" applyBorder="1" applyAlignment="1">
      <alignment horizontal="center" vertical="center"/>
    </xf>
    <xf numFmtId="0" fontId="3" fillId="0" borderId="64" xfId="16" applyBorder="1" applyAlignment="1">
      <alignment vertical="center"/>
    </xf>
    <xf numFmtId="0" fontId="3" fillId="0" borderId="64" xfId="16" applyBorder="1" applyAlignment="1">
      <alignment horizontal="center" vertical="center"/>
    </xf>
    <xf numFmtId="0" fontId="32" fillId="3" borderId="50" xfId="0" applyFont="1" applyFill="1" applyBorder="1" applyAlignment="1">
      <alignment horizontal="center" vertical="center"/>
    </xf>
    <xf numFmtId="0" fontId="3" fillId="3" borderId="59" xfId="0" applyFont="1" applyFill="1" applyBorder="1" applyAlignment="1">
      <alignment horizontal="center" vertical="center"/>
    </xf>
    <xf numFmtId="49" fontId="3" fillId="0" borderId="59" xfId="0" applyNumberFormat="1" applyFont="1" applyBorder="1" applyAlignment="1">
      <alignment horizontal="center" vertical="center" wrapText="1"/>
    </xf>
    <xf numFmtId="49" fontId="3" fillId="0" borderId="59"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1" xfId="16" applyBorder="1" applyAlignment="1">
      <alignment vertical="center"/>
    </xf>
    <xf numFmtId="10" fontId="3" fillId="0" borderId="1" xfId="16" applyNumberFormat="1" applyBorder="1" applyAlignment="1">
      <alignment vertical="center"/>
    </xf>
    <xf numFmtId="49" fontId="6" fillId="0" borderId="49" xfId="188" applyNumberFormat="1" applyFont="1" applyFill="1" applyBorder="1" applyAlignment="1">
      <alignment vertical="top"/>
    </xf>
    <xf numFmtId="49" fontId="6" fillId="31" borderId="50" xfId="188" applyNumberFormat="1" applyFont="1" applyFill="1" applyBorder="1" applyAlignment="1">
      <alignment vertical="top" wrapText="1"/>
    </xf>
    <xf numFmtId="43" fontId="6" fillId="31" borderId="50" xfId="188" applyFont="1" applyFill="1" applyBorder="1" applyAlignment="1">
      <alignment horizontal="centerContinuous" vertical="top"/>
    </xf>
    <xf numFmtId="4" fontId="6" fillId="3" borderId="50" xfId="188" applyNumberFormat="1" applyFont="1" applyFill="1" applyBorder="1" applyAlignment="1">
      <alignment horizontal="right" vertical="top"/>
    </xf>
    <xf numFmtId="4" fontId="3" fillId="3" borderId="50" xfId="188" applyNumberFormat="1" applyFont="1" applyFill="1" applyBorder="1" applyAlignment="1">
      <alignment horizontal="right" vertical="top"/>
    </xf>
    <xf numFmtId="187" fontId="3" fillId="0" borderId="64" xfId="188" applyNumberFormat="1" applyFont="1" applyBorder="1"/>
    <xf numFmtId="187" fontId="3" fillId="0" borderId="64" xfId="188" applyNumberFormat="1" applyFont="1" applyBorder="1" applyAlignment="1"/>
    <xf numFmtId="187" fontId="3" fillId="0" borderId="97" xfId="188" applyNumberFormat="1" applyFont="1" applyBorder="1" applyAlignment="1"/>
    <xf numFmtId="187" fontId="3" fillId="0" borderId="125" xfId="188" applyNumberFormat="1" applyFont="1" applyBorder="1" applyAlignment="1"/>
    <xf numFmtId="49" fontId="3" fillId="0" borderId="20" xfId="188" applyNumberFormat="1" applyFont="1" applyFill="1" applyBorder="1" applyAlignment="1">
      <alignment vertical="top"/>
    </xf>
    <xf numFmtId="49" fontId="3" fillId="0" borderId="1" xfId="188" applyNumberFormat="1" applyFont="1" applyFill="1" applyBorder="1" applyAlignment="1">
      <alignment vertical="center" wrapText="1"/>
    </xf>
    <xf numFmtId="49" fontId="3" fillId="0" borderId="1" xfId="0" applyNumberFormat="1" applyFont="1" applyBorder="1" applyAlignment="1">
      <alignment horizontal="center"/>
    </xf>
    <xf numFmtId="4" fontId="32" fillId="3" borderId="1" xfId="188" quotePrefix="1" applyNumberFormat="1" applyFont="1" applyFill="1" applyBorder="1" applyAlignment="1">
      <alignment vertical="center"/>
    </xf>
    <xf numFmtId="49" fontId="43" fillId="0" borderId="37" xfId="188" applyNumberFormat="1" applyFont="1" applyBorder="1" applyAlignment="1"/>
    <xf numFmtId="172" fontId="3" fillId="0" borderId="1" xfId="188" applyNumberFormat="1" applyFont="1" applyBorder="1" applyAlignment="1">
      <alignment horizontal="center"/>
    </xf>
    <xf numFmtId="4" fontId="32" fillId="3" borderId="37" xfId="188" quotePrefix="1" applyNumberFormat="1" applyFont="1" applyFill="1" applyBorder="1" applyAlignment="1">
      <alignment vertical="center"/>
    </xf>
    <xf numFmtId="4" fontId="32" fillId="3" borderId="23" xfId="188" quotePrefix="1" applyNumberFormat="1" applyFont="1" applyFill="1" applyBorder="1" applyAlignment="1">
      <alignment vertical="center"/>
    </xf>
    <xf numFmtId="49" fontId="6" fillId="0" borderId="20" xfId="188" applyNumberFormat="1" applyFont="1" applyFill="1" applyBorder="1" applyAlignment="1">
      <alignment vertical="top"/>
    </xf>
    <xf numFmtId="49" fontId="6" fillId="32" borderId="1" xfId="188" applyNumberFormat="1" applyFont="1" applyFill="1" applyBorder="1" applyAlignment="1">
      <alignment vertical="top" wrapText="1"/>
    </xf>
    <xf numFmtId="49" fontId="32" fillId="31" borderId="1" xfId="188" applyNumberFormat="1" applyFont="1" applyFill="1" applyBorder="1" applyAlignment="1">
      <alignment horizontal="left"/>
    </xf>
    <xf numFmtId="4" fontId="6" fillId="3" borderId="1" xfId="188" quotePrefix="1" applyNumberFormat="1" applyFont="1" applyFill="1" applyBorder="1" applyAlignment="1"/>
    <xf numFmtId="4" fontId="3" fillId="3" borderId="37" xfId="188" quotePrefix="1" applyNumberFormat="1" applyFont="1" applyFill="1" applyBorder="1" applyAlignment="1"/>
    <xf numFmtId="4" fontId="6" fillId="3" borderId="37" xfId="188" quotePrefix="1" applyNumberFormat="1" applyFont="1" applyFill="1" applyBorder="1" applyAlignment="1"/>
    <xf numFmtId="4" fontId="6" fillId="3" borderId="23" xfId="188" quotePrefix="1" applyNumberFormat="1" applyFont="1" applyFill="1" applyBorder="1" applyAlignment="1"/>
    <xf numFmtId="4" fontId="3" fillId="0" borderId="60" xfId="243" quotePrefix="1" applyNumberFormat="1" applyFont="1" applyFill="1" applyBorder="1" applyAlignment="1">
      <alignment vertical="center"/>
    </xf>
    <xf numFmtId="4" fontId="3" fillId="0" borderId="60" xfId="16" applyNumberFormat="1" applyBorder="1" applyAlignment="1">
      <alignment vertical="center"/>
    </xf>
    <xf numFmtId="49" fontId="6" fillId="31" borderId="1" xfId="188" applyNumberFormat="1" applyFont="1" applyFill="1" applyBorder="1" applyAlignment="1">
      <alignment vertical="top" wrapText="1"/>
    </xf>
    <xf numFmtId="49" fontId="6" fillId="31" borderId="1" xfId="188" applyNumberFormat="1" applyFont="1" applyFill="1" applyBorder="1" applyAlignment="1">
      <alignment horizontal="center"/>
    </xf>
    <xf numFmtId="4" fontId="6" fillId="3" borderId="1" xfId="188" applyNumberFormat="1" applyFont="1" applyFill="1" applyBorder="1" applyAlignment="1"/>
    <xf numFmtId="4" fontId="6" fillId="16" borderId="37" xfId="188" applyNumberFormat="1" applyFont="1" applyFill="1" applyBorder="1" applyAlignment="1"/>
    <xf numFmtId="4" fontId="6" fillId="16" borderId="23" xfId="188" applyNumberFormat="1" applyFont="1" applyFill="1" applyBorder="1" applyAlignment="1"/>
    <xf numFmtId="4" fontId="54" fillId="0" borderId="1" xfId="0" applyNumberFormat="1" applyFont="1" applyBorder="1"/>
    <xf numFmtId="0" fontId="54" fillId="0" borderId="1" xfId="0" applyFont="1" applyBorder="1"/>
    <xf numFmtId="0" fontId="54" fillId="0" borderId="0" xfId="0" applyFont="1" applyAlignment="1">
      <alignment horizontal="center"/>
    </xf>
    <xf numFmtId="49" fontId="3" fillId="31" borderId="1" xfId="188" applyNumberFormat="1" applyFont="1" applyFill="1" applyBorder="1" applyAlignment="1">
      <alignment vertical="top" wrapText="1"/>
    </xf>
    <xf numFmtId="49" fontId="36" fillId="0" borderId="1" xfId="0" applyNumberFormat="1" applyFont="1" applyBorder="1" applyAlignment="1">
      <alignment horizontal="center"/>
    </xf>
    <xf numFmtId="4" fontId="3" fillId="3" borderId="1" xfId="188" applyNumberFormat="1" applyFont="1" applyFill="1" applyBorder="1" applyAlignment="1"/>
    <xf numFmtId="49" fontId="3" fillId="0" borderId="37" xfId="188" applyNumberFormat="1" applyFont="1" applyBorder="1" applyAlignment="1"/>
    <xf numFmtId="4" fontId="3" fillId="0" borderId="37" xfId="188" applyNumberFormat="1" applyFont="1" applyBorder="1" applyAlignment="1"/>
    <xf numFmtId="4" fontId="3" fillId="0" borderId="23" xfId="188" applyNumberFormat="1" applyFont="1" applyBorder="1" applyAlignment="1"/>
    <xf numFmtId="0" fontId="54" fillId="0" borderId="0" xfId="0" applyFont="1"/>
    <xf numFmtId="49" fontId="6" fillId="0" borderId="1" xfId="188" quotePrefix="1" applyNumberFormat="1" applyFont="1" applyFill="1" applyBorder="1" applyAlignment="1">
      <alignment vertical="top" wrapText="1"/>
    </xf>
    <xf numFmtId="49" fontId="3" fillId="0" borderId="1" xfId="188" applyNumberFormat="1" applyFont="1" applyFill="1" applyBorder="1" applyAlignment="1">
      <alignment horizontal="center"/>
    </xf>
    <xf numFmtId="49" fontId="3" fillId="0" borderId="1" xfId="188" quotePrefix="1" applyNumberFormat="1" applyFont="1" applyFill="1" applyBorder="1" applyAlignment="1">
      <alignment vertical="top" wrapText="1"/>
    </xf>
    <xf numFmtId="49" fontId="6" fillId="0" borderId="1" xfId="188" applyNumberFormat="1" applyFont="1" applyFill="1" applyBorder="1" applyAlignment="1">
      <alignment vertical="top" wrapText="1"/>
    </xf>
    <xf numFmtId="4" fontId="6" fillId="3" borderId="37" xfId="188" applyNumberFormat="1" applyFont="1" applyFill="1" applyBorder="1" applyAlignment="1"/>
    <xf numFmtId="4" fontId="6" fillId="3" borderId="23" xfId="188" applyNumberFormat="1" applyFont="1" applyFill="1" applyBorder="1" applyAlignment="1"/>
    <xf numFmtId="4" fontId="6" fillId="16" borderId="37" xfId="188" quotePrefix="1" applyNumberFormat="1" applyFont="1" applyFill="1" applyBorder="1" applyAlignment="1"/>
    <xf numFmtId="4" fontId="6" fillId="16" borderId="23" xfId="188" quotePrefix="1" applyNumberFormat="1" applyFont="1" applyFill="1" applyBorder="1" applyAlignment="1"/>
    <xf numFmtId="49" fontId="3" fillId="0" borderId="1" xfId="188" applyNumberFormat="1" applyFont="1" applyFill="1" applyBorder="1" applyAlignment="1">
      <alignment vertical="top" wrapText="1"/>
    </xf>
    <xf numFmtId="4" fontId="3" fillId="3" borderId="1" xfId="188" quotePrefix="1" applyNumberFormat="1" applyFont="1" applyFill="1" applyBorder="1" applyAlignment="1"/>
    <xf numFmtId="4" fontId="3" fillId="3" borderId="37" xfId="188" applyNumberFormat="1" applyFont="1" applyFill="1" applyBorder="1" applyAlignment="1"/>
    <xf numFmtId="4" fontId="6" fillId="0" borderId="37" xfId="188" applyNumberFormat="1" applyFont="1" applyBorder="1" applyAlignment="1"/>
    <xf numFmtId="49" fontId="3" fillId="31" borderId="1" xfId="188" applyNumberFormat="1" applyFont="1" applyFill="1" applyBorder="1" applyAlignment="1">
      <alignment horizontal="center"/>
    </xf>
    <xf numFmtId="49" fontId="43" fillId="0" borderId="23" xfId="188" applyNumberFormat="1" applyFont="1" applyBorder="1" applyAlignment="1"/>
    <xf numFmtId="49" fontId="32" fillId="31" borderId="1" xfId="188" applyNumberFormat="1" applyFont="1" applyFill="1" applyBorder="1" applyAlignment="1">
      <alignment vertical="top" wrapText="1"/>
    </xf>
    <xf numFmtId="4" fontId="32" fillId="3" borderId="1" xfId="188" applyNumberFormat="1" applyFont="1" applyFill="1" applyBorder="1" applyAlignment="1"/>
    <xf numFmtId="4" fontId="32" fillId="3" borderId="37" xfId="188" quotePrefix="1" applyNumberFormat="1" applyFont="1" applyFill="1" applyBorder="1" applyAlignment="1"/>
    <xf numFmtId="49" fontId="32" fillId="0" borderId="1" xfId="188" applyNumberFormat="1" applyFont="1" applyFill="1" applyBorder="1" applyAlignment="1">
      <alignment vertical="top" wrapText="1"/>
    </xf>
    <xf numFmtId="4" fontId="32" fillId="3" borderId="37" xfId="188" applyNumberFormat="1" applyFont="1" applyFill="1" applyBorder="1" applyAlignment="1"/>
    <xf numFmtId="4" fontId="6" fillId="16" borderId="1" xfId="188" quotePrefix="1" applyNumberFormat="1" applyFont="1" applyFill="1" applyBorder="1" applyAlignment="1"/>
    <xf numFmtId="49" fontId="3" fillId="0" borderId="20" xfId="2" applyNumberFormat="1" applyFont="1" applyFill="1" applyBorder="1" applyAlignment="1">
      <alignment vertical="center"/>
    </xf>
    <xf numFmtId="49" fontId="3" fillId="3" borderId="1" xfId="2" applyNumberFormat="1" applyFont="1" applyFill="1" applyBorder="1" applyAlignment="1">
      <alignment vertical="center" wrapText="1"/>
    </xf>
    <xf numFmtId="49" fontId="3" fillId="0" borderId="1" xfId="2" applyNumberFormat="1" applyFont="1" applyFill="1" applyBorder="1" applyAlignment="1">
      <alignment horizontal="center"/>
    </xf>
    <xf numFmtId="4" fontId="6" fillId="16" borderId="1" xfId="188" applyNumberFormat="1" applyFont="1" applyFill="1" applyBorder="1" applyAlignment="1"/>
    <xf numFmtId="49" fontId="6" fillId="0" borderId="126" xfId="188" applyNumberFormat="1" applyFont="1" applyFill="1" applyBorder="1" applyAlignment="1">
      <alignment vertical="top"/>
    </xf>
    <xf numFmtId="49" fontId="6" fillId="0" borderId="47" xfId="188" quotePrefix="1" applyNumberFormat="1" applyFont="1" applyFill="1" applyBorder="1" applyAlignment="1">
      <alignment vertical="top" wrapText="1"/>
    </xf>
    <xf numFmtId="49" fontId="3" fillId="0" borderId="47" xfId="188" applyNumberFormat="1" applyFont="1" applyFill="1" applyBorder="1" applyAlignment="1">
      <alignment horizontal="center"/>
    </xf>
    <xf numFmtId="4" fontId="6" fillId="3" borderId="47" xfId="188" applyNumberFormat="1" applyFont="1" applyFill="1" applyBorder="1" applyAlignment="1"/>
    <xf numFmtId="4" fontId="3" fillId="3" borderId="127" xfId="188" applyNumberFormat="1" applyFont="1" applyFill="1" applyBorder="1" applyAlignment="1"/>
    <xf numFmtId="49" fontId="43" fillId="0" borderId="127" xfId="188" applyNumberFormat="1" applyFont="1" applyBorder="1" applyAlignment="1"/>
    <xf numFmtId="172" fontId="3" fillId="0" borderId="47" xfId="188" applyNumberFormat="1" applyFont="1" applyBorder="1" applyAlignment="1">
      <alignment horizontal="center"/>
    </xf>
    <xf numFmtId="4" fontId="3" fillId="0" borderId="127" xfId="188" applyNumberFormat="1" applyFont="1" applyBorder="1" applyAlignment="1"/>
    <xf numFmtId="4" fontId="3" fillId="0" borderId="128" xfId="188" applyNumberFormat="1" applyFont="1" applyBorder="1" applyAlignment="1"/>
    <xf numFmtId="0" fontId="54" fillId="0" borderId="70" xfId="0" applyFont="1" applyBorder="1"/>
    <xf numFmtId="0" fontId="43" fillId="0" borderId="0" xfId="0" applyFont="1"/>
    <xf numFmtId="0" fontId="3" fillId="0" borderId="0" xfId="16" applyAlignment="1">
      <alignment horizontal="center"/>
    </xf>
    <xf numFmtId="0" fontId="3" fillId="0" borderId="48" xfId="16" applyBorder="1"/>
    <xf numFmtId="10" fontId="36" fillId="0" borderId="129" xfId="16" applyNumberFormat="1" applyFont="1" applyBorder="1" applyAlignment="1">
      <alignment horizontal="center" vertical="center"/>
    </xf>
    <xf numFmtId="0" fontId="0" fillId="16" borderId="0" xfId="0" applyFill="1" applyAlignment="1">
      <alignment vertical="center"/>
    </xf>
    <xf numFmtId="0" fontId="22" fillId="0" borderId="0" xfId="16" applyFont="1" applyAlignment="1">
      <alignment vertical="center"/>
    </xf>
    <xf numFmtId="0" fontId="64" fillId="0" borderId="0" xfId="242" applyFont="1" applyAlignment="1">
      <alignment vertical="center"/>
    </xf>
    <xf numFmtId="0" fontId="24" fillId="0" borderId="0" xfId="242" applyAlignment="1">
      <alignment vertical="center"/>
    </xf>
    <xf numFmtId="4" fontId="24" fillId="0" borderId="0" xfId="242" applyNumberFormat="1" applyAlignment="1">
      <alignment vertical="center"/>
    </xf>
    <xf numFmtId="0" fontId="17" fillId="33" borderId="130" xfId="242" applyFont="1" applyFill="1" applyBorder="1" applyAlignment="1">
      <alignment horizontal="center" vertical="center" wrapText="1"/>
    </xf>
    <xf numFmtId="0" fontId="17" fillId="0" borderId="130" xfId="242" applyFont="1" applyBorder="1" applyAlignment="1">
      <alignment horizontal="center" vertical="center"/>
    </xf>
    <xf numFmtId="0" fontId="17" fillId="0" borderId="130" xfId="242" applyFont="1" applyBorder="1" applyAlignment="1">
      <alignment horizontal="center" vertical="center" wrapText="1"/>
    </xf>
    <xf numFmtId="4" fontId="12" fillId="3" borderId="130" xfId="242" applyNumberFormat="1" applyFont="1" applyFill="1" applyBorder="1" applyAlignment="1">
      <alignment vertical="center"/>
    </xf>
    <xf numFmtId="0" fontId="17" fillId="3" borderId="130" xfId="242" applyFont="1" applyFill="1" applyBorder="1" applyAlignment="1">
      <alignment horizontal="center" vertical="center"/>
    </xf>
    <xf numFmtId="0" fontId="12" fillId="3" borderId="130" xfId="242" applyFont="1" applyFill="1" applyBorder="1" applyAlignment="1">
      <alignment horizontal="left" vertical="center" wrapText="1"/>
    </xf>
    <xf numFmtId="0" fontId="36" fillId="3" borderId="130" xfId="242" applyFont="1" applyFill="1" applyBorder="1" applyAlignment="1">
      <alignment horizontal="center" vertical="center"/>
    </xf>
    <xf numFmtId="4" fontId="36" fillId="3" borderId="130" xfId="242" applyNumberFormat="1" applyFont="1" applyFill="1" applyBorder="1" applyAlignment="1">
      <alignment horizontal="right" vertical="center"/>
    </xf>
    <xf numFmtId="4" fontId="17" fillId="3" borderId="130" xfId="242" applyNumberFormat="1" applyFont="1" applyFill="1" applyBorder="1" applyAlignment="1">
      <alignment vertical="center"/>
    </xf>
    <xf numFmtId="4" fontId="36" fillId="3" borderId="130" xfId="242" applyNumberFormat="1" applyFont="1" applyFill="1" applyBorder="1" applyAlignment="1">
      <alignment vertical="center"/>
    </xf>
    <xf numFmtId="49" fontId="43" fillId="3" borderId="130" xfId="242" applyNumberFormat="1" applyFont="1" applyFill="1" applyBorder="1" applyAlignment="1">
      <alignment horizontal="center" vertical="center"/>
    </xf>
    <xf numFmtId="0" fontId="43" fillId="3" borderId="130" xfId="242" applyFont="1" applyFill="1" applyBorder="1" applyAlignment="1">
      <alignment vertical="center" wrapText="1"/>
    </xf>
    <xf numFmtId="0" fontId="43" fillId="3" borderId="130" xfId="242" applyFont="1" applyFill="1" applyBorder="1" applyAlignment="1">
      <alignment horizontal="center" vertical="center"/>
    </xf>
    <xf numFmtId="4" fontId="43" fillId="3" borderId="130" xfId="242" applyNumberFormat="1" applyFont="1" applyFill="1" applyBorder="1" applyAlignment="1">
      <alignment horizontal="right" vertical="center"/>
    </xf>
    <xf numFmtId="4" fontId="43" fillId="3" borderId="130" xfId="242" applyNumberFormat="1" applyFont="1" applyFill="1" applyBorder="1" applyAlignment="1">
      <alignment vertical="center"/>
    </xf>
    <xf numFmtId="10" fontId="43" fillId="3" borderId="130" xfId="242" applyNumberFormat="1" applyFont="1" applyFill="1" applyBorder="1" applyAlignment="1">
      <alignment vertical="center"/>
    </xf>
    <xf numFmtId="2" fontId="43" fillId="3" borderId="130" xfId="242" applyNumberFormat="1" applyFont="1" applyFill="1" applyBorder="1" applyAlignment="1">
      <alignment vertical="center" wrapText="1"/>
    </xf>
    <xf numFmtId="0" fontId="17" fillId="3" borderId="130" xfId="242" applyFont="1" applyFill="1" applyBorder="1" applyAlignment="1">
      <alignment vertical="center" wrapText="1"/>
    </xf>
    <xf numFmtId="4" fontId="43" fillId="3" borderId="0" xfId="242" applyNumberFormat="1" applyFont="1" applyFill="1" applyAlignment="1">
      <alignment vertical="center"/>
    </xf>
    <xf numFmtId="0" fontId="43" fillId="0" borderId="130" xfId="242" applyFont="1" applyBorder="1" applyAlignment="1">
      <alignment vertical="center" wrapText="1"/>
    </xf>
    <xf numFmtId="0" fontId="43" fillId="0" borderId="130" xfId="242" applyFont="1" applyBorder="1" applyAlignment="1">
      <alignment horizontal="center" vertical="center"/>
    </xf>
    <xf numFmtId="4" fontId="43" fillId="0" borderId="130" xfId="242" applyNumberFormat="1" applyFont="1" applyBorder="1" applyAlignment="1">
      <alignment horizontal="right" vertical="center"/>
    </xf>
    <xf numFmtId="4" fontId="43" fillId="0" borderId="130" xfId="242" applyNumberFormat="1" applyFont="1" applyBorder="1" applyAlignment="1">
      <alignment vertical="center"/>
    </xf>
    <xf numFmtId="4" fontId="12" fillId="33" borderId="130" xfId="242" applyNumberFormat="1" applyFont="1" applyFill="1" applyBorder="1" applyAlignment="1">
      <alignment vertical="center"/>
    </xf>
    <xf numFmtId="0" fontId="12" fillId="33" borderId="130" xfId="242" quotePrefix="1" applyFont="1" applyFill="1" applyBorder="1" applyAlignment="1">
      <alignment horizontal="center" vertical="center"/>
    </xf>
    <xf numFmtId="0" fontId="43" fillId="0" borderId="0" xfId="242" applyFont="1" applyAlignment="1">
      <alignment horizontal="center" vertical="center" wrapText="1"/>
    </xf>
    <xf numFmtId="0" fontId="67" fillId="0" borderId="0" xfId="242" applyFont="1" applyAlignment="1">
      <alignment vertical="center"/>
    </xf>
    <xf numFmtId="165" fontId="43" fillId="0" borderId="0" xfId="244" applyNumberFormat="1" applyFont="1" applyBorder="1" applyAlignment="1">
      <alignment vertical="center" wrapText="1"/>
    </xf>
    <xf numFmtId="4" fontId="60" fillId="0" borderId="0" xfId="0" applyNumberFormat="1" applyFont="1"/>
    <xf numFmtId="4" fontId="68" fillId="0" borderId="0" xfId="242" applyNumberFormat="1" applyFont="1" applyAlignment="1">
      <alignment vertical="center"/>
    </xf>
    <xf numFmtId="165" fontId="35" fillId="3" borderId="1" xfId="1" applyFont="1" applyFill="1" applyBorder="1" applyAlignment="1">
      <alignment vertical="center"/>
    </xf>
    <xf numFmtId="165" fontId="13" fillId="3" borderId="1" xfId="1" applyFont="1" applyFill="1" applyBorder="1" applyAlignment="1">
      <alignment vertical="center"/>
    </xf>
    <xf numFmtId="49" fontId="13" fillId="3" borderId="1" xfId="123" applyNumberFormat="1" applyFont="1" applyFill="1" applyBorder="1" applyAlignment="1">
      <alignment horizontal="center" vertical="center"/>
    </xf>
    <xf numFmtId="2" fontId="13" fillId="3" borderId="1" xfId="123" applyNumberFormat="1" applyFont="1" applyFill="1" applyBorder="1" applyAlignment="1">
      <alignment vertical="center" wrapText="1"/>
    </xf>
    <xf numFmtId="49" fontId="14" fillId="3" borderId="1" xfId="123" applyNumberFormat="1" applyFont="1" applyFill="1" applyBorder="1" applyAlignment="1">
      <alignment horizontal="center" vertical="center"/>
    </xf>
    <xf numFmtId="181" fontId="20" fillId="0" borderId="130" xfId="1" applyNumberFormat="1" applyFont="1" applyFill="1" applyBorder="1" applyAlignment="1">
      <alignment vertical="center"/>
    </xf>
    <xf numFmtId="171" fontId="13" fillId="6" borderId="52" xfId="16" applyNumberFormat="1" applyFont="1" applyFill="1" applyBorder="1" applyAlignment="1">
      <alignment vertical="center"/>
    </xf>
    <xf numFmtId="165" fontId="10" fillId="3" borderId="0" xfId="1" applyFont="1" applyFill="1" applyBorder="1" applyAlignment="1">
      <alignment vertical="center"/>
    </xf>
    <xf numFmtId="0" fontId="13" fillId="6" borderId="130" xfId="16" applyFont="1" applyFill="1" applyBorder="1" applyAlignment="1">
      <alignment vertical="center"/>
    </xf>
    <xf numFmtId="165" fontId="13" fillId="6" borderId="130" xfId="1" applyFont="1" applyFill="1" applyBorder="1" applyAlignment="1">
      <alignment horizontal="center" vertical="center"/>
    </xf>
    <xf numFmtId="49" fontId="13" fillId="6" borderId="130" xfId="1" applyNumberFormat="1" applyFont="1" applyFill="1" applyBorder="1" applyAlignment="1">
      <alignment horizontal="center" vertical="center"/>
    </xf>
    <xf numFmtId="0" fontId="10" fillId="0" borderId="64" xfId="16" applyFont="1" applyBorder="1" applyAlignment="1">
      <alignment vertical="center"/>
    </xf>
    <xf numFmtId="0" fontId="10" fillId="0" borderId="64" xfId="16" applyFont="1" applyBorder="1" applyAlignment="1">
      <alignment horizontal="center" vertical="center"/>
    </xf>
    <xf numFmtId="0" fontId="14" fillId="0" borderId="1" xfId="16" applyFont="1" applyBorder="1" applyAlignment="1">
      <alignment vertical="center"/>
    </xf>
    <xf numFmtId="10" fontId="14" fillId="0" borderId="1" xfId="16" applyNumberFormat="1" applyFont="1" applyBorder="1" applyAlignment="1">
      <alignment vertical="center"/>
    </xf>
    <xf numFmtId="4" fontId="14" fillId="0" borderId="1" xfId="16" applyNumberFormat="1" applyFont="1" applyBorder="1" applyAlignment="1">
      <alignment vertical="center"/>
    </xf>
    <xf numFmtId="2" fontId="14" fillId="3" borderId="1" xfId="123" applyNumberFormat="1" applyFont="1" applyFill="1" applyBorder="1" applyAlignment="1">
      <alignment vertical="center" wrapText="1"/>
    </xf>
    <xf numFmtId="2" fontId="16" fillId="3" borderId="1" xfId="123" applyNumberFormat="1" applyFont="1" applyFill="1" applyBorder="1" applyAlignment="1">
      <alignment vertical="center" wrapText="1"/>
    </xf>
    <xf numFmtId="49" fontId="16" fillId="3" borderId="1" xfId="123" applyNumberFormat="1" applyFont="1" applyFill="1" applyBorder="1" applyAlignment="1">
      <alignment horizontal="center" vertical="center"/>
    </xf>
    <xf numFmtId="2" fontId="15" fillId="4" borderId="1" xfId="123" applyNumberFormat="1" applyFont="1" applyFill="1" applyBorder="1" applyAlignment="1">
      <alignment vertical="center" wrapText="1"/>
    </xf>
    <xf numFmtId="165" fontId="14" fillId="0" borderId="70" xfId="1" quotePrefix="1" applyFont="1" applyFill="1" applyBorder="1" applyAlignment="1">
      <alignment vertical="center"/>
    </xf>
    <xf numFmtId="4" fontId="14" fillId="0" borderId="70" xfId="16" applyNumberFormat="1" applyFont="1" applyBorder="1" applyAlignment="1">
      <alignment vertical="center"/>
    </xf>
    <xf numFmtId="0" fontId="16" fillId="0" borderId="126" xfId="0" applyFont="1" applyBorder="1" applyAlignment="1">
      <alignment horizontal="left" vertical="center"/>
    </xf>
    <xf numFmtId="2" fontId="14" fillId="0" borderId="133" xfId="123" applyNumberFormat="1" applyFont="1" applyFill="1" applyBorder="1" applyAlignment="1">
      <alignment vertical="center" wrapText="1"/>
    </xf>
    <xf numFmtId="165" fontId="28" fillId="3" borderId="0" xfId="16" applyNumberFormat="1" applyFont="1" applyFill="1" applyAlignment="1">
      <alignment vertical="center"/>
    </xf>
    <xf numFmtId="43" fontId="0" fillId="3" borderId="0" xfId="0" applyNumberFormat="1" applyFill="1" applyAlignment="1">
      <alignment horizontal="center" vertical="center"/>
    </xf>
    <xf numFmtId="165" fontId="14" fillId="3" borderId="0" xfId="1" quotePrefix="1" applyFont="1" applyFill="1" applyBorder="1" applyAlignment="1">
      <alignment vertical="center"/>
    </xf>
    <xf numFmtId="49" fontId="10" fillId="0" borderId="0" xfId="16" applyNumberFormat="1" applyFont="1" applyAlignment="1">
      <alignment horizontal="left" vertical="center"/>
    </xf>
    <xf numFmtId="0" fontId="10" fillId="3" borderId="0" xfId="16" applyFont="1" applyFill="1" applyAlignment="1">
      <alignment vertical="center"/>
    </xf>
    <xf numFmtId="0" fontId="3" fillId="0" borderId="130" xfId="16" applyBorder="1"/>
    <xf numFmtId="49" fontId="12" fillId="3" borderId="130" xfId="242" applyNumberFormat="1" applyFont="1" applyFill="1" applyBorder="1" applyAlignment="1">
      <alignment horizontal="center" vertical="center"/>
    </xf>
    <xf numFmtId="49" fontId="17" fillId="3" borderId="130" xfId="242" applyNumberFormat="1" applyFont="1" applyFill="1" applyBorder="1" applyAlignment="1">
      <alignment horizontal="center" vertical="center"/>
    </xf>
    <xf numFmtId="0" fontId="69" fillId="3" borderId="130" xfId="242" applyFont="1" applyFill="1" applyBorder="1" applyAlignment="1">
      <alignment horizontal="justify" vertical="center" wrapText="1"/>
    </xf>
    <xf numFmtId="10" fontId="17" fillId="3" borderId="130" xfId="242" applyNumberFormat="1" applyFont="1" applyFill="1" applyBorder="1" applyAlignment="1">
      <alignment vertical="center"/>
    </xf>
    <xf numFmtId="2" fontId="14" fillId="3" borderId="1" xfId="123" quotePrefix="1" applyNumberFormat="1" applyFont="1" applyFill="1" applyBorder="1" applyAlignment="1">
      <alignment vertical="center" wrapText="1"/>
    </xf>
    <xf numFmtId="49" fontId="14" fillId="3" borderId="1" xfId="123" quotePrefix="1" applyNumberFormat="1" applyFont="1" applyFill="1" applyBorder="1" applyAlignment="1">
      <alignment horizontal="center" vertical="center"/>
    </xf>
    <xf numFmtId="167" fontId="20" fillId="0" borderId="130" xfId="1" applyNumberFormat="1" applyFont="1" applyFill="1" applyBorder="1" applyAlignment="1">
      <alignment vertical="center"/>
    </xf>
    <xf numFmtId="0" fontId="13" fillId="6" borderId="135" xfId="16" applyFont="1" applyFill="1" applyBorder="1" applyAlignment="1">
      <alignment vertical="center"/>
    </xf>
    <xf numFmtId="165" fontId="13" fillId="6" borderId="135" xfId="1" applyFont="1" applyFill="1" applyBorder="1" applyAlignment="1">
      <alignment horizontal="center" vertical="center"/>
    </xf>
    <xf numFmtId="49" fontId="13" fillId="6" borderId="1" xfId="123" applyNumberFormat="1" applyFont="1" applyFill="1" applyBorder="1" applyAlignment="1">
      <alignment vertical="center"/>
    </xf>
    <xf numFmtId="49" fontId="35" fillId="0" borderId="1" xfId="123" applyNumberFormat="1" applyFont="1" applyFill="1" applyBorder="1" applyAlignment="1">
      <alignment vertical="center"/>
    </xf>
    <xf numFmtId="0" fontId="16" fillId="0" borderId="1" xfId="0" applyFont="1" applyBorder="1" applyAlignment="1">
      <alignment horizontal="left" vertical="center"/>
    </xf>
    <xf numFmtId="2" fontId="14" fillId="0" borderId="137" xfId="123" applyNumberFormat="1" applyFont="1" applyFill="1" applyBorder="1" applyAlignment="1">
      <alignment vertical="center" wrapText="1"/>
    </xf>
    <xf numFmtId="49" fontId="14" fillId="0" borderId="70" xfId="123" applyNumberFormat="1" applyFont="1" applyFill="1" applyBorder="1" applyAlignment="1">
      <alignment vertical="center"/>
    </xf>
    <xf numFmtId="2" fontId="14" fillId="0" borderId="98" xfId="123" applyNumberFormat="1" applyFont="1" applyFill="1" applyBorder="1" applyAlignment="1">
      <alignment vertical="center" wrapText="1"/>
    </xf>
    <xf numFmtId="49" fontId="14" fillId="0" borderId="70" xfId="123" applyNumberFormat="1" applyFont="1" applyFill="1" applyBorder="1" applyAlignment="1">
      <alignment horizontal="center" vertical="center"/>
    </xf>
    <xf numFmtId="165" fontId="14" fillId="0" borderId="70" xfId="1" applyFont="1" applyFill="1" applyBorder="1" applyAlignment="1">
      <alignment vertical="center"/>
    </xf>
    <xf numFmtId="4" fontId="17" fillId="3" borderId="130" xfId="242" applyNumberFormat="1" applyFont="1" applyFill="1" applyBorder="1" applyAlignment="1">
      <alignment horizontal="right" vertical="center"/>
    </xf>
    <xf numFmtId="2" fontId="17" fillId="3" borderId="130" xfId="242" applyNumberFormat="1" applyFont="1" applyFill="1" applyBorder="1" applyAlignment="1">
      <alignment vertical="center" wrapText="1"/>
    </xf>
    <xf numFmtId="2" fontId="13" fillId="3" borderId="1" xfId="123" quotePrefix="1" applyNumberFormat="1" applyFont="1" applyFill="1" applyBorder="1" applyAlignment="1">
      <alignment vertical="center" wrapText="1"/>
    </xf>
    <xf numFmtId="165" fontId="13" fillId="3" borderId="1" xfId="1" quotePrefix="1" applyFont="1" applyFill="1" applyBorder="1" applyAlignment="1">
      <alignment vertical="center"/>
    </xf>
    <xf numFmtId="0" fontId="14" fillId="0" borderId="130" xfId="123" applyNumberFormat="1" applyFont="1" applyBorder="1" applyAlignment="1">
      <alignment vertical="center"/>
    </xf>
    <xf numFmtId="165" fontId="14" fillId="0" borderId="130" xfId="1" applyFont="1" applyFill="1" applyBorder="1" applyAlignment="1">
      <alignment vertical="center"/>
    </xf>
    <xf numFmtId="0" fontId="14" fillId="0" borderId="130" xfId="16" applyFont="1" applyBorder="1" applyAlignment="1">
      <alignment vertical="center"/>
    </xf>
    <xf numFmtId="49" fontId="14" fillId="0" borderId="130" xfId="123" applyNumberFormat="1" applyFont="1" applyBorder="1" applyAlignment="1">
      <alignment vertical="center"/>
    </xf>
    <xf numFmtId="4" fontId="14" fillId="0" borderId="1" xfId="1" quotePrefix="1" applyNumberFormat="1" applyFont="1" applyFill="1" applyBorder="1" applyAlignment="1">
      <alignment vertical="center"/>
    </xf>
    <xf numFmtId="0" fontId="3" fillId="0" borderId="130" xfId="16" applyBorder="1" applyAlignment="1">
      <alignment horizontal="center" vertical="center"/>
    </xf>
    <xf numFmtId="0" fontId="3" fillId="0" borderId="130" xfId="16" applyBorder="1" applyAlignment="1">
      <alignment vertical="center"/>
    </xf>
    <xf numFmtId="4" fontId="3" fillId="0" borderId="130" xfId="16" applyNumberFormat="1" applyBorder="1" applyAlignment="1">
      <alignment vertical="center"/>
    </xf>
    <xf numFmtId="174" fontId="14" fillId="0" borderId="0" xfId="16" applyNumberFormat="1" applyFont="1" applyAlignment="1">
      <alignment vertical="center"/>
    </xf>
    <xf numFmtId="174" fontId="3" fillId="0" borderId="130" xfId="16" applyNumberFormat="1" applyBorder="1" applyAlignment="1">
      <alignment vertical="center"/>
    </xf>
    <xf numFmtId="10" fontId="3" fillId="3" borderId="130" xfId="242" applyNumberFormat="1" applyFont="1" applyFill="1" applyBorder="1" applyAlignment="1">
      <alignment vertical="center"/>
    </xf>
    <xf numFmtId="4" fontId="3" fillId="3" borderId="130" xfId="242" applyNumberFormat="1" applyFont="1" applyFill="1" applyBorder="1" applyAlignment="1">
      <alignment vertical="center"/>
    </xf>
    <xf numFmtId="10" fontId="10" fillId="0" borderId="0" xfId="16" applyNumberFormat="1" applyFont="1" applyAlignment="1">
      <alignment vertical="center"/>
    </xf>
    <xf numFmtId="10" fontId="36" fillId="0" borderId="138" xfId="16" applyNumberFormat="1" applyFont="1" applyBorder="1" applyAlignment="1">
      <alignment horizontal="center" vertical="center"/>
    </xf>
    <xf numFmtId="0" fontId="3" fillId="0" borderId="139" xfId="16" applyBorder="1"/>
    <xf numFmtId="4" fontId="12" fillId="33" borderId="135" xfId="242" applyNumberFormat="1" applyFont="1" applyFill="1" applyBorder="1" applyAlignment="1">
      <alignment vertical="center"/>
    </xf>
    <xf numFmtId="0" fontId="12" fillId="33" borderId="135" xfId="242" quotePrefix="1" applyFont="1" applyFill="1" applyBorder="1" applyAlignment="1">
      <alignment horizontal="center" vertical="center"/>
    </xf>
    <xf numFmtId="0" fontId="13" fillId="6" borderId="139" xfId="16" applyFont="1" applyFill="1" applyBorder="1" applyAlignment="1">
      <alignment vertical="center"/>
    </xf>
    <xf numFmtId="165" fontId="13" fillId="6" borderId="139" xfId="1" applyFont="1" applyFill="1" applyBorder="1" applyAlignment="1">
      <alignment horizontal="center" vertical="center"/>
    </xf>
    <xf numFmtId="0" fontId="13" fillId="6" borderId="130" xfId="16" applyFont="1" applyFill="1" applyBorder="1" applyAlignment="1">
      <alignment horizontal="center" vertical="center"/>
    </xf>
    <xf numFmtId="167" fontId="20" fillId="0" borderId="139" xfId="1" applyNumberFormat="1" applyFont="1" applyFill="1" applyBorder="1" applyAlignment="1">
      <alignment vertical="center"/>
    </xf>
    <xf numFmtId="181" fontId="20" fillId="0" borderId="139" xfId="1" applyNumberFormat="1" applyFont="1" applyFill="1" applyBorder="1" applyAlignment="1">
      <alignment vertical="center"/>
    </xf>
    <xf numFmtId="4" fontId="14" fillId="0" borderId="91" xfId="16" applyNumberFormat="1" applyFont="1" applyBorder="1" applyAlignment="1">
      <alignment vertical="center"/>
    </xf>
    <xf numFmtId="2" fontId="14" fillId="34" borderId="1" xfId="123" applyNumberFormat="1" applyFont="1" applyFill="1" applyBorder="1" applyAlignment="1">
      <alignment vertical="center" wrapText="1"/>
    </xf>
    <xf numFmtId="49" fontId="14" fillId="34" borderId="1" xfId="123" applyNumberFormat="1" applyFont="1" applyFill="1" applyBorder="1" applyAlignment="1">
      <alignment horizontal="center" vertical="center"/>
    </xf>
    <xf numFmtId="165" fontId="14" fillId="34" borderId="1" xfId="1" quotePrefix="1" applyFont="1" applyFill="1" applyBorder="1" applyAlignment="1">
      <alignment vertical="center"/>
    </xf>
    <xf numFmtId="165" fontId="13" fillId="6" borderId="25" xfId="1" applyFont="1" applyFill="1" applyBorder="1" applyAlignment="1">
      <alignment vertical="center"/>
    </xf>
    <xf numFmtId="165" fontId="13" fillId="6" borderId="3" xfId="1" applyFont="1" applyFill="1" applyBorder="1" applyAlignment="1">
      <alignment vertical="center"/>
    </xf>
    <xf numFmtId="164" fontId="13" fillId="6" borderId="3" xfId="165" applyFont="1" applyFill="1" applyBorder="1" applyAlignment="1">
      <alignment horizontal="left" vertical="center"/>
    </xf>
    <xf numFmtId="164" fontId="13" fillId="6" borderId="0" xfId="165" applyFont="1" applyFill="1" applyAlignment="1">
      <alignment horizontal="left" vertical="center"/>
    </xf>
    <xf numFmtId="164" fontId="27" fillId="6" borderId="0" xfId="165" applyFont="1" applyFill="1" applyAlignment="1">
      <alignment horizontal="left" vertical="center"/>
    </xf>
    <xf numFmtId="171" fontId="13" fillId="6" borderId="53" xfId="16" applyNumberFormat="1" applyFont="1" applyFill="1" applyBorder="1" applyAlignment="1">
      <alignment horizontal="center" vertical="center"/>
    </xf>
    <xf numFmtId="164" fontId="13" fillId="6" borderId="53" xfId="165" applyFont="1" applyFill="1" applyBorder="1" applyAlignment="1">
      <alignment horizontal="left" vertical="center"/>
    </xf>
    <xf numFmtId="165" fontId="13" fillId="35" borderId="15" xfId="1" applyFont="1" applyFill="1" applyBorder="1" applyAlignment="1">
      <alignment horizontal="center" vertical="center" wrapText="1"/>
    </xf>
    <xf numFmtId="165" fontId="13" fillId="12" borderId="15" xfId="1" applyFont="1" applyFill="1" applyBorder="1" applyAlignment="1">
      <alignment horizontal="center" vertical="center" wrapText="1"/>
    </xf>
    <xf numFmtId="0" fontId="13" fillId="6" borderId="15" xfId="16" applyFont="1" applyFill="1" applyBorder="1" applyAlignment="1">
      <alignment horizontal="center" vertical="center" wrapText="1"/>
    </xf>
    <xf numFmtId="0" fontId="13" fillId="12" borderId="15" xfId="16" applyFont="1" applyFill="1" applyBorder="1" applyAlignment="1">
      <alignment horizontal="center" vertical="center" wrapText="1"/>
    </xf>
    <xf numFmtId="49" fontId="13" fillId="6" borderId="147" xfId="123" applyNumberFormat="1" applyFont="1" applyFill="1" applyBorder="1" applyAlignment="1">
      <alignment vertical="center"/>
    </xf>
    <xf numFmtId="2" fontId="13" fillId="6" borderId="60" xfId="123" applyNumberFormat="1" applyFont="1" applyFill="1" applyBorder="1" applyAlignment="1">
      <alignment vertical="center" wrapText="1"/>
    </xf>
    <xf numFmtId="165" fontId="13" fillId="6" borderId="60" xfId="123" applyFont="1" applyFill="1" applyBorder="1" applyAlignment="1">
      <alignment horizontal="center" vertical="center"/>
    </xf>
    <xf numFmtId="165" fontId="13" fillId="6" borderId="60" xfId="1" applyFont="1" applyFill="1" applyBorder="1" applyAlignment="1">
      <alignment horizontal="right" vertical="center"/>
    </xf>
    <xf numFmtId="165" fontId="13" fillId="6" borderId="0" xfId="1" applyFont="1" applyFill="1" applyBorder="1" applyAlignment="1">
      <alignment horizontal="right" vertical="center"/>
    </xf>
    <xf numFmtId="0" fontId="14" fillId="0" borderId="1" xfId="123" applyNumberFormat="1" applyFont="1" applyFill="1" applyBorder="1" applyAlignment="1">
      <alignment vertical="center"/>
    </xf>
    <xf numFmtId="165" fontId="14" fillId="0" borderId="23" xfId="1" quotePrefix="1" applyFont="1" applyFill="1" applyBorder="1" applyAlignment="1">
      <alignment vertical="center"/>
    </xf>
    <xf numFmtId="49" fontId="14" fillId="0" borderId="148" xfId="123" applyNumberFormat="1" applyFont="1" applyFill="1" applyBorder="1" applyAlignment="1">
      <alignment vertical="center"/>
    </xf>
    <xf numFmtId="49" fontId="14" fillId="18" borderId="1" xfId="16" applyNumberFormat="1" applyFont="1" applyFill="1" applyBorder="1" applyAlignment="1">
      <alignment horizontal="center" vertical="center"/>
    </xf>
    <xf numFmtId="165" fontId="35" fillId="18" borderId="1" xfId="1" quotePrefix="1" applyFont="1" applyFill="1" applyBorder="1" applyAlignment="1">
      <alignment vertical="center"/>
    </xf>
    <xf numFmtId="165" fontId="14" fillId="0" borderId="37" xfId="1" quotePrefix="1" applyFont="1" applyFill="1" applyBorder="1" applyAlignment="1">
      <alignment vertical="center"/>
    </xf>
    <xf numFmtId="165" fontId="14" fillId="13" borderId="59" xfId="1" applyFont="1" applyFill="1" applyBorder="1" applyAlignment="1">
      <alignment vertical="center"/>
    </xf>
    <xf numFmtId="165" fontId="35" fillId="3" borderId="1" xfId="1" quotePrefix="1" applyFont="1" applyFill="1" applyBorder="1" applyAlignment="1">
      <alignment vertical="center"/>
    </xf>
    <xf numFmtId="172" fontId="14" fillId="0" borderId="91" xfId="123" applyNumberFormat="1" applyFont="1" applyFill="1" applyBorder="1" applyAlignment="1">
      <alignment horizontal="center" vertical="center"/>
    </xf>
    <xf numFmtId="0" fontId="10" fillId="0" borderId="149" xfId="16" applyFont="1" applyBorder="1" applyAlignment="1">
      <alignment vertical="center"/>
    </xf>
    <xf numFmtId="0" fontId="10" fillId="0" borderId="149" xfId="16" applyFont="1" applyBorder="1" applyAlignment="1">
      <alignment horizontal="center" vertical="center"/>
    </xf>
    <xf numFmtId="0" fontId="54" fillId="6" borderId="95" xfId="0" applyFont="1" applyFill="1" applyBorder="1" applyAlignment="1">
      <alignment horizontal="center" vertical="center"/>
    </xf>
    <xf numFmtId="0" fontId="54" fillId="6" borderId="96" xfId="0" applyFont="1" applyFill="1" applyBorder="1" applyAlignment="1">
      <alignment horizontal="center" vertical="center"/>
    </xf>
    <xf numFmtId="0" fontId="54" fillId="6" borderId="57" xfId="0" applyFont="1" applyFill="1" applyBorder="1" applyAlignment="1">
      <alignment horizontal="center" vertical="center" wrapText="1"/>
    </xf>
    <xf numFmtId="0" fontId="54" fillId="0" borderId="50" xfId="0" applyFont="1" applyBorder="1"/>
    <xf numFmtId="0" fontId="54" fillId="0" borderId="50" xfId="0" applyFont="1" applyBorder="1" applyAlignment="1">
      <alignment horizontal="center"/>
    </xf>
    <xf numFmtId="3" fontId="54" fillId="0" borderId="50" xfId="0" applyNumberFormat="1" applyFont="1" applyBorder="1"/>
    <xf numFmtId="3" fontId="54" fillId="0" borderId="50" xfId="0" applyNumberFormat="1" applyFont="1" applyBorder="1" applyAlignment="1">
      <alignment horizontal="center"/>
    </xf>
    <xf numFmtId="0" fontId="54" fillId="0" borderId="50" xfId="0" applyFont="1" applyBorder="1" applyAlignment="1">
      <alignment horizontal="right" vertical="center"/>
    </xf>
    <xf numFmtId="0" fontId="70" fillId="0" borderId="1" xfId="0" applyFont="1" applyBorder="1"/>
    <xf numFmtId="0" fontId="54" fillId="0" borderId="1" xfId="0" applyFont="1" applyBorder="1" applyAlignment="1">
      <alignment horizontal="center"/>
    </xf>
    <xf numFmtId="3" fontId="32" fillId="3" borderId="1" xfId="0" applyNumberFormat="1" applyFont="1" applyFill="1" applyBorder="1" applyAlignment="1">
      <alignment horizontal="right"/>
    </xf>
    <xf numFmtId="0" fontId="32" fillId="3" borderId="1" xfId="0" applyFont="1" applyFill="1" applyBorder="1" applyAlignment="1">
      <alignment horizontal="left"/>
    </xf>
    <xf numFmtId="183" fontId="3" fillId="3" borderId="1" xfId="0" applyNumberFormat="1" applyFont="1" applyFill="1" applyBorder="1" applyAlignment="1">
      <alignment horizontal="right" vertical="center"/>
    </xf>
    <xf numFmtId="183" fontId="3" fillId="0" borderId="1" xfId="0" applyNumberFormat="1" applyFont="1" applyBorder="1" applyAlignment="1">
      <alignment horizontal="right" vertical="center"/>
    </xf>
    <xf numFmtId="3" fontId="3" fillId="0" borderId="1" xfId="0" applyNumberFormat="1" applyFont="1" applyBorder="1" applyAlignment="1">
      <alignment horizontal="right" vertical="center"/>
    </xf>
    <xf numFmtId="3" fontId="3" fillId="0" borderId="1" xfId="0" applyNumberFormat="1" applyFont="1" applyBorder="1" applyAlignment="1">
      <alignment horizontal="left" vertical="center"/>
    </xf>
    <xf numFmtId="4" fontId="6" fillId="0" borderId="1" xfId="0" applyNumberFormat="1" applyFont="1" applyBorder="1" applyAlignment="1">
      <alignment horizontal="right" vertical="center"/>
    </xf>
    <xf numFmtId="0" fontId="54" fillId="3" borderId="1" xfId="0" applyFont="1" applyFill="1" applyBorder="1" applyAlignment="1">
      <alignment horizontal="center"/>
    </xf>
    <xf numFmtId="43" fontId="3" fillId="3" borderId="37" xfId="188" applyFont="1" applyFill="1" applyBorder="1"/>
    <xf numFmtId="4" fontId="54" fillId="3" borderId="153" xfId="0" applyNumberFormat="1" applyFont="1" applyFill="1" applyBorder="1"/>
    <xf numFmtId="3" fontId="54" fillId="0" borderId="1" xfId="0" applyNumberFormat="1" applyFont="1" applyBorder="1"/>
    <xf numFmtId="4" fontId="54" fillId="0" borderId="1" xfId="0" applyNumberFormat="1" applyFont="1" applyBorder="1" applyAlignment="1">
      <alignment horizontal="right" vertical="center"/>
    </xf>
    <xf numFmtId="43" fontId="3" fillId="0" borderId="108" xfId="188" applyFont="1" applyBorder="1"/>
    <xf numFmtId="183" fontId="54" fillId="3" borderId="1" xfId="0" applyNumberFormat="1" applyFont="1" applyFill="1" applyBorder="1" applyAlignment="1">
      <alignment horizontal="right"/>
    </xf>
    <xf numFmtId="3" fontId="54" fillId="0" borderId="1" xfId="0" applyNumberFormat="1" applyFont="1" applyBorder="1" applyAlignment="1">
      <alignment horizontal="left"/>
    </xf>
    <xf numFmtId="4" fontId="3" fillId="0" borderId="1" xfId="0" applyNumberFormat="1" applyFont="1" applyBorder="1" applyAlignment="1">
      <alignment horizontal="right" vertical="center"/>
    </xf>
    <xf numFmtId="43" fontId="3" fillId="0" borderId="0" xfId="188" applyFont="1" applyBorder="1"/>
    <xf numFmtId="0" fontId="54" fillId="0" borderId="91" xfId="0" applyFont="1" applyBorder="1"/>
    <xf numFmtId="0" fontId="54" fillId="0" borderId="91" xfId="0" applyFont="1" applyBorder="1" applyAlignment="1">
      <alignment horizontal="center"/>
    </xf>
    <xf numFmtId="9" fontId="32" fillId="3" borderId="91" xfId="239" applyFont="1" applyFill="1" applyBorder="1" applyAlignment="1">
      <alignment horizontal="right"/>
    </xf>
    <xf numFmtId="43" fontId="54" fillId="3" borderId="69" xfId="0" applyNumberFormat="1" applyFont="1" applyFill="1" applyBorder="1" applyAlignment="1">
      <alignment horizontal="center"/>
    </xf>
    <xf numFmtId="4" fontId="54" fillId="3" borderId="154" xfId="0" applyNumberFormat="1" applyFont="1" applyFill="1" applyBorder="1"/>
    <xf numFmtId="4" fontId="54" fillId="0" borderId="91" xfId="0" applyNumberFormat="1" applyFont="1" applyBorder="1"/>
    <xf numFmtId="3" fontId="54" fillId="0" borderId="91" xfId="0" applyNumberFormat="1" applyFont="1" applyBorder="1"/>
    <xf numFmtId="3" fontId="54" fillId="0" borderId="91" xfId="0" applyNumberFormat="1" applyFont="1" applyBorder="1" applyAlignment="1">
      <alignment horizontal="left"/>
    </xf>
    <xf numFmtId="4" fontId="54" fillId="0" borderId="91" xfId="0" applyNumberFormat="1" applyFont="1" applyBorder="1" applyAlignment="1">
      <alignment horizontal="right" vertical="center"/>
    </xf>
    <xf numFmtId="4" fontId="3" fillId="0" borderId="91" xfId="0" applyNumberFormat="1" applyFont="1" applyBorder="1" applyAlignment="1">
      <alignment horizontal="right" vertical="center"/>
    </xf>
    <xf numFmtId="0" fontId="36" fillId="3" borderId="130" xfId="242" applyFont="1" applyFill="1" applyBorder="1" applyAlignment="1">
      <alignment horizontal="left" vertical="center" wrapText="1"/>
    </xf>
    <xf numFmtId="0" fontId="43" fillId="3" borderId="130" xfId="16" applyFont="1" applyFill="1" applyBorder="1" applyAlignment="1">
      <alignment horizontal="center" vertical="center"/>
    </xf>
    <xf numFmtId="0" fontId="43" fillId="3" borderId="130" xfId="241" applyFont="1" applyFill="1" applyBorder="1" applyAlignment="1">
      <alignment horizontal="justify" vertical="center" wrapText="1"/>
    </xf>
    <xf numFmtId="0" fontId="43" fillId="3" borderId="130" xfId="241" applyFont="1" applyFill="1" applyBorder="1" applyAlignment="1">
      <alignment horizontal="center" vertical="center"/>
    </xf>
    <xf numFmtId="4" fontId="43" fillId="3" borderId="130" xfId="241" applyNumberFormat="1" applyFont="1" applyFill="1" applyBorder="1" applyAlignment="1">
      <alignment horizontal="right" vertical="center"/>
    </xf>
    <xf numFmtId="4" fontId="43" fillId="3" borderId="130" xfId="241" applyNumberFormat="1" applyFont="1" applyFill="1" applyBorder="1" applyAlignment="1">
      <alignment vertical="center"/>
    </xf>
    <xf numFmtId="43" fontId="13" fillId="0" borderId="0" xfId="16" applyNumberFormat="1" applyFont="1" applyAlignment="1">
      <alignment vertical="center"/>
    </xf>
    <xf numFmtId="165" fontId="31" fillId="0" borderId="0" xfId="1" applyFont="1" applyAlignment="1">
      <alignment horizontal="right"/>
    </xf>
    <xf numFmtId="0" fontId="32" fillId="0" borderId="50" xfId="0" applyFont="1" applyBorder="1"/>
    <xf numFmtId="0" fontId="32" fillId="3" borderId="1" xfId="0" applyFont="1" applyFill="1" applyBorder="1" applyAlignment="1">
      <alignment horizontal="center"/>
    </xf>
    <xf numFmtId="0" fontId="16" fillId="0" borderId="59" xfId="0" applyFont="1" applyBorder="1"/>
    <xf numFmtId="49" fontId="14" fillId="18" borderId="60" xfId="123" applyNumberFormat="1" applyFont="1" applyFill="1" applyBorder="1" applyAlignment="1">
      <alignment horizontal="center" vertical="center"/>
    </xf>
    <xf numFmtId="49" fontId="14" fillId="18" borderId="1" xfId="123" applyNumberFormat="1" applyFont="1" applyFill="1" applyBorder="1" applyAlignment="1">
      <alignment horizontal="center" vertical="center"/>
    </xf>
    <xf numFmtId="165" fontId="35" fillId="36" borderId="1" xfId="1" quotePrefix="1" applyFont="1" applyFill="1" applyBorder="1" applyAlignment="1">
      <alignment vertical="center"/>
    </xf>
    <xf numFmtId="165" fontId="14" fillId="36" borderId="1" xfId="1" applyFont="1" applyFill="1" applyBorder="1" applyAlignment="1">
      <alignment vertical="center"/>
    </xf>
    <xf numFmtId="0" fontId="14" fillId="12" borderId="0" xfId="16" applyFont="1" applyFill="1" applyAlignment="1">
      <alignment vertical="center"/>
    </xf>
    <xf numFmtId="165" fontId="27" fillId="36" borderId="1" xfId="1" quotePrefix="1" applyFont="1" applyFill="1" applyBorder="1" applyAlignment="1">
      <alignment vertical="center"/>
    </xf>
    <xf numFmtId="165" fontId="13" fillId="6" borderId="1" xfId="1" applyFont="1" applyFill="1" applyBorder="1" applyAlignment="1">
      <alignment horizontal="right" vertical="center"/>
    </xf>
    <xf numFmtId="165" fontId="14" fillId="2" borderId="1" xfId="1" quotePrefix="1" applyFont="1" applyFill="1" applyBorder="1" applyAlignment="1">
      <alignment horizontal="right" vertical="center"/>
    </xf>
    <xf numFmtId="165" fontId="15" fillId="6" borderId="1" xfId="1" applyFont="1" applyFill="1" applyBorder="1" applyAlignment="1">
      <alignment vertical="center"/>
    </xf>
    <xf numFmtId="165" fontId="16" fillId="3" borderId="1" xfId="1" quotePrefix="1" applyFont="1" applyFill="1" applyBorder="1" applyAlignment="1">
      <alignment vertical="center"/>
    </xf>
    <xf numFmtId="165" fontId="16" fillId="3" borderId="1" xfId="1" applyFont="1" applyFill="1" applyBorder="1" applyAlignment="1">
      <alignment vertical="center"/>
    </xf>
    <xf numFmtId="165" fontId="27" fillId="3" borderId="1" xfId="1" quotePrefix="1" applyFont="1" applyFill="1" applyBorder="1" applyAlignment="1">
      <alignment vertical="center"/>
    </xf>
    <xf numFmtId="165" fontId="14" fillId="19" borderId="1" xfId="1" applyFont="1" applyFill="1" applyBorder="1" applyAlignment="1">
      <alignment vertical="center"/>
    </xf>
    <xf numFmtId="165" fontId="14" fillId="24" borderId="1" xfId="1" quotePrefix="1" applyFont="1" applyFill="1" applyBorder="1" applyAlignment="1">
      <alignment vertical="center"/>
    </xf>
    <xf numFmtId="0" fontId="71" fillId="13" borderId="30" xfId="0" applyFont="1" applyFill="1" applyBorder="1" applyAlignment="1">
      <alignment horizontal="center" vertical="center" wrapText="1"/>
    </xf>
    <xf numFmtId="0" fontId="71" fillId="13" borderId="48" xfId="0" applyFont="1" applyFill="1" applyBorder="1" applyAlignment="1">
      <alignment horizontal="center" vertical="center" wrapText="1"/>
    </xf>
    <xf numFmtId="0" fontId="19" fillId="18" borderId="0" xfId="0" applyFont="1" applyFill="1"/>
    <xf numFmtId="0" fontId="14" fillId="18" borderId="0" xfId="16" applyFont="1" applyFill="1" applyAlignment="1">
      <alignment vertical="center"/>
    </xf>
    <xf numFmtId="0" fontId="19" fillId="24" borderId="0" xfId="0" applyFont="1" applyFill="1"/>
    <xf numFmtId="0" fontId="14" fillId="24" borderId="0" xfId="16" applyFont="1" applyFill="1" applyAlignment="1">
      <alignment vertical="center"/>
    </xf>
    <xf numFmtId="43" fontId="55" fillId="0" borderId="130" xfId="16" applyNumberFormat="1" applyFont="1" applyBorder="1" applyAlignment="1">
      <alignment vertical="center"/>
    </xf>
    <xf numFmtId="0" fontId="14" fillId="10" borderId="10" xfId="16" applyFont="1" applyFill="1" applyBorder="1" applyAlignment="1">
      <alignment vertical="center"/>
    </xf>
    <xf numFmtId="177" fontId="14" fillId="0" borderId="0" xfId="239" applyNumberFormat="1" applyFont="1" applyAlignment="1">
      <alignment horizontal="center" vertical="center"/>
    </xf>
    <xf numFmtId="43" fontId="10" fillId="0" borderId="0" xfId="16" applyNumberFormat="1" applyFont="1" applyAlignment="1">
      <alignment horizontal="center" vertical="center"/>
    </xf>
    <xf numFmtId="0" fontId="10" fillId="16" borderId="99" xfId="16" applyFont="1" applyFill="1" applyBorder="1" applyAlignment="1">
      <alignment vertical="center" wrapText="1"/>
    </xf>
    <xf numFmtId="177" fontId="10" fillId="16" borderId="46" xfId="239" applyNumberFormat="1" applyFont="1" applyFill="1" applyBorder="1" applyAlignment="1">
      <alignment horizontal="center" vertical="center"/>
    </xf>
    <xf numFmtId="0" fontId="10" fillId="16" borderId="46" xfId="16" applyFont="1" applyFill="1" applyBorder="1" applyAlignment="1">
      <alignment horizontal="center" vertical="center"/>
    </xf>
    <xf numFmtId="183" fontId="10" fillId="16" borderId="100" xfId="16" applyNumberFormat="1" applyFont="1" applyFill="1" applyBorder="1" applyAlignment="1">
      <alignment horizontal="right" vertical="center"/>
    </xf>
    <xf numFmtId="0" fontId="10" fillId="16" borderId="27" xfId="16" applyFont="1" applyFill="1" applyBorder="1" applyAlignment="1">
      <alignment vertical="center" wrapText="1"/>
    </xf>
    <xf numFmtId="177" fontId="10" fillId="16" borderId="0" xfId="239" applyNumberFormat="1" applyFont="1" applyFill="1" applyBorder="1" applyAlignment="1">
      <alignment horizontal="center" vertical="center"/>
    </xf>
    <xf numFmtId="0" fontId="10" fillId="16" borderId="0" xfId="16" applyFont="1" applyFill="1" applyAlignment="1">
      <alignment vertical="center"/>
    </xf>
    <xf numFmtId="183" fontId="10" fillId="16" borderId="28" xfId="16" applyNumberFormat="1" applyFont="1" applyFill="1" applyBorder="1" applyAlignment="1">
      <alignment horizontal="right" vertical="center"/>
    </xf>
    <xf numFmtId="0" fontId="10" fillId="16" borderId="27" xfId="16" applyFont="1" applyFill="1" applyBorder="1" applyAlignment="1">
      <alignment horizontal="left" vertical="center"/>
    </xf>
    <xf numFmtId="0" fontId="10" fillId="16" borderId="0" xfId="16" applyFont="1" applyFill="1" applyAlignment="1">
      <alignment horizontal="right" vertical="center"/>
    </xf>
    <xf numFmtId="43" fontId="10" fillId="16" borderId="28" xfId="16" applyNumberFormat="1" applyFont="1" applyFill="1" applyBorder="1" applyAlignment="1">
      <alignment horizontal="center" vertical="center"/>
    </xf>
    <xf numFmtId="0" fontId="10" fillId="16" borderId="95" xfId="16" applyFont="1" applyFill="1" applyBorder="1" applyAlignment="1">
      <alignment vertical="center" wrapText="1"/>
    </xf>
    <xf numFmtId="177" fontId="10" fillId="16" borderId="22" xfId="239" applyNumberFormat="1" applyFont="1" applyFill="1" applyBorder="1" applyAlignment="1">
      <alignment horizontal="center" vertical="center"/>
    </xf>
    <xf numFmtId="0" fontId="10" fillId="16" borderId="22" xfId="16" applyFont="1" applyFill="1" applyBorder="1" applyAlignment="1">
      <alignment vertical="center"/>
    </xf>
    <xf numFmtId="183" fontId="10" fillId="16" borderId="96" xfId="16" applyNumberFormat="1" applyFont="1" applyFill="1" applyBorder="1" applyAlignment="1">
      <alignment horizontal="right" vertical="center"/>
    </xf>
    <xf numFmtId="0" fontId="10" fillId="16" borderId="0" xfId="16" applyFont="1" applyFill="1" applyAlignment="1">
      <alignment horizontal="center" vertical="center"/>
    </xf>
    <xf numFmtId="0" fontId="52" fillId="16" borderId="56" xfId="16" applyFont="1" applyFill="1" applyBorder="1" applyAlignment="1">
      <alignment horizontal="center" vertical="center"/>
    </xf>
    <xf numFmtId="183" fontId="52" fillId="16" borderId="56" xfId="16" applyNumberFormat="1" applyFont="1" applyFill="1" applyBorder="1" applyAlignment="1">
      <alignment horizontal="right" vertical="center"/>
    </xf>
    <xf numFmtId="165" fontId="37" fillId="0" borderId="0" xfId="1" applyFont="1" applyBorder="1"/>
    <xf numFmtId="0" fontId="37" fillId="0" borderId="0" xfId="0" applyFont="1"/>
    <xf numFmtId="3" fontId="58" fillId="0" borderId="0" xfId="0" applyNumberFormat="1" applyFont="1" applyAlignment="1">
      <alignment horizontal="center" vertical="center" wrapText="1"/>
    </xf>
    <xf numFmtId="0" fontId="65" fillId="0" borderId="0" xfId="242" applyFont="1" applyAlignment="1">
      <alignment horizontal="center" vertical="justify" wrapText="1"/>
    </xf>
    <xf numFmtId="0" fontId="65" fillId="0" borderId="0" xfId="242" applyFont="1" applyAlignment="1">
      <alignment vertical="justify" wrapText="1"/>
    </xf>
    <xf numFmtId="0" fontId="43" fillId="0" borderId="48" xfId="16" applyFont="1" applyBorder="1"/>
    <xf numFmtId="10" fontId="43" fillId="0" borderId="129" xfId="16" applyNumberFormat="1" applyFont="1" applyBorder="1" applyAlignment="1">
      <alignment horizontal="center" vertical="center"/>
    </xf>
    <xf numFmtId="0" fontId="43" fillId="0" borderId="130" xfId="16" applyFont="1" applyBorder="1"/>
    <xf numFmtId="0" fontId="43" fillId="0" borderId="56" xfId="16" applyFont="1" applyBorder="1" applyAlignment="1">
      <alignment horizontal="center" vertical="center"/>
    </xf>
    <xf numFmtId="0" fontId="43" fillId="0" borderId="56" xfId="16" applyFont="1" applyBorder="1"/>
    <xf numFmtId="10" fontId="43" fillId="0" borderId="22" xfId="16" applyNumberFormat="1" applyFont="1" applyBorder="1" applyAlignment="1">
      <alignment horizontal="center" vertical="center"/>
    </xf>
    <xf numFmtId="49" fontId="10" fillId="0" borderId="22" xfId="16" applyNumberFormat="1" applyFont="1" applyBorder="1" applyAlignment="1">
      <alignment vertical="center"/>
    </xf>
    <xf numFmtId="10" fontId="36" fillId="0" borderId="0" xfId="16" applyNumberFormat="1" applyFont="1" applyAlignment="1">
      <alignment horizontal="center" vertical="center"/>
    </xf>
    <xf numFmtId="10" fontId="43" fillId="0" borderId="134" xfId="16" applyNumberFormat="1" applyFont="1" applyBorder="1" applyAlignment="1">
      <alignment horizontal="center" vertical="center"/>
    </xf>
    <xf numFmtId="0" fontId="43" fillId="0" borderId="135" xfId="16" applyFont="1" applyBorder="1"/>
    <xf numFmtId="49" fontId="14" fillId="3" borderId="20" xfId="123" applyNumberFormat="1" applyFont="1" applyFill="1" applyBorder="1" applyAlignment="1">
      <alignment vertical="center"/>
    </xf>
    <xf numFmtId="49" fontId="14" fillId="3" borderId="1" xfId="0" applyNumberFormat="1" applyFont="1" applyFill="1" applyBorder="1" applyAlignment="1">
      <alignment horizontal="center" vertical="center"/>
    </xf>
    <xf numFmtId="0" fontId="43" fillId="0" borderId="139" xfId="16" applyFont="1" applyBorder="1"/>
    <xf numFmtId="10" fontId="43" fillId="0" borderId="138" xfId="16" applyNumberFormat="1" applyFont="1" applyBorder="1" applyAlignment="1">
      <alignment horizontal="center" vertical="center"/>
    </xf>
    <xf numFmtId="10" fontId="43" fillId="0" borderId="150" xfId="16" applyNumberFormat="1" applyFont="1" applyBorder="1" applyAlignment="1">
      <alignment horizontal="center" vertical="center"/>
    </xf>
    <xf numFmtId="0" fontId="43" fillId="0" borderId="151" xfId="16" applyFont="1" applyBorder="1"/>
    <xf numFmtId="49" fontId="14" fillId="0" borderId="155" xfId="123" applyNumberFormat="1" applyFont="1" applyFill="1" applyBorder="1" applyAlignment="1">
      <alignment vertical="center"/>
    </xf>
    <xf numFmtId="2" fontId="14" fillId="0" borderId="91" xfId="123" applyNumberFormat="1" applyFont="1" applyFill="1" applyBorder="1" applyAlignment="1">
      <alignment vertical="center" wrapText="1"/>
    </xf>
    <xf numFmtId="49" fontId="14" fillId="0" borderId="91" xfId="123" applyNumberFormat="1" applyFont="1" applyFill="1" applyBorder="1" applyAlignment="1">
      <alignment horizontal="center" vertical="center"/>
    </xf>
    <xf numFmtId="165" fontId="14" fillId="3" borderId="91" xfId="1" quotePrefix="1" applyFont="1" applyFill="1" applyBorder="1" applyAlignment="1">
      <alignment vertical="center"/>
    </xf>
    <xf numFmtId="165" fontId="14" fillId="0" borderId="91" xfId="1" quotePrefix="1" applyFont="1" applyFill="1" applyBorder="1" applyAlignment="1">
      <alignment vertical="center"/>
    </xf>
    <xf numFmtId="165" fontId="14" fillId="0" borderId="91" xfId="1" applyFont="1" applyFill="1" applyBorder="1" applyAlignment="1">
      <alignment vertical="center"/>
    </xf>
    <xf numFmtId="49" fontId="14" fillId="0" borderId="91" xfId="123" applyNumberFormat="1" applyFont="1" applyFill="1" applyBorder="1" applyAlignment="1">
      <alignment vertical="center"/>
    </xf>
    <xf numFmtId="0" fontId="0" fillId="3" borderId="0" xfId="0" applyFill="1" applyAlignment="1">
      <alignment horizontal="center"/>
    </xf>
    <xf numFmtId="0" fontId="33" fillId="3" borderId="0" xfId="0" applyFont="1" applyFill="1"/>
    <xf numFmtId="0" fontId="0" fillId="3" borderId="0" xfId="0" applyFill="1"/>
    <xf numFmtId="3" fontId="0" fillId="3" borderId="0" xfId="0" applyNumberFormat="1" applyFill="1"/>
    <xf numFmtId="3" fontId="0" fillId="3" borderId="0" xfId="0" applyNumberFormat="1" applyFill="1" applyAlignment="1">
      <alignment horizontal="center"/>
    </xf>
    <xf numFmtId="0" fontId="0" fillId="3" borderId="0" xfId="0" applyFill="1" applyAlignment="1">
      <alignment horizontal="right" vertical="center"/>
    </xf>
    <xf numFmtId="4" fontId="6" fillId="3" borderId="0" xfId="0" applyNumberFormat="1" applyFont="1" applyFill="1" applyAlignment="1">
      <alignment horizontal="right" vertical="center"/>
    </xf>
    <xf numFmtId="2" fontId="0" fillId="3" borderId="0" xfId="0" applyNumberFormat="1" applyFill="1"/>
    <xf numFmtId="3" fontId="31" fillId="3" borderId="0" xfId="0" applyNumberFormat="1" applyFont="1" applyFill="1" applyAlignment="1">
      <alignment horizontal="left"/>
    </xf>
    <xf numFmtId="185" fontId="31" fillId="3" borderId="0" xfId="0" applyNumberFormat="1" applyFont="1" applyFill="1" applyAlignment="1">
      <alignment horizontal="right" vertical="center"/>
    </xf>
    <xf numFmtId="4" fontId="20" fillId="3" borderId="0" xfId="0" applyNumberFormat="1" applyFont="1" applyFill="1" applyAlignment="1">
      <alignment horizontal="right" vertical="center"/>
    </xf>
    <xf numFmtId="165" fontId="0" fillId="3" borderId="0" xfId="1" applyFont="1" applyFill="1"/>
    <xf numFmtId="3" fontId="0" fillId="3" borderId="0" xfId="0" applyNumberFormat="1" applyFill="1" applyAlignment="1">
      <alignment horizontal="left"/>
    </xf>
    <xf numFmtId="183" fontId="3" fillId="3" borderId="0" xfId="0" applyNumberFormat="1" applyFont="1" applyFill="1" applyAlignment="1">
      <alignment horizontal="right" vertical="center"/>
    </xf>
    <xf numFmtId="3" fontId="3" fillId="3" borderId="0" xfId="0" applyNumberFormat="1" applyFont="1" applyFill="1" applyAlignment="1">
      <alignment horizontal="right" vertical="center"/>
    </xf>
    <xf numFmtId="3" fontId="3" fillId="3" borderId="0" xfId="0" applyNumberFormat="1" applyFont="1" applyFill="1" applyAlignment="1">
      <alignment horizontal="center" vertical="center"/>
    </xf>
    <xf numFmtId="183" fontId="6" fillId="3" borderId="0" xfId="0" applyNumberFormat="1" applyFont="1" applyFill="1" applyAlignment="1">
      <alignment horizontal="right" vertical="center"/>
    </xf>
    <xf numFmtId="43" fontId="34" fillId="3" borderId="0" xfId="188" applyFont="1" applyFill="1" applyBorder="1"/>
    <xf numFmtId="184" fontId="31" fillId="3" borderId="0" xfId="0" applyNumberFormat="1" applyFont="1" applyFill="1" applyAlignment="1">
      <alignment horizontal="right" vertical="center"/>
    </xf>
    <xf numFmtId="43" fontId="34" fillId="3" borderId="0" xfId="188" applyFont="1" applyFill="1"/>
    <xf numFmtId="184" fontId="31" fillId="3" borderId="0" xfId="188" applyNumberFormat="1" applyFont="1" applyFill="1" applyAlignment="1">
      <alignment horizontal="right" vertical="center"/>
    </xf>
    <xf numFmtId="184" fontId="31" fillId="3" borderId="0" xfId="0" applyNumberFormat="1" applyFont="1" applyFill="1" applyAlignment="1">
      <alignment horizontal="right"/>
    </xf>
    <xf numFmtId="184" fontId="31" fillId="3" borderId="0" xfId="188" applyNumberFormat="1" applyFont="1" applyFill="1" applyBorder="1" applyAlignment="1">
      <alignment horizontal="right" vertical="center"/>
    </xf>
    <xf numFmtId="4" fontId="0" fillId="3" borderId="0" xfId="0" applyNumberFormat="1" applyFill="1" applyAlignment="1">
      <alignment horizontal="right" vertical="center"/>
    </xf>
    <xf numFmtId="0" fontId="18" fillId="3" borderId="0" xfId="0" applyFont="1" applyFill="1" applyAlignment="1">
      <alignment horizontal="center"/>
    </xf>
    <xf numFmtId="184" fontId="31" fillId="3" borderId="0" xfId="188" quotePrefix="1" applyNumberFormat="1" applyFont="1" applyFill="1" applyBorder="1" applyAlignment="1">
      <alignment horizontal="right" vertical="center"/>
    </xf>
    <xf numFmtId="43" fontId="20" fillId="3" borderId="0" xfId="188" applyFont="1" applyFill="1" applyBorder="1" applyAlignment="1">
      <alignment horizontal="right" vertical="center"/>
    </xf>
    <xf numFmtId="0" fontId="0" fillId="3" borderId="0" xfId="0" applyFill="1" applyAlignment="1">
      <alignment horizontal="left"/>
    </xf>
    <xf numFmtId="4" fontId="0" fillId="3" borderId="0" xfId="0" applyNumberFormat="1" applyFill="1" applyAlignment="1">
      <alignment horizontal="center"/>
    </xf>
    <xf numFmtId="3" fontId="31" fillId="3" borderId="0" xfId="0" applyNumberFormat="1" applyFont="1" applyFill="1" applyAlignment="1">
      <alignment horizontal="right"/>
    </xf>
    <xf numFmtId="0" fontId="31" fillId="3" borderId="0" xfId="0" applyFont="1" applyFill="1" applyAlignment="1">
      <alignment horizontal="left"/>
    </xf>
    <xf numFmtId="165" fontId="31" fillId="3" borderId="130" xfId="1" applyFont="1" applyFill="1" applyBorder="1" applyAlignment="1">
      <alignment horizontal="right"/>
    </xf>
    <xf numFmtId="0" fontId="32" fillId="3" borderId="130" xfId="0" applyFont="1" applyFill="1" applyBorder="1"/>
    <xf numFmtId="3" fontId="36" fillId="3" borderId="0" xfId="0" applyNumberFormat="1" applyFont="1" applyFill="1" applyAlignment="1">
      <alignment horizontal="left" vertical="center"/>
    </xf>
    <xf numFmtId="165" fontId="3" fillId="3" borderId="0" xfId="1" applyFont="1" applyFill="1" applyBorder="1"/>
    <xf numFmtId="4" fontId="0" fillId="3" borderId="0" xfId="0" applyNumberFormat="1" applyFill="1"/>
    <xf numFmtId="183" fontId="0" fillId="3" borderId="0" xfId="0" applyNumberFormat="1" applyFill="1" applyAlignment="1">
      <alignment horizontal="right"/>
    </xf>
    <xf numFmtId="3" fontId="37" fillId="3" borderId="0" xfId="0" applyNumberFormat="1" applyFont="1" applyFill="1" applyAlignment="1">
      <alignment horizontal="left"/>
    </xf>
    <xf numFmtId="9" fontId="31" fillId="3" borderId="0" xfId="239" applyFont="1" applyFill="1" applyBorder="1" applyAlignment="1">
      <alignment horizontal="right"/>
    </xf>
    <xf numFmtId="43" fontId="0" fillId="3" borderId="0" xfId="0" applyNumberFormat="1" applyFill="1" applyAlignment="1">
      <alignment horizontal="center"/>
    </xf>
    <xf numFmtId="4" fontId="31" fillId="3" borderId="0" xfId="0" applyNumberFormat="1" applyFont="1" applyFill="1" applyAlignment="1">
      <alignment horizontal="center"/>
    </xf>
    <xf numFmtId="4" fontId="38" fillId="3" borderId="0" xfId="0" quotePrefix="1" applyNumberFormat="1" applyFont="1" applyFill="1"/>
    <xf numFmtId="4" fontId="31" fillId="3" borderId="0" xfId="0" applyNumberFormat="1" applyFont="1" applyFill="1" applyAlignment="1">
      <alignment horizontal="right" vertical="center"/>
    </xf>
    <xf numFmtId="173" fontId="31" fillId="3" borderId="0" xfId="0" applyNumberFormat="1" applyFont="1" applyFill="1" applyAlignment="1">
      <alignment horizontal="right" vertical="center"/>
    </xf>
    <xf numFmtId="183" fontId="31" fillId="3" borderId="0" xfId="0" applyNumberFormat="1" applyFont="1" applyFill="1" applyAlignment="1">
      <alignment horizontal="right"/>
    </xf>
    <xf numFmtId="183" fontId="39" fillId="3" borderId="0" xfId="0" applyNumberFormat="1" applyFont="1" applyFill="1" applyAlignment="1">
      <alignment horizontal="right"/>
    </xf>
    <xf numFmtId="9" fontId="31" fillId="3" borderId="0" xfId="239" applyFont="1" applyFill="1" applyAlignment="1">
      <alignment horizontal="center"/>
    </xf>
    <xf numFmtId="10" fontId="0" fillId="3" borderId="0" xfId="239" applyNumberFormat="1" applyFont="1" applyFill="1" applyBorder="1"/>
    <xf numFmtId="0" fontId="33" fillId="3" borderId="46" xfId="0" applyFont="1" applyFill="1" applyBorder="1"/>
    <xf numFmtId="0" fontId="0" fillId="3" borderId="46" xfId="0" applyFill="1" applyBorder="1" applyAlignment="1">
      <alignment horizontal="center"/>
    </xf>
    <xf numFmtId="0" fontId="0" fillId="3" borderId="46" xfId="0" applyFill="1" applyBorder="1"/>
    <xf numFmtId="3" fontId="0" fillId="3" borderId="46" xfId="0" applyNumberFormat="1" applyFill="1" applyBorder="1"/>
    <xf numFmtId="3" fontId="37" fillId="3" borderId="46" xfId="0" applyNumberFormat="1" applyFont="1" applyFill="1" applyBorder="1" applyAlignment="1">
      <alignment horizontal="left"/>
    </xf>
    <xf numFmtId="4" fontId="0" fillId="3" borderId="46" xfId="0" applyNumberFormat="1" applyFill="1" applyBorder="1" applyAlignment="1">
      <alignment horizontal="right" vertical="center"/>
    </xf>
    <xf numFmtId="183" fontId="6" fillId="3" borderId="46" xfId="0" applyNumberFormat="1" applyFont="1" applyFill="1" applyBorder="1" applyAlignment="1">
      <alignment horizontal="right" vertical="center"/>
    </xf>
    <xf numFmtId="183" fontId="0" fillId="3" borderId="0" xfId="0" applyNumberFormat="1" applyFill="1" applyAlignment="1">
      <alignment horizontal="center"/>
    </xf>
    <xf numFmtId="43" fontId="0" fillId="3" borderId="0" xfId="188" applyFont="1" applyFill="1" applyAlignment="1">
      <alignment horizontal="center"/>
    </xf>
    <xf numFmtId="0" fontId="0" fillId="3" borderId="0" xfId="0" quotePrefix="1" applyFill="1"/>
    <xf numFmtId="165" fontId="0" fillId="3" borderId="0" xfId="1" quotePrefix="1" applyFont="1" applyFill="1"/>
    <xf numFmtId="43" fontId="0" fillId="3" borderId="0" xfId="188" applyFont="1" applyFill="1" applyBorder="1" applyAlignment="1">
      <alignment horizontal="center"/>
    </xf>
    <xf numFmtId="0" fontId="0" fillId="3" borderId="22" xfId="0" applyFill="1" applyBorder="1"/>
    <xf numFmtId="0" fontId="0" fillId="3" borderId="22" xfId="0" applyFill="1" applyBorder="1" applyAlignment="1">
      <alignment horizontal="center"/>
    </xf>
    <xf numFmtId="183" fontId="31" fillId="3" borderId="22" xfId="0" applyNumberFormat="1" applyFont="1" applyFill="1" applyBorder="1" applyAlignment="1">
      <alignment horizontal="center"/>
    </xf>
    <xf numFmtId="43" fontId="0" fillId="3" borderId="22" xfId="188" applyFont="1" applyFill="1" applyBorder="1" applyAlignment="1">
      <alignment horizontal="center"/>
    </xf>
    <xf numFmtId="3" fontId="0" fillId="3" borderId="22" xfId="0" applyNumberFormat="1" applyFill="1" applyBorder="1"/>
    <xf numFmtId="3" fontId="37" fillId="3" borderId="22" xfId="0" applyNumberFormat="1" applyFont="1" applyFill="1" applyBorder="1" applyAlignment="1">
      <alignment horizontal="left"/>
    </xf>
    <xf numFmtId="4" fontId="0" fillId="3" borderId="22" xfId="0" quotePrefix="1" applyNumberFormat="1" applyFill="1" applyBorder="1" applyAlignment="1">
      <alignment horizontal="right" vertical="center"/>
    </xf>
    <xf numFmtId="4" fontId="31" fillId="3" borderId="22" xfId="0" applyNumberFormat="1" applyFont="1" applyFill="1" applyBorder="1" applyAlignment="1">
      <alignment horizontal="right" vertical="center"/>
    </xf>
    <xf numFmtId="3" fontId="31" fillId="3" borderId="0" xfId="0" applyNumberFormat="1" applyFont="1" applyFill="1"/>
    <xf numFmtId="3" fontId="44" fillId="3" borderId="0" xfId="0" applyNumberFormat="1" applyFont="1" applyFill="1" applyAlignment="1">
      <alignment horizontal="left" vertical="center"/>
    </xf>
    <xf numFmtId="0" fontId="0" fillId="3" borderId="0" xfId="0" applyFill="1" applyAlignment="1">
      <alignment horizontal="right"/>
    </xf>
    <xf numFmtId="165" fontId="0" fillId="3" borderId="0" xfId="1" applyFont="1" applyFill="1" applyAlignment="1">
      <alignment horizontal="right"/>
    </xf>
    <xf numFmtId="3" fontId="0" fillId="3" borderId="0" xfId="0" quotePrefix="1" applyNumberFormat="1" applyFill="1" applyAlignment="1">
      <alignment horizontal="right"/>
    </xf>
    <xf numFmtId="0" fontId="3" fillId="30" borderId="34" xfId="0" applyFont="1" applyFill="1" applyBorder="1" applyAlignment="1">
      <alignment horizontal="center" vertical="center"/>
    </xf>
    <xf numFmtId="0" fontId="3" fillId="0" borderId="45" xfId="0" applyFont="1" applyBorder="1" applyAlignment="1">
      <alignment horizontal="center" vertical="center"/>
    </xf>
    <xf numFmtId="0" fontId="3" fillId="30" borderId="35" xfId="0" applyFont="1" applyFill="1" applyBorder="1" applyAlignment="1">
      <alignment horizontal="center" vertical="center" wrapText="1"/>
    </xf>
    <xf numFmtId="0" fontId="3" fillId="0" borderId="59" xfId="0" applyFont="1" applyBorder="1" applyAlignment="1">
      <alignment horizontal="center" vertical="center" wrapText="1"/>
    </xf>
    <xf numFmtId="0" fontId="3" fillId="30" borderId="35" xfId="0" applyFont="1" applyFill="1" applyBorder="1" applyAlignment="1">
      <alignment horizontal="center" vertical="center"/>
    </xf>
    <xf numFmtId="0" fontId="3" fillId="0" borderId="59" xfId="0" applyFont="1" applyBorder="1" applyAlignment="1">
      <alignment horizontal="center" vertical="center"/>
    </xf>
    <xf numFmtId="49" fontId="3" fillId="0" borderId="36" xfId="0" applyNumberFormat="1" applyFont="1" applyBorder="1" applyAlignment="1">
      <alignment horizontal="center" vertical="center"/>
    </xf>
    <xf numFmtId="0" fontId="3" fillId="0" borderId="18" xfId="0" applyFont="1" applyBorder="1" applyAlignment="1">
      <alignment horizontal="center" vertical="center"/>
    </xf>
    <xf numFmtId="0" fontId="54" fillId="0" borderId="145" xfId="0" applyFont="1" applyBorder="1" applyAlignment="1">
      <alignment horizontal="center" vertical="center"/>
    </xf>
    <xf numFmtId="0" fontId="54" fillId="0" borderId="17" xfId="0" applyFont="1" applyBorder="1" applyAlignment="1">
      <alignment horizontal="center" vertical="center"/>
    </xf>
    <xf numFmtId="0" fontId="12" fillId="33" borderId="131" xfId="242" applyFont="1" applyFill="1" applyBorder="1" applyAlignment="1">
      <alignment horizontal="center" vertical="center"/>
    </xf>
    <xf numFmtId="0" fontId="12" fillId="33" borderId="56" xfId="242" applyFont="1" applyFill="1" applyBorder="1" applyAlignment="1">
      <alignment horizontal="center" vertical="center"/>
    </xf>
    <xf numFmtId="0" fontId="12" fillId="33" borderId="132" xfId="242" applyFont="1" applyFill="1" applyBorder="1" applyAlignment="1">
      <alignment horizontal="center" vertical="center"/>
    </xf>
    <xf numFmtId="0" fontId="49" fillId="0" borderId="0" xfId="242" applyFont="1" applyAlignment="1">
      <alignment horizontal="center" vertical="center"/>
    </xf>
    <xf numFmtId="0" fontId="22" fillId="0" borderId="0" xfId="16" applyFont="1" applyAlignment="1">
      <alignment horizontal="center" vertical="center"/>
    </xf>
    <xf numFmtId="0" fontId="17" fillId="33" borderId="130" xfId="242" applyFont="1" applyFill="1" applyBorder="1" applyAlignment="1">
      <alignment horizontal="center" vertical="center"/>
    </xf>
    <xf numFmtId="0" fontId="66" fillId="33" borderId="130" xfId="242" applyFont="1" applyFill="1" applyBorder="1" applyAlignment="1">
      <alignment horizontal="center" vertical="center"/>
    </xf>
    <xf numFmtId="0" fontId="65" fillId="0" borderId="0" xfId="242" applyFont="1" applyAlignment="1">
      <alignment horizontal="center" vertical="justify" wrapText="1"/>
    </xf>
    <xf numFmtId="0" fontId="43" fillId="0" borderId="130" xfId="16" applyFont="1" applyBorder="1" applyAlignment="1">
      <alignment horizontal="center" vertical="center"/>
    </xf>
    <xf numFmtId="0" fontId="10" fillId="3" borderId="0" xfId="16" applyFont="1" applyFill="1" applyAlignment="1">
      <alignment horizontal="left" vertical="center"/>
    </xf>
    <xf numFmtId="0" fontId="29" fillId="6" borderId="5" xfId="16" applyFont="1" applyFill="1" applyBorder="1" applyAlignment="1">
      <alignment horizontal="center" vertical="center"/>
    </xf>
    <xf numFmtId="0" fontId="29" fillId="6" borderId="0" xfId="16" applyFont="1" applyFill="1" applyAlignment="1">
      <alignment horizontal="center" vertical="center"/>
    </xf>
    <xf numFmtId="49" fontId="29" fillId="6" borderId="5" xfId="16" applyNumberFormat="1" applyFont="1" applyFill="1" applyBorder="1" applyAlignment="1">
      <alignment horizontal="center" vertical="center"/>
    </xf>
    <xf numFmtId="49" fontId="29" fillId="6" borderId="0" xfId="16" applyNumberFormat="1" applyFont="1" applyFill="1" applyAlignment="1">
      <alignment horizontal="center" vertical="center"/>
    </xf>
    <xf numFmtId="49" fontId="25" fillId="6" borderId="10" xfId="16" applyNumberFormat="1" applyFont="1" applyFill="1" applyBorder="1" applyAlignment="1">
      <alignment horizontal="center" vertical="center"/>
    </xf>
    <xf numFmtId="49" fontId="25" fillId="6" borderId="11" xfId="16" applyNumberFormat="1" applyFont="1" applyFill="1" applyBorder="1" applyAlignment="1">
      <alignment horizontal="center" vertical="center"/>
    </xf>
    <xf numFmtId="0" fontId="0" fillId="8" borderId="13" xfId="0" applyFill="1" applyBorder="1" applyAlignment="1">
      <alignment horizontal="center" vertical="center"/>
    </xf>
    <xf numFmtId="0" fontId="0" fillId="8" borderId="39" xfId="0" applyFill="1" applyBorder="1" applyAlignment="1">
      <alignment horizontal="center" vertical="center"/>
    </xf>
    <xf numFmtId="0" fontId="0" fillId="8" borderId="40" xfId="0" applyFill="1" applyBorder="1" applyAlignment="1">
      <alignment horizontal="center" vertical="center"/>
    </xf>
    <xf numFmtId="0" fontId="0" fillId="8" borderId="5" xfId="0" applyFill="1" applyBorder="1" applyAlignment="1">
      <alignment horizontal="center" vertical="center"/>
    </xf>
    <xf numFmtId="0" fontId="0" fillId="8" borderId="7" xfId="0" applyFill="1" applyBorder="1" applyAlignment="1">
      <alignment horizontal="center" vertical="center"/>
    </xf>
    <xf numFmtId="165" fontId="13" fillId="6" borderId="130" xfId="1" applyFont="1" applyFill="1" applyBorder="1" applyAlignment="1">
      <alignment horizontal="center" vertical="center"/>
    </xf>
    <xf numFmtId="49" fontId="13" fillId="6" borderId="130" xfId="16" applyNumberFormat="1" applyFont="1" applyFill="1" applyBorder="1" applyAlignment="1">
      <alignment horizontal="center" vertical="center"/>
    </xf>
    <xf numFmtId="0" fontId="13" fillId="6" borderId="130" xfId="16" applyFont="1" applyFill="1" applyBorder="1" applyAlignment="1">
      <alignment horizontal="center" vertical="center"/>
    </xf>
    <xf numFmtId="0" fontId="0" fillId="3" borderId="0" xfId="0" applyFill="1" applyAlignment="1">
      <alignment horizontal="left" vertical="center"/>
    </xf>
    <xf numFmtId="0" fontId="0" fillId="8" borderId="136" xfId="0" applyFill="1" applyBorder="1" applyAlignment="1">
      <alignment horizontal="center" vertical="center"/>
    </xf>
    <xf numFmtId="165" fontId="13" fillId="6" borderId="135" xfId="1" applyFont="1" applyFill="1" applyBorder="1" applyAlignment="1">
      <alignment horizontal="center" vertical="center"/>
    </xf>
    <xf numFmtId="49" fontId="13" fillId="6" borderId="135" xfId="16" applyNumberFormat="1" applyFont="1" applyFill="1" applyBorder="1" applyAlignment="1">
      <alignment horizontal="center" vertical="center"/>
    </xf>
    <xf numFmtId="0" fontId="13" fillId="6" borderId="135" xfId="16" applyFont="1" applyFill="1" applyBorder="1" applyAlignment="1">
      <alignment horizontal="center" vertical="center"/>
    </xf>
    <xf numFmtId="0" fontId="12" fillId="33" borderId="140" xfId="242" applyFont="1" applyFill="1" applyBorder="1" applyAlignment="1">
      <alignment horizontal="center" vertical="center"/>
    </xf>
    <xf numFmtId="0" fontId="12" fillId="33" borderId="141" xfId="242" applyFont="1" applyFill="1" applyBorder="1" applyAlignment="1">
      <alignment horizontal="center" vertical="center"/>
    </xf>
    <xf numFmtId="0" fontId="12" fillId="33" borderId="142" xfId="242" applyFont="1" applyFill="1" applyBorder="1" applyAlignment="1">
      <alignment horizontal="center" vertical="center"/>
    </xf>
    <xf numFmtId="0" fontId="0" fillId="8" borderId="143" xfId="0" applyFill="1" applyBorder="1" applyAlignment="1">
      <alignment horizontal="center" vertical="center"/>
    </xf>
    <xf numFmtId="165" fontId="13" fillId="6" borderId="139" xfId="1" applyFont="1" applyFill="1" applyBorder="1" applyAlignment="1">
      <alignment horizontal="center" vertical="center"/>
    </xf>
    <xf numFmtId="49" fontId="13" fillId="6" borderId="139" xfId="16" applyNumberFormat="1" applyFont="1" applyFill="1" applyBorder="1" applyAlignment="1">
      <alignment horizontal="center" vertical="center"/>
    </xf>
    <xf numFmtId="0" fontId="13" fillId="6" borderId="139" xfId="16" applyFont="1" applyFill="1" applyBorder="1" applyAlignment="1">
      <alignment horizontal="center" vertical="center"/>
    </xf>
    <xf numFmtId="0" fontId="12" fillId="33" borderId="144" xfId="242" applyFont="1" applyFill="1" applyBorder="1" applyAlignment="1">
      <alignment horizontal="center" vertical="center"/>
    </xf>
    <xf numFmtId="0" fontId="0" fillId="8" borderId="17" xfId="0" applyFill="1" applyBorder="1" applyAlignment="1">
      <alignment horizontal="center" vertical="center"/>
    </xf>
    <xf numFmtId="0" fontId="0" fillId="8" borderId="145" xfId="0" applyFill="1" applyBorder="1" applyAlignment="1">
      <alignment horizontal="center" vertical="center"/>
    </xf>
    <xf numFmtId="0" fontId="0" fillId="8" borderId="146" xfId="0" applyFill="1" applyBorder="1" applyAlignment="1">
      <alignment horizontal="center" vertical="center"/>
    </xf>
    <xf numFmtId="0" fontId="0" fillId="8" borderId="52" xfId="0" applyFill="1" applyBorder="1" applyAlignment="1">
      <alignment horizontal="center" vertical="center"/>
    </xf>
    <xf numFmtId="0" fontId="0" fillId="8" borderId="9" xfId="0" applyFill="1" applyBorder="1" applyAlignment="1">
      <alignment horizontal="center" vertical="center"/>
    </xf>
    <xf numFmtId="165" fontId="13" fillId="35" borderId="130" xfId="1" applyFont="1" applyFill="1" applyBorder="1" applyAlignment="1">
      <alignment horizontal="center" vertical="center" wrapText="1"/>
    </xf>
    <xf numFmtId="165" fontId="13" fillId="12" borderId="130" xfId="1" applyFont="1" applyFill="1" applyBorder="1" applyAlignment="1">
      <alignment horizontal="center" vertical="center" wrapText="1"/>
    </xf>
    <xf numFmtId="0" fontId="54" fillId="6" borderId="131" xfId="0" applyFont="1" applyFill="1" applyBorder="1" applyAlignment="1">
      <alignment horizontal="center" vertical="center" wrapText="1"/>
    </xf>
    <xf numFmtId="0" fontId="54" fillId="6" borderId="132" xfId="0" applyFont="1" applyFill="1" applyBorder="1" applyAlignment="1">
      <alignment horizontal="center" vertical="center" wrapText="1"/>
    </xf>
    <xf numFmtId="0" fontId="54" fillId="6" borderId="51" xfId="0" applyFont="1" applyFill="1" applyBorder="1" applyAlignment="1">
      <alignment horizontal="center" vertical="center" wrapText="1"/>
    </xf>
    <xf numFmtId="0" fontId="54" fillId="6" borderId="54" xfId="0" applyFont="1" applyFill="1" applyBorder="1" applyAlignment="1">
      <alignment horizontal="center" vertical="center" wrapText="1"/>
    </xf>
    <xf numFmtId="0" fontId="54" fillId="6" borderId="152" xfId="0" applyFont="1" applyFill="1" applyBorder="1" applyAlignment="1">
      <alignment horizontal="center" vertical="center"/>
    </xf>
    <xf numFmtId="0" fontId="54" fillId="6" borderId="22" xfId="0" applyFont="1" applyFill="1" applyBorder="1" applyAlignment="1">
      <alignment horizontal="center" vertical="center"/>
    </xf>
    <xf numFmtId="0" fontId="54" fillId="6" borderId="131" xfId="0" applyFont="1" applyFill="1" applyBorder="1" applyAlignment="1">
      <alignment horizontal="center" vertical="center"/>
    </xf>
    <xf numFmtId="0" fontId="54" fillId="6" borderId="132" xfId="0" applyFont="1" applyFill="1" applyBorder="1" applyAlignment="1">
      <alignment horizontal="center" vertical="center"/>
    </xf>
    <xf numFmtId="0" fontId="54" fillId="6" borderId="50" xfId="0" applyFont="1" applyFill="1" applyBorder="1" applyAlignment="1">
      <alignment horizontal="center" vertical="center" wrapText="1"/>
    </xf>
    <xf numFmtId="0" fontId="54" fillId="6" borderId="57" xfId="0" applyFont="1" applyFill="1" applyBorder="1" applyAlignment="1">
      <alignment horizontal="center" vertical="center" wrapText="1"/>
    </xf>
    <xf numFmtId="0" fontId="36" fillId="0" borderId="48" xfId="242" applyFont="1" applyBorder="1" applyAlignment="1">
      <alignment horizontal="center" vertical="center" wrapText="1"/>
    </xf>
    <xf numFmtId="49" fontId="29" fillId="0" borderId="21" xfId="16" applyNumberFormat="1" applyFont="1" applyBorder="1" applyAlignment="1">
      <alignment horizontal="center" vertical="center"/>
    </xf>
    <xf numFmtId="165" fontId="13" fillId="9" borderId="35" xfId="1" applyFont="1" applyFill="1" applyBorder="1" applyAlignment="1">
      <alignment horizontal="center" vertical="center" wrapText="1"/>
    </xf>
    <xf numFmtId="165" fontId="13" fillId="9" borderId="41" xfId="1" applyFont="1" applyFill="1" applyBorder="1" applyAlignment="1">
      <alignment horizontal="center" vertical="center" wrapText="1"/>
    </xf>
    <xf numFmtId="165" fontId="13" fillId="6" borderId="14" xfId="1" applyFont="1" applyFill="1" applyBorder="1" applyAlignment="1">
      <alignment horizontal="center" vertical="center"/>
    </xf>
    <xf numFmtId="165" fontId="13" fillId="13" borderId="35" xfId="1" applyFont="1" applyFill="1" applyBorder="1" applyAlignment="1">
      <alignment horizontal="center" vertical="center" wrapText="1"/>
    </xf>
    <xf numFmtId="165" fontId="13" fillId="13" borderId="41" xfId="1" applyFont="1" applyFill="1" applyBorder="1" applyAlignment="1">
      <alignment horizontal="center" vertical="center" wrapText="1"/>
    </xf>
    <xf numFmtId="0" fontId="13" fillId="6" borderId="35" xfId="16" applyFont="1" applyFill="1" applyBorder="1" applyAlignment="1">
      <alignment horizontal="center" vertical="center"/>
    </xf>
    <xf numFmtId="0" fontId="13" fillId="6" borderId="41" xfId="16" applyFont="1" applyFill="1" applyBorder="1" applyAlignment="1">
      <alignment horizontal="center" vertical="center"/>
    </xf>
    <xf numFmtId="0" fontId="42" fillId="0" borderId="30" xfId="0" applyFont="1" applyBorder="1" applyAlignment="1">
      <alignment horizontal="center" vertical="center"/>
    </xf>
    <xf numFmtId="0" fontId="42" fillId="0" borderId="55" xfId="0" applyFont="1" applyBorder="1" applyAlignment="1">
      <alignment horizontal="center" vertical="center"/>
    </xf>
    <xf numFmtId="0" fontId="17" fillId="2" borderId="48" xfId="0" applyFont="1" applyFill="1" applyBorder="1" applyAlignment="1">
      <alignment horizontal="center" vertical="center"/>
    </xf>
    <xf numFmtId="2" fontId="17" fillId="2" borderId="48" xfId="0" applyNumberFormat="1" applyFont="1" applyFill="1" applyBorder="1" applyAlignment="1">
      <alignment horizontal="center" vertical="center" wrapText="1"/>
    </xf>
    <xf numFmtId="2" fontId="43" fillId="0" borderId="83" xfId="0" applyNumberFormat="1" applyFont="1" applyBorder="1" applyAlignment="1">
      <alignment horizontal="center" vertical="center" wrapText="1"/>
    </xf>
    <xf numFmtId="2" fontId="43" fillId="0" borderId="48" xfId="0" applyNumberFormat="1" applyFont="1" applyBorder="1" applyAlignment="1">
      <alignment horizontal="center" vertical="center" wrapText="1"/>
    </xf>
    <xf numFmtId="0" fontId="38" fillId="0" borderId="50" xfId="0" applyFont="1" applyBorder="1" applyAlignment="1">
      <alignment horizontal="center" vertical="center" wrapText="1"/>
    </xf>
    <xf numFmtId="0" fontId="38" fillId="0" borderId="83" xfId="0" applyFont="1" applyBorder="1" applyAlignment="1">
      <alignment horizontal="center" vertical="center" wrapText="1"/>
    </xf>
    <xf numFmtId="49" fontId="51" fillId="0" borderId="22" xfId="0" applyNumberFormat="1" applyFont="1" applyBorder="1" applyAlignment="1">
      <alignment horizontal="center" vertical="center"/>
    </xf>
    <xf numFmtId="0" fontId="38" fillId="9" borderId="50" xfId="0" applyFont="1" applyFill="1" applyBorder="1" applyAlignment="1">
      <alignment horizontal="center" vertical="center" wrapText="1"/>
    </xf>
    <xf numFmtId="0" fontId="38" fillId="9" borderId="83" xfId="0" applyFont="1" applyFill="1" applyBorder="1" applyAlignment="1">
      <alignment horizontal="center" vertical="center" wrapText="1"/>
    </xf>
    <xf numFmtId="0" fontId="36" fillId="15" borderId="50" xfId="0" applyFont="1" applyFill="1" applyBorder="1" applyAlignment="1">
      <alignment horizontal="left" vertical="center" wrapText="1"/>
    </xf>
    <xf numFmtId="0" fontId="36" fillId="15" borderId="59" xfId="0" applyFont="1" applyFill="1" applyBorder="1" applyAlignment="1">
      <alignment horizontal="left" vertical="center" wrapText="1"/>
    </xf>
    <xf numFmtId="0" fontId="36" fillId="15" borderId="83" xfId="0" applyFont="1" applyFill="1" applyBorder="1" applyAlignment="1">
      <alignment horizontal="left" vertical="center" wrapText="1"/>
    </xf>
    <xf numFmtId="165" fontId="43" fillId="15" borderId="50" xfId="0" applyNumberFormat="1" applyFont="1" applyFill="1" applyBorder="1" applyAlignment="1">
      <alignment horizontal="center" vertical="center"/>
    </xf>
    <xf numFmtId="165" fontId="43" fillId="15" borderId="59" xfId="0" applyNumberFormat="1" applyFont="1" applyFill="1" applyBorder="1" applyAlignment="1">
      <alignment horizontal="center" vertical="center"/>
    </xf>
    <xf numFmtId="0" fontId="43" fillId="15" borderId="83" xfId="0" applyFont="1" applyFill="1" applyBorder="1"/>
    <xf numFmtId="165" fontId="43" fillId="16" borderId="50" xfId="0" applyNumberFormat="1" applyFont="1" applyFill="1" applyBorder="1" applyAlignment="1">
      <alignment horizontal="center" vertical="center"/>
    </xf>
    <xf numFmtId="0" fontId="43" fillId="16" borderId="59" xfId="0" applyFont="1" applyFill="1" applyBorder="1"/>
    <xf numFmtId="0" fontId="43" fillId="16" borderId="83" xfId="0" applyFont="1" applyFill="1" applyBorder="1"/>
    <xf numFmtId="0" fontId="36" fillId="16" borderId="50" xfId="0" applyFont="1" applyFill="1" applyBorder="1" applyAlignment="1">
      <alignment horizontal="center" vertical="center" wrapText="1"/>
    </xf>
    <xf numFmtId="0" fontId="36" fillId="16" borderId="59" xfId="0" applyFont="1" applyFill="1" applyBorder="1" applyAlignment="1">
      <alignment horizontal="center" vertical="center" wrapText="1"/>
    </xf>
    <xf numFmtId="0" fontId="36" fillId="16" borderId="83" xfId="0" applyFont="1" applyFill="1" applyBorder="1" applyAlignment="1">
      <alignment horizontal="center" vertical="center" wrapText="1"/>
    </xf>
    <xf numFmtId="43" fontId="43" fillId="8" borderId="50" xfId="0" applyNumberFormat="1" applyFont="1" applyFill="1" applyBorder="1" applyAlignment="1">
      <alignment horizontal="center" vertical="center"/>
    </xf>
    <xf numFmtId="43" fontId="43" fillId="8" borderId="59" xfId="0" applyNumberFormat="1" applyFont="1" applyFill="1" applyBorder="1" applyAlignment="1">
      <alignment horizontal="center" vertical="center"/>
    </xf>
    <xf numFmtId="43" fontId="43" fillId="8" borderId="83" xfId="0" applyNumberFormat="1" applyFont="1" applyFill="1" applyBorder="1" applyAlignment="1">
      <alignment horizontal="center" vertical="center"/>
    </xf>
    <xf numFmtId="0" fontId="36" fillId="15" borderId="74" xfId="0" applyFont="1" applyFill="1" applyBorder="1" applyAlignment="1">
      <alignment horizontal="center" vertical="center" wrapText="1"/>
    </xf>
    <xf numFmtId="0" fontId="36" fillId="15" borderId="75" xfId="0" applyFont="1" applyFill="1" applyBorder="1" applyAlignment="1">
      <alignment horizontal="center" vertical="center" wrapText="1"/>
    </xf>
    <xf numFmtId="0" fontId="36" fillId="15" borderId="79" xfId="0" applyFont="1" applyFill="1" applyBorder="1" applyAlignment="1">
      <alignment horizontal="center" vertical="center" wrapText="1"/>
    </xf>
    <xf numFmtId="165" fontId="43" fillId="15" borderId="83" xfId="0" applyNumberFormat="1" applyFont="1" applyFill="1" applyBorder="1" applyAlignment="1">
      <alignment horizontal="center" vertical="center"/>
    </xf>
    <xf numFmtId="0" fontId="12" fillId="17" borderId="104" xfId="0" applyFont="1" applyFill="1" applyBorder="1" applyAlignment="1">
      <alignment horizontal="center" vertical="center"/>
    </xf>
    <xf numFmtId="0" fontId="12" fillId="17" borderId="105" xfId="0" applyFont="1" applyFill="1" applyBorder="1" applyAlignment="1">
      <alignment horizontal="center" vertical="center"/>
    </xf>
    <xf numFmtId="0" fontId="36" fillId="2" borderId="50" xfId="0" applyFont="1" applyFill="1" applyBorder="1" applyAlignment="1">
      <alignment horizontal="left" vertical="center"/>
    </xf>
    <xf numFmtId="0" fontId="36" fillId="2" borderId="59" xfId="0" applyFont="1" applyFill="1" applyBorder="1" applyAlignment="1">
      <alignment horizontal="left" vertical="center"/>
    </xf>
    <xf numFmtId="0" fontId="36" fillId="2" borderId="83" xfId="0" applyFont="1" applyFill="1" applyBorder="1" applyAlignment="1">
      <alignment horizontal="left" vertical="center"/>
    </xf>
    <xf numFmtId="165" fontId="43" fillId="2" borderId="50" xfId="0" applyNumberFormat="1" applyFont="1" applyFill="1" applyBorder="1" applyAlignment="1">
      <alignment horizontal="center" vertical="center"/>
    </xf>
    <xf numFmtId="165" fontId="43" fillId="2" borderId="59" xfId="0" applyNumberFormat="1" applyFont="1" applyFill="1" applyBorder="1" applyAlignment="1">
      <alignment horizontal="center" vertical="center"/>
    </xf>
    <xf numFmtId="165" fontId="43" fillId="2" borderId="83" xfId="0" applyNumberFormat="1" applyFont="1" applyFill="1" applyBorder="1" applyAlignment="1">
      <alignment horizontal="center" vertical="center"/>
    </xf>
    <xf numFmtId="165" fontId="43" fillId="16" borderId="59" xfId="0" applyNumberFormat="1" applyFont="1" applyFill="1" applyBorder="1" applyAlignment="1">
      <alignment horizontal="center" vertical="center"/>
    </xf>
    <xf numFmtId="0" fontId="2" fillId="13" borderId="0" xfId="0" applyFont="1" applyFill="1" applyAlignment="1">
      <alignment horizontal="center" vertical="center" wrapText="1"/>
    </xf>
    <xf numFmtId="0" fontId="2" fillId="13" borderId="22" xfId="0" applyFont="1" applyFill="1" applyBorder="1" applyAlignment="1">
      <alignment horizontal="center" vertical="center" wrapText="1"/>
    </xf>
    <xf numFmtId="0" fontId="14" fillId="10" borderId="10" xfId="16" applyFont="1" applyFill="1" applyBorder="1" applyAlignment="1">
      <alignment horizontal="center" vertical="center"/>
    </xf>
    <xf numFmtId="0" fontId="14" fillId="10" borderId="12" xfId="16" applyFont="1" applyFill="1" applyBorder="1" applyAlignment="1">
      <alignment horizontal="center" vertical="center"/>
    </xf>
    <xf numFmtId="0" fontId="71" fillId="13" borderId="30" xfId="0" applyFont="1" applyFill="1" applyBorder="1" applyAlignment="1">
      <alignment horizontal="center" vertical="center" wrapText="1"/>
    </xf>
    <xf numFmtId="0" fontId="71" fillId="13" borderId="55" xfId="0" applyFont="1" applyFill="1" applyBorder="1" applyAlignment="1">
      <alignment horizontal="center" vertical="center" wrapText="1"/>
    </xf>
    <xf numFmtId="0" fontId="0" fillId="3" borderId="0" xfId="0" applyFill="1" applyAlignment="1">
      <alignment horizontal="center" vertical="top" wrapText="1"/>
    </xf>
    <xf numFmtId="0" fontId="0" fillId="6" borderId="30" xfId="0" applyFill="1" applyBorder="1" applyAlignment="1">
      <alignment horizontal="center" vertical="center" wrapText="1"/>
    </xf>
    <xf numFmtId="0" fontId="0" fillId="6" borderId="55" xfId="0" applyFill="1" applyBorder="1" applyAlignment="1">
      <alignment horizontal="center" vertical="center" wrapText="1"/>
    </xf>
    <xf numFmtId="0" fontId="0" fillId="6" borderId="51" xfId="0" applyFill="1" applyBorder="1" applyAlignment="1">
      <alignment horizontal="center" vertical="center" wrapText="1"/>
    </xf>
    <xf numFmtId="0" fontId="0" fillId="6" borderId="54" xfId="0" applyFill="1" applyBorder="1" applyAlignment="1">
      <alignment horizontal="center" vertical="center" wrapText="1"/>
    </xf>
    <xf numFmtId="0" fontId="0" fillId="6" borderId="46" xfId="0" applyFill="1" applyBorder="1" applyAlignment="1">
      <alignment horizontal="center" vertical="center"/>
    </xf>
    <xf numFmtId="0" fontId="0" fillId="6" borderId="22" xfId="0" applyFill="1" applyBorder="1" applyAlignment="1">
      <alignment horizontal="center" vertical="center"/>
    </xf>
    <xf numFmtId="0" fontId="0" fillId="6" borderId="30" xfId="0" applyFill="1" applyBorder="1" applyAlignment="1">
      <alignment horizontal="center" vertical="center"/>
    </xf>
    <xf numFmtId="0" fontId="0" fillId="6" borderId="55" xfId="0" applyFill="1" applyBorder="1" applyAlignment="1">
      <alignment horizontal="center" vertical="center"/>
    </xf>
    <xf numFmtId="0" fontId="0" fillId="6" borderId="50" xfId="0" applyFill="1" applyBorder="1" applyAlignment="1">
      <alignment horizontal="center" vertical="center" wrapText="1"/>
    </xf>
    <xf numFmtId="0" fontId="0" fillId="6" borderId="57" xfId="0" applyFill="1" applyBorder="1" applyAlignment="1">
      <alignment horizontal="center" vertical="center" wrapText="1"/>
    </xf>
    <xf numFmtId="0" fontId="6" fillId="0" borderId="30" xfId="241" applyFont="1" applyBorder="1" applyAlignment="1">
      <alignment horizontal="center" vertical="center" wrapText="1"/>
    </xf>
    <xf numFmtId="0" fontId="6" fillId="0" borderId="56" xfId="241" applyFont="1" applyBorder="1" applyAlignment="1">
      <alignment horizontal="center" vertical="center" wrapText="1"/>
    </xf>
    <xf numFmtId="0" fontId="6" fillId="0" borderId="55" xfId="241" applyFont="1" applyBorder="1" applyAlignment="1">
      <alignment horizontal="center" vertical="center" wrapText="1"/>
    </xf>
    <xf numFmtId="0" fontId="17" fillId="21" borderId="30" xfId="241" applyFont="1" applyFill="1" applyBorder="1" applyAlignment="1">
      <alignment horizontal="center" vertical="center"/>
    </xf>
    <xf numFmtId="0" fontId="17" fillId="21" borderId="56" xfId="241" applyFont="1" applyFill="1" applyBorder="1" applyAlignment="1">
      <alignment horizontal="center" vertical="center"/>
    </xf>
    <xf numFmtId="0" fontId="17" fillId="21" borderId="55" xfId="241" applyFont="1" applyFill="1" applyBorder="1" applyAlignment="1">
      <alignment horizontal="center" vertical="center"/>
    </xf>
    <xf numFmtId="0" fontId="49" fillId="0" borderId="0" xfId="240" applyFont="1" applyAlignment="1">
      <alignment horizontal="center" vertical="center"/>
    </xf>
    <xf numFmtId="0" fontId="49" fillId="0" borderId="0" xfId="240" applyFont="1" applyAlignment="1">
      <alignment horizontal="center" vertical="justify"/>
    </xf>
    <xf numFmtId="0" fontId="49" fillId="0" borderId="22" xfId="240" applyFont="1" applyBorder="1" applyAlignment="1">
      <alignment horizontal="center" vertical="justify"/>
    </xf>
    <xf numFmtId="0" fontId="6" fillId="2" borderId="48" xfId="241" applyFont="1" applyFill="1" applyBorder="1" applyAlignment="1">
      <alignment horizontal="center" vertical="center"/>
    </xf>
    <xf numFmtId="0" fontId="24" fillId="6" borderId="48" xfId="241" applyFill="1" applyBorder="1" applyAlignment="1">
      <alignment horizontal="center" vertical="center"/>
    </xf>
    <xf numFmtId="0" fontId="58" fillId="26" borderId="113" xfId="0" applyFont="1" applyFill="1" applyBorder="1" applyAlignment="1">
      <alignment horizontal="center" vertical="center" wrapText="1"/>
    </xf>
    <xf numFmtId="0" fontId="58" fillId="26" borderId="116" xfId="0" applyFont="1" applyFill="1" applyBorder="1" applyAlignment="1">
      <alignment horizontal="center" vertical="center" wrapText="1"/>
    </xf>
    <xf numFmtId="0" fontId="58" fillId="0" borderId="114" xfId="0" applyFont="1" applyBorder="1" applyAlignment="1">
      <alignment horizontal="center" vertical="center"/>
    </xf>
    <xf numFmtId="0" fontId="58" fillId="0" borderId="109" xfId="0" applyFont="1" applyBorder="1" applyAlignment="1">
      <alignment horizontal="center" vertical="center"/>
    </xf>
    <xf numFmtId="4" fontId="58" fillId="0" borderId="114" xfId="0" applyNumberFormat="1" applyFont="1" applyBorder="1" applyAlignment="1">
      <alignment horizontal="center" vertical="center"/>
    </xf>
    <xf numFmtId="4" fontId="58" fillId="0" borderId="109" xfId="0" applyNumberFormat="1" applyFont="1" applyBorder="1" applyAlignment="1">
      <alignment horizontal="center" vertical="center"/>
    </xf>
    <xf numFmtId="3" fontId="58" fillId="0" borderId="115" xfId="0" applyNumberFormat="1" applyFont="1" applyBorder="1" applyAlignment="1">
      <alignment horizontal="center" vertical="center" wrapText="1"/>
    </xf>
    <xf numFmtId="3" fontId="58" fillId="0" borderId="119" xfId="0" applyNumberFormat="1" applyFont="1" applyBorder="1" applyAlignment="1">
      <alignment horizontal="center" vertical="center" wrapText="1"/>
    </xf>
    <xf numFmtId="0" fontId="56" fillId="0" borderId="109" xfId="0" applyFont="1" applyBorder="1" applyAlignment="1">
      <alignment horizontal="center"/>
    </xf>
    <xf numFmtId="0" fontId="58" fillId="26" borderId="118" xfId="0" applyFont="1" applyFill="1" applyBorder="1" applyAlignment="1">
      <alignment horizontal="center" vertical="center" wrapText="1"/>
    </xf>
    <xf numFmtId="0" fontId="58" fillId="0" borderId="0" xfId="0" applyFont="1" applyAlignment="1">
      <alignment horizontal="center" vertical="center"/>
    </xf>
    <xf numFmtId="4" fontId="58" fillId="0" borderId="0" xfId="0" applyNumberFormat="1" applyFont="1" applyAlignment="1">
      <alignment horizontal="center" vertical="center"/>
    </xf>
    <xf numFmtId="3" fontId="58" fillId="0" borderId="117" xfId="0" applyNumberFormat="1" applyFont="1" applyBorder="1" applyAlignment="1">
      <alignment horizontal="center" vertical="center" wrapText="1"/>
    </xf>
    <xf numFmtId="0" fontId="3" fillId="0" borderId="0" xfId="16" applyAlignment="1">
      <alignment horizontal="center" vertical="center" wrapText="1"/>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0" fontId="6" fillId="0" borderId="39" xfId="16" applyFont="1" applyBorder="1" applyAlignment="1">
      <alignment horizontal="center" vertical="center"/>
    </xf>
    <xf numFmtId="0" fontId="6" fillId="0" borderId="16" xfId="16" applyFont="1" applyBorder="1" applyAlignment="1">
      <alignment horizontal="center" vertical="center"/>
    </xf>
    <xf numFmtId="0" fontId="6" fillId="0" borderId="19" xfId="16" applyFont="1" applyBorder="1" applyAlignment="1">
      <alignment horizontal="center" vertical="center"/>
    </xf>
    <xf numFmtId="0" fontId="6" fillId="0" borderId="38" xfId="16" applyFont="1" applyBorder="1" applyAlignment="1">
      <alignment horizontal="center" vertical="center"/>
    </xf>
    <xf numFmtId="0" fontId="6" fillId="0" borderId="24" xfId="16" applyFont="1" applyBorder="1" applyAlignment="1">
      <alignment horizontal="center" vertical="center" wrapText="1"/>
    </xf>
    <xf numFmtId="0" fontId="6" fillId="0" borderId="29" xfId="16" applyFont="1" applyBorder="1" applyAlignment="1">
      <alignment horizontal="center" vertical="center" wrapText="1"/>
    </xf>
    <xf numFmtId="0" fontId="6" fillId="0" borderId="0" xfId="16" applyFont="1" applyAlignment="1">
      <alignment horizontal="center" vertical="center"/>
    </xf>
    <xf numFmtId="0" fontId="3" fillId="0" borderId="0" xfId="16" applyAlignment="1">
      <alignment horizontal="center" vertical="center"/>
    </xf>
  </cellXfs>
  <cellStyles count="245">
    <cellStyle name="Hiperlink 2" xfId="4"/>
    <cellStyle name="Hiperlink 3" xfId="221"/>
    <cellStyle name="Moeda 2" xfId="5"/>
    <cellStyle name="Moeda 2 2" xfId="174"/>
    <cellStyle name="Moeda 3" xfId="165"/>
    <cellStyle name="Moeda 4" xfId="167"/>
    <cellStyle name="Moeda 4 2" xfId="175"/>
    <cellStyle name="Moeda 4 3" xfId="222"/>
    <cellStyle name="Moeda 5" xfId="233"/>
    <cellStyle name="Normal" xfId="0" builtinId="0"/>
    <cellStyle name="Normal 10" xfId="6"/>
    <cellStyle name="Normal 10 4" xfId="218"/>
    <cellStyle name="Normal 11" xfId="7"/>
    <cellStyle name="Normal 12" xfId="8"/>
    <cellStyle name="Normal 13" xfId="9"/>
    <cellStyle name="Normal 14" xfId="10"/>
    <cellStyle name="Normal 15" xfId="11"/>
    <cellStyle name="Normal 16" xfId="12"/>
    <cellStyle name="Normal 17" xfId="13"/>
    <cellStyle name="Normal 18" xfId="14"/>
    <cellStyle name="Normal 19" xfId="15"/>
    <cellStyle name="Normal 2" xfId="3"/>
    <cellStyle name="Normal 2 2" xfId="16"/>
    <cellStyle name="Normal 2 3" xfId="17"/>
    <cellStyle name="Normal 2 4" xfId="18"/>
    <cellStyle name="Normal 2 5" xfId="162"/>
    <cellStyle name="Normal 2 6" xfId="172"/>
    <cellStyle name="Normal 20" xfId="19"/>
    <cellStyle name="Normal 21" xfId="20"/>
    <cellStyle name="Normal 22" xfId="21"/>
    <cellStyle name="Normal 23" xfId="22"/>
    <cellStyle name="Normal 24" xfId="23"/>
    <cellStyle name="Normal 25" xfId="24"/>
    <cellStyle name="Normal 26" xfId="25"/>
    <cellStyle name="Normal 27" xfId="26"/>
    <cellStyle name="Normal 28" xfId="27"/>
    <cellStyle name="Normal 29" xfId="28"/>
    <cellStyle name="Normal 3" xfId="29"/>
    <cellStyle name="Normal 3 2" xfId="30"/>
    <cellStyle name="Normal 3 3" xfId="31"/>
    <cellStyle name="Normal 30" xfId="32"/>
    <cellStyle name="Normal 31" xfId="33"/>
    <cellStyle name="Normal 32" xfId="34"/>
    <cellStyle name="Normal 33" xfId="35"/>
    <cellStyle name="Normal 34" xfId="36"/>
    <cellStyle name="Normal 35" xfId="37"/>
    <cellStyle name="Normal 36" xfId="38"/>
    <cellStyle name="Normal 37" xfId="39"/>
    <cellStyle name="Normal 38" xfId="40"/>
    <cellStyle name="Normal 39" xfId="41"/>
    <cellStyle name="Normal 4" xfId="42"/>
    <cellStyle name="Normal 4 2" xfId="43"/>
    <cellStyle name="Normal 40" xfId="44"/>
    <cellStyle name="Normal 41" xfId="45"/>
    <cellStyle name="Normal 42" xfId="46"/>
    <cellStyle name="Normal 43" xfId="47"/>
    <cellStyle name="Normal 43 2" xfId="48"/>
    <cellStyle name="Normal 43 2 2" xfId="49"/>
    <cellStyle name="Normal 43 2 3" xfId="50"/>
    <cellStyle name="Normal 43 3" xfId="51"/>
    <cellStyle name="Normal 43 4" xfId="52"/>
    <cellStyle name="Normal 44" xfId="53"/>
    <cellStyle name="Normal 44 2" xfId="54"/>
    <cellStyle name="Normal 44 2 2" xfId="55"/>
    <cellStyle name="Normal 44 3" xfId="56"/>
    <cellStyle name="Normal 44 4" xfId="57"/>
    <cellStyle name="Normal 45" xfId="58"/>
    <cellStyle name="Normal 45 2" xfId="59"/>
    <cellStyle name="Normal 45 3" xfId="60"/>
    <cellStyle name="Normal 46" xfId="61"/>
    <cellStyle name="Normal 46 2" xfId="62"/>
    <cellStyle name="Normal 46 3" xfId="63"/>
    <cellStyle name="Normal 47" xfId="64"/>
    <cellStyle name="Normal 47 2" xfId="65"/>
    <cellStyle name="Normal 47 3" xfId="66"/>
    <cellStyle name="Normal 48" xfId="67"/>
    <cellStyle name="Normal 48 2" xfId="68"/>
    <cellStyle name="Normal 48 3" xfId="69"/>
    <cellStyle name="Normal 49" xfId="70"/>
    <cellStyle name="Normal 49 2" xfId="71"/>
    <cellStyle name="Normal 49 3" xfId="72"/>
    <cellStyle name="Normal 5" xfId="73"/>
    <cellStyle name="Normal 5 2" xfId="74"/>
    <cellStyle name="Normal 5 3" xfId="75"/>
    <cellStyle name="Normal 5 3 2" xfId="76"/>
    <cellStyle name="Normal 5 3 3" xfId="77"/>
    <cellStyle name="Normal 5 4" xfId="78"/>
    <cellStyle name="Normal 5 4 2" xfId="79"/>
    <cellStyle name="Normal 5 4 3" xfId="80"/>
    <cellStyle name="Normal 5 5" xfId="81"/>
    <cellStyle name="Normal 5 5 2" xfId="82"/>
    <cellStyle name="Normal 5 5 3" xfId="83"/>
    <cellStyle name="Normal 5 6" xfId="84"/>
    <cellStyle name="Normal 5 7" xfId="85"/>
    <cellStyle name="Normal 50" xfId="86"/>
    <cellStyle name="Normal 50 2" xfId="87"/>
    <cellStyle name="Normal 50 3" xfId="88"/>
    <cellStyle name="Normal 51" xfId="89"/>
    <cellStyle name="Normal 51 2" xfId="90"/>
    <cellStyle name="Normal 51 3" xfId="91"/>
    <cellStyle name="Normal 52" xfId="161"/>
    <cellStyle name="Normal 52 2" xfId="163"/>
    <cellStyle name="Normal 53" xfId="234"/>
    <cellStyle name="Normal 54" xfId="236"/>
    <cellStyle name="Normal 6" xfId="92"/>
    <cellStyle name="Normal 7" xfId="93"/>
    <cellStyle name="Normal 8" xfId="94"/>
    <cellStyle name="Normal 9" xfId="95"/>
    <cellStyle name="Normal_orçamento_10_11_12" xfId="241"/>
    <cellStyle name="Normal_Orcamento_Obra-1-7-8" xfId="240"/>
    <cellStyle name="Normal_Orcamento_Obra-2-4" xfId="242"/>
    <cellStyle name="Porcentagem" xfId="239" builtinId="5"/>
    <cellStyle name="Porcentagem 10" xfId="96"/>
    <cellStyle name="Porcentagem 10 2" xfId="97"/>
    <cellStyle name="Porcentagem 10 3" xfId="98"/>
    <cellStyle name="Porcentagem 11" xfId="99"/>
    <cellStyle name="Porcentagem 11 2" xfId="100"/>
    <cellStyle name="Porcentagem 11 3" xfId="101"/>
    <cellStyle name="Porcentagem 12" xfId="173"/>
    <cellStyle name="Porcentagem 12 2" xfId="231"/>
    <cellStyle name="Porcentagem 13" xfId="238"/>
    <cellStyle name="Porcentagem 2" xfId="102"/>
    <cellStyle name="Porcentagem 2 2" xfId="103"/>
    <cellStyle name="Porcentagem 3" xfId="104"/>
    <cellStyle name="Porcentagem 3 2" xfId="105"/>
    <cellStyle name="Porcentagem 4" xfId="106"/>
    <cellStyle name="Porcentagem 4 2" xfId="107"/>
    <cellStyle name="Porcentagem 5" xfId="108"/>
    <cellStyle name="Porcentagem 6" xfId="109"/>
    <cellStyle name="Porcentagem 7" xfId="110"/>
    <cellStyle name="Porcentagem 7 2" xfId="111"/>
    <cellStyle name="Porcentagem 7 2 2" xfId="112"/>
    <cellStyle name="Porcentagem 7 2 3" xfId="113"/>
    <cellStyle name="Porcentagem 7 3" xfId="114"/>
    <cellStyle name="Porcentagem 7 4" xfId="115"/>
    <cellStyle name="Porcentagem 8" xfId="116"/>
    <cellStyle name="Porcentagem 8 2" xfId="117"/>
    <cellStyle name="Porcentagem 8 3" xfId="118"/>
    <cellStyle name="Porcentagem 8 4" xfId="119"/>
    <cellStyle name="Porcentagem 9" xfId="120"/>
    <cellStyle name="Porcentagem 9 2" xfId="121"/>
    <cellStyle name="Porcentagem 9 3" xfId="122"/>
    <cellStyle name="Separador de milhares 10" xfId="123"/>
    <cellStyle name="Separador de milhares 10 2" xfId="168"/>
    <cellStyle name="Separador de milhares 10 2 2" xfId="176"/>
    <cellStyle name="Separador de milhares 2" xfId="2"/>
    <cellStyle name="Separador de milhares 2 2" xfId="124"/>
    <cellStyle name="Separador de milhares 2 2 2" xfId="177"/>
    <cellStyle name="Separador de milhares 2 3" xfId="169"/>
    <cellStyle name="Separador de milhares 2 3 2" xfId="178"/>
    <cellStyle name="Separador de milhares 2 3 3" xfId="220"/>
    <cellStyle name="Separador de milhares 3" xfId="125"/>
    <cellStyle name="Separador de milhares 3 2" xfId="126"/>
    <cellStyle name="Separador de milhares 3 2 2" xfId="179"/>
    <cellStyle name="Separador de milhares 3 3" xfId="180"/>
    <cellStyle name="Separador de milhares 4" xfId="127"/>
    <cellStyle name="Separador de milhares 4 2" xfId="181"/>
    <cellStyle name="Separador de milhares 5" xfId="128"/>
    <cellStyle name="Separador de milhares 5 2" xfId="182"/>
    <cellStyle name="Separador de milhares 6" xfId="129"/>
    <cellStyle name="Separador de milhares 6 2" xfId="183"/>
    <cellStyle name="Separador de milhares 7" xfId="130"/>
    <cellStyle name="Separador de milhares 7 2" xfId="184"/>
    <cellStyle name="Separador de milhares 8" xfId="131"/>
    <cellStyle name="Separador de milhares 8 2" xfId="132"/>
    <cellStyle name="Separador de milhares 8 2 2" xfId="185"/>
    <cellStyle name="Separador de milhares 8 3" xfId="186"/>
    <cellStyle name="Separador de milhares 83" xfId="133"/>
    <cellStyle name="Separador de milhares 9" xfId="134"/>
    <cellStyle name="Separador de milhares 9 2" xfId="187"/>
    <cellStyle name="Separador de milhares_Orcamento_Obra-2-4" xfId="244"/>
    <cellStyle name="Vírgula" xfId="1" builtinId="3"/>
    <cellStyle name="Vírgula 10" xfId="164"/>
    <cellStyle name="Vírgula 10 2" xfId="188"/>
    <cellStyle name="Vírgula 10 2 2" xfId="230"/>
    <cellStyle name="Vírgula 10 2 2 2" xfId="232"/>
    <cellStyle name="Vírgula 11" xfId="171"/>
    <cellStyle name="Vírgula 11 2" xfId="189"/>
    <cellStyle name="Vírgula 11 3" xfId="219"/>
    <cellStyle name="Vírgula 11 4" xfId="228"/>
    <cellStyle name="Vírgula 12" xfId="223"/>
    <cellStyle name="Vírgula 12 2" xfId="235"/>
    <cellStyle name="Vírgula 13" xfId="224"/>
    <cellStyle name="Vírgula 14" xfId="225"/>
    <cellStyle name="Vírgula 15" xfId="237"/>
    <cellStyle name="Vírgula 2" xfId="135"/>
    <cellStyle name="Vírgula 2 2" xfId="166"/>
    <cellStyle name="Vírgula 2 2 2" xfId="190"/>
    <cellStyle name="Vírgula 2 2 3" xfId="226"/>
    <cellStyle name="Vírgula 2 3" xfId="191"/>
    <cellStyle name="Vírgula 2 4" xfId="243"/>
    <cellStyle name="Vírgula 3" xfId="136"/>
    <cellStyle name="Vírgula 3 2" xfId="137"/>
    <cellStyle name="Vírgula 3 2 2" xfId="138"/>
    <cellStyle name="Vírgula 3 2 2 2" xfId="192"/>
    <cellStyle name="Vírgula 3 2 3" xfId="139"/>
    <cellStyle name="Vírgula 3 2 3 2" xfId="193"/>
    <cellStyle name="Vírgula 3 2 4" xfId="194"/>
    <cellStyle name="Vírgula 3 3" xfId="140"/>
    <cellStyle name="Vírgula 3 3 2" xfId="195"/>
    <cellStyle name="Vírgula 3 4" xfId="141"/>
    <cellStyle name="Vírgula 3 4 2" xfId="196"/>
    <cellStyle name="Vírgula 3 5" xfId="170"/>
    <cellStyle name="Vírgula 3 5 2" xfId="197"/>
    <cellStyle name="Vírgula 3 5 3" xfId="229"/>
    <cellStyle name="Vírgula 3 6" xfId="198"/>
    <cellStyle name="Vírgula 3 7" xfId="227"/>
    <cellStyle name="Vírgula 4" xfId="142"/>
    <cellStyle name="Vírgula 4 2" xfId="143"/>
    <cellStyle name="Vírgula 4 2 2" xfId="199"/>
    <cellStyle name="Vírgula 4 3" xfId="144"/>
    <cellStyle name="Vírgula 4 3 2" xfId="200"/>
    <cellStyle name="Vírgula 4 4" xfId="145"/>
    <cellStyle name="Vírgula 4 4 2" xfId="201"/>
    <cellStyle name="Vírgula 4 5" xfId="202"/>
    <cellStyle name="Vírgula 5" xfId="146"/>
    <cellStyle name="Vírgula 5 2" xfId="147"/>
    <cellStyle name="Vírgula 5 2 2" xfId="203"/>
    <cellStyle name="Vírgula 5 3" xfId="148"/>
    <cellStyle name="Vírgula 5 3 2" xfId="204"/>
    <cellStyle name="Vírgula 5 4" xfId="205"/>
    <cellStyle name="Vírgula 6" xfId="149"/>
    <cellStyle name="Vírgula 6 2" xfId="150"/>
    <cellStyle name="Vírgula 6 2 2" xfId="206"/>
    <cellStyle name="Vírgula 6 3" xfId="151"/>
    <cellStyle name="Vírgula 6 3 2" xfId="207"/>
    <cellStyle name="Vírgula 6 4" xfId="208"/>
    <cellStyle name="Vírgula 7" xfId="152"/>
    <cellStyle name="Vírgula 7 2" xfId="153"/>
    <cellStyle name="Vírgula 7 2 2" xfId="209"/>
    <cellStyle name="Vírgula 7 3" xfId="154"/>
    <cellStyle name="Vírgula 7 3 2" xfId="210"/>
    <cellStyle name="Vírgula 7 4" xfId="211"/>
    <cellStyle name="Vírgula 8" xfId="155"/>
    <cellStyle name="Vírgula 8 2" xfId="156"/>
    <cellStyle name="Vírgula 8 2 2" xfId="212"/>
    <cellStyle name="Vírgula 8 3" xfId="157"/>
    <cellStyle name="Vírgula 8 3 2" xfId="213"/>
    <cellStyle name="Vírgula 8 4" xfId="214"/>
    <cellStyle name="Vírgula 9" xfId="158"/>
    <cellStyle name="Vírgula 9 2" xfId="159"/>
    <cellStyle name="Vírgula 9 2 2" xfId="215"/>
    <cellStyle name="Vírgula 9 3" xfId="160"/>
    <cellStyle name="Vírgula 9 3 2" xfId="216"/>
    <cellStyle name="Vírgula 9 4" xfId="217"/>
  </cellStyles>
  <dxfs count="18">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color rgb="FF9C0006"/>
      </font>
      <fill>
        <patternFill>
          <bgColor rgb="FFFFC7CE"/>
        </patternFill>
      </fill>
    </dxf>
    <dxf>
      <font>
        <b/>
        <i val="0"/>
        <condense val="0"/>
        <extend val="0"/>
      </font>
      <fill>
        <patternFill patternType="solid">
          <fgColor indexed="22"/>
          <bgColor indexed="47"/>
        </patternFill>
      </fill>
    </dxf>
    <dxf>
      <font>
        <b/>
        <i val="0"/>
        <condense val="0"/>
        <extend val="0"/>
      </font>
      <fill>
        <patternFill patternType="solid">
          <fgColor indexed="22"/>
          <bgColor indexed="47"/>
        </patternFill>
      </fill>
    </dxf>
    <dxf>
      <font>
        <b/>
        <i val="0"/>
        <condense val="0"/>
        <extend val="0"/>
      </font>
      <fill>
        <patternFill patternType="solid">
          <fgColor indexed="22"/>
          <bgColor indexed="47"/>
        </patternFill>
      </fill>
    </dxf>
    <dxf>
      <font>
        <b/>
        <i val="0"/>
        <condense val="0"/>
        <extend val="0"/>
      </font>
      <fill>
        <patternFill patternType="solid">
          <fgColor indexed="22"/>
          <bgColor indexed="47"/>
        </patternFill>
      </fill>
    </dxf>
    <dxf>
      <font>
        <b/>
        <i val="0"/>
        <condense val="0"/>
        <extend val="0"/>
      </font>
      <fill>
        <patternFill patternType="solid">
          <fgColor indexed="22"/>
          <bgColor indexed="47"/>
        </patternFill>
      </fill>
    </dxf>
    <dxf>
      <font>
        <b/>
        <i val="0"/>
        <condense val="0"/>
        <extend val="0"/>
      </font>
      <fill>
        <patternFill patternType="solid">
          <fgColor indexed="22"/>
          <bgColor indexed="47"/>
        </patternFill>
      </fill>
    </dxf>
    <dxf>
      <font>
        <b/>
        <i val="0"/>
        <condense val="0"/>
        <extend val="0"/>
      </font>
      <fill>
        <patternFill patternType="solid">
          <fgColor indexed="22"/>
          <bgColor indexed="47"/>
        </patternFill>
      </fill>
    </dxf>
    <dxf>
      <font>
        <b/>
        <i val="0"/>
        <condense val="0"/>
        <extend val="0"/>
      </font>
      <fill>
        <patternFill patternType="solid">
          <fgColor indexed="22"/>
          <bgColor indexed="47"/>
        </patternFill>
      </fill>
    </dxf>
    <dxf>
      <font>
        <b/>
        <i val="0"/>
        <condense val="0"/>
        <extend val="0"/>
      </font>
      <fill>
        <patternFill patternType="solid">
          <fgColor indexed="22"/>
          <bgColor indexed="47"/>
        </patternFill>
      </fill>
    </dxf>
    <dxf>
      <font>
        <b/>
        <i val="0"/>
        <condense val="0"/>
        <extend val="0"/>
      </font>
      <fill>
        <patternFill patternType="solid">
          <fgColor indexed="22"/>
          <bgColor indexed="47"/>
        </patternFill>
      </fill>
    </dxf>
  </dxfs>
  <tableStyles count="0" defaultTableStyle="TableStyleMedium9" defaultPivotStyle="PivotStyleLight16"/>
  <colors>
    <mruColors>
      <color rgb="FF66FF33"/>
      <color rgb="FFFFFF99"/>
      <color rgb="FF66FFFF"/>
      <color rgb="FFFFFFCC"/>
      <color rgb="FFF654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23</xdr:col>
      <xdr:colOff>484908</xdr:colOff>
      <xdr:row>2</xdr:row>
      <xdr:rowOff>170827</xdr:rowOff>
    </xdr:from>
    <xdr:to>
      <xdr:col>23</xdr:col>
      <xdr:colOff>1159543</xdr:colOff>
      <xdr:row>21</xdr:row>
      <xdr:rowOff>241925</xdr:rowOff>
    </xdr:to>
    <xdr:pic>
      <xdr:nvPicPr>
        <xdr:cNvPr id="2" name="Imagem 1">
          <a:extLst>
            <a:ext uri="{FF2B5EF4-FFF2-40B4-BE49-F238E27FC236}">
              <a16:creationId xmlns:a16="http://schemas.microsoft.com/office/drawing/2014/main" xmlns="" id="{B3B72C9E-F10C-480C-BA59-D2AE11677C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163308" y="200025"/>
          <a:ext cx="674635" cy="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484908</xdr:colOff>
      <xdr:row>2</xdr:row>
      <xdr:rowOff>170827</xdr:rowOff>
    </xdr:from>
    <xdr:to>
      <xdr:col>24</xdr:col>
      <xdr:colOff>1159543</xdr:colOff>
      <xdr:row>21</xdr:row>
      <xdr:rowOff>241925</xdr:rowOff>
    </xdr:to>
    <xdr:pic>
      <xdr:nvPicPr>
        <xdr:cNvPr id="2" name="Imagem 1">
          <a:extLst>
            <a:ext uri="{FF2B5EF4-FFF2-40B4-BE49-F238E27FC236}">
              <a16:creationId xmlns:a16="http://schemas.microsoft.com/office/drawing/2014/main" xmlns="" id="{1476384F-075D-42D3-BB7A-A2A795D949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163308" y="200025"/>
          <a:ext cx="674635" cy="746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525796</xdr:colOff>
      <xdr:row>215</xdr:row>
      <xdr:rowOff>21465</xdr:rowOff>
    </xdr:from>
    <xdr:to>
      <xdr:col>9</xdr:col>
      <xdr:colOff>1183661</xdr:colOff>
      <xdr:row>217</xdr:row>
      <xdr:rowOff>89804</xdr:rowOff>
    </xdr:to>
    <xdr:sp macro="" textlink="">
      <xdr:nvSpPr>
        <xdr:cNvPr id="2" name="Seta dobrada 1">
          <a:extLst>
            <a:ext uri="{FF2B5EF4-FFF2-40B4-BE49-F238E27FC236}">
              <a16:creationId xmlns:a16="http://schemas.microsoft.com/office/drawing/2014/main" xmlns="" id="{00000000-0008-0000-0A00-000002000000}"/>
            </a:ext>
          </a:extLst>
        </xdr:cNvPr>
        <xdr:cNvSpPr/>
      </xdr:nvSpPr>
      <xdr:spPr>
        <a:xfrm rot="16403234">
          <a:off x="10787792" y="45344648"/>
          <a:ext cx="435732" cy="657865"/>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417820</xdr:colOff>
      <xdr:row>1</xdr:row>
      <xdr:rowOff>105655</xdr:rowOff>
    </xdr:from>
    <xdr:to>
      <xdr:col>9</xdr:col>
      <xdr:colOff>1143000</xdr:colOff>
      <xdr:row>5</xdr:row>
      <xdr:rowOff>104868</xdr:rowOff>
    </xdr:to>
    <xdr:pic>
      <xdr:nvPicPr>
        <xdr:cNvPr id="2" name="Imagem 1" descr="Nova Imagem (3).png">
          <a:extLst>
            <a:ext uri="{FF2B5EF4-FFF2-40B4-BE49-F238E27FC236}">
              <a16:creationId xmlns:a16="http://schemas.microsoft.com/office/drawing/2014/main" xmlns="" id="{860247C9-FF01-4BDB-8D1B-92823FE0003D}"/>
            </a:ext>
          </a:extLst>
        </xdr:cNvPr>
        <xdr:cNvPicPr>
          <a:picLocks noChangeAspect="1"/>
        </xdr:cNvPicPr>
      </xdr:nvPicPr>
      <xdr:blipFill>
        <a:blip xmlns:r="http://schemas.openxmlformats.org/officeDocument/2006/relationships" r:embed="rId1" cstate="print"/>
        <a:stretch>
          <a:fillRect/>
        </a:stretch>
      </xdr:blipFill>
      <xdr:spPr>
        <a:xfrm>
          <a:off x="15305395" y="277105"/>
          <a:ext cx="725180" cy="846938"/>
        </a:xfrm>
        <a:prstGeom prst="rect">
          <a:avLst/>
        </a:prstGeom>
      </xdr:spPr>
    </xdr:pic>
    <xdr:clientData/>
  </xdr:twoCellAnchor>
  <xdr:twoCellAnchor editAs="oneCell">
    <xdr:from>
      <xdr:col>1</xdr:col>
      <xdr:colOff>392206</xdr:colOff>
      <xdr:row>1</xdr:row>
      <xdr:rowOff>33617</xdr:rowOff>
    </xdr:from>
    <xdr:to>
      <xdr:col>1</xdr:col>
      <xdr:colOff>1130394</xdr:colOff>
      <xdr:row>4</xdr:row>
      <xdr:rowOff>133069</xdr:rowOff>
    </xdr:to>
    <xdr:pic>
      <xdr:nvPicPr>
        <xdr:cNvPr id="3" name="Imagem 2">
          <a:extLst>
            <a:ext uri="{FF2B5EF4-FFF2-40B4-BE49-F238E27FC236}">
              <a16:creationId xmlns:a16="http://schemas.microsoft.com/office/drawing/2014/main" xmlns="" id="{19E4441D-F1D5-4A06-8888-23338014E961}"/>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011456" y="205067"/>
          <a:ext cx="738188" cy="7281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ildo/Downloads/Boletim%20de%20Medi&#231;&#227;o%20BM78_18T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ildo/Downloads/Or&#231;am_Implant_TLP%20-%20Rev07_10.1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BALHO/%23Proj%20Plat&#244;s%20Guadal%20-%20PDG/Or&#231;am_Guadalupe/Or&#231;amento_PDG_Rev%2001/Or&#231;amento_PDG_Rev%2001_03jan%20_HS/Or&#231;amento%20Recupera&#231;&#227;o%20e%20Finaliza&#231;&#227;o%20Guadalupe-rev06_22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CAPA"/>
      <sheetName val="Contra-CAPA-P0"/>
      <sheetName val="Contra-CAPA-Reaj."/>
      <sheetName val="BM"/>
      <sheetName val="Planilha Serviços Medição Pi"/>
      <sheetName val="Plan"/>
      <sheetName val="BM Físico Financeiro 16ªADIT"/>
      <sheetName val="RESUMO"/>
      <sheetName val="AGRUP."/>
      <sheetName val="Compart x Exclusiv"/>
      <sheetName val="AUX."/>
      <sheetName val="RECUP."/>
      <sheetName val="Apost."/>
      <sheetName val="Apostilamento"/>
      <sheetName val="ÍNDICE FINANCEIRO"/>
      <sheetName val="Reajuste Atual"/>
      <sheetName val="Reajuste Revisado"/>
      <sheetName val="Índices 2020"/>
      <sheetName val="indices FGV col 30"/>
      <sheetName val="CÁLC. REAJ."/>
      <sheetName val="02"/>
      <sheetName val="35"/>
      <sheetName val="38"/>
      <sheetName val="40"/>
      <sheetName val="272"/>
      <sheetName val="273"/>
      <sheetName val="Capa.AV"/>
      <sheetName val="Avanço"/>
      <sheetName val="Reenvestimento"/>
    </sheetNames>
    <sheetDataSet>
      <sheetData sheetId="0">
        <row r="6">
          <cell r="A6" t="str">
            <v>MÊS:</v>
          </cell>
          <cell r="B6" t="str">
            <v>JULHO</v>
          </cell>
        </row>
        <row r="7">
          <cell r="A7" t="str">
            <v>PERÍODO:</v>
          </cell>
          <cell r="B7" t="str">
            <v>16/06/2023 a 12/07/2023</v>
          </cell>
        </row>
        <row r="8">
          <cell r="A8" t="str">
            <v>ANO:</v>
          </cell>
          <cell r="B8">
            <v>2023</v>
          </cell>
        </row>
        <row r="12">
          <cell r="D12" t="str">
            <v>Engº Marcus H. R. Rangel</v>
          </cell>
        </row>
        <row r="14">
          <cell r="D14" t="str">
            <v>Engº Inácio R. L. Mascarenhas</v>
          </cell>
        </row>
      </sheetData>
      <sheetData sheetId="1"/>
      <sheetData sheetId="2"/>
      <sheetData sheetId="3"/>
      <sheetData sheetId="4"/>
      <sheetData sheetId="5">
        <row r="4">
          <cell r="C4" t="str">
            <v/>
          </cell>
          <cell r="D4"/>
          <cell r="E4"/>
          <cell r="F4"/>
          <cell r="G4"/>
          <cell r="H4"/>
        </row>
        <row r="5">
          <cell r="C5" t="str">
            <v>MINISTÉRIO DA INTEGRAÇÃO E DESENVOLVIMENTO REGIONAL</v>
          </cell>
          <cell r="D5"/>
          <cell r="E5"/>
          <cell r="F5"/>
          <cell r="G5"/>
          <cell r="H5"/>
        </row>
        <row r="6">
          <cell r="C6" t="str">
            <v>DEPARTAMENTO NACIONAL DE OBRAS CONTRA AS SECAS</v>
          </cell>
          <cell r="D6"/>
          <cell r="E6"/>
          <cell r="F6"/>
          <cell r="G6"/>
          <cell r="H6"/>
        </row>
        <row r="7">
          <cell r="C7" t="str">
            <v>DIRETORIA DE INFRA-ESTRUTURA HÍDRICA DO DNOCS</v>
          </cell>
          <cell r="D7"/>
          <cell r="E7"/>
          <cell r="F7"/>
          <cell r="G7"/>
          <cell r="H7"/>
        </row>
        <row r="8">
          <cell r="C8"/>
          <cell r="D8"/>
          <cell r="E8"/>
          <cell r="F8"/>
          <cell r="G8"/>
          <cell r="H8"/>
        </row>
        <row r="9">
          <cell r="C9" t="str">
            <v>BOLETIM DE MEDIÇÃO</v>
          </cell>
          <cell r="D9"/>
          <cell r="E9"/>
          <cell r="F9"/>
          <cell r="G9"/>
          <cell r="H9"/>
        </row>
        <row r="10">
          <cell r="C10" t="str">
            <v>PROJETO:</v>
          </cell>
          <cell r="D10" t="str">
            <v>Tabuleiros Litorâneos de Parnaíba - 2ª  Etapa</v>
          </cell>
          <cell r="E10"/>
          <cell r="F10" t="str">
            <v xml:space="preserve">TERMINO: </v>
          </cell>
          <cell r="G10" t="str">
            <v>15 julho de 2024</v>
          </cell>
        </row>
        <row r="11">
          <cell r="C11" t="str">
            <v>OBRA:</v>
          </cell>
          <cell r="D11" t="str">
            <v>Execução do remanescente das Obras Civis, fornecimento e  montagem</v>
          </cell>
          <cell r="E11"/>
          <cell r="F11" t="str">
            <v>ORDEM DE SERVIÇO:</v>
          </cell>
          <cell r="G11" t="str">
            <v>Nº 13/2018/DI - 09 agosto 2018</v>
          </cell>
        </row>
        <row r="12">
          <cell r="C12"/>
          <cell r="D12" t="str">
            <v>de equipamentos do Projeto de Irrigação Tabuleiros Litorâneos de</v>
          </cell>
          <cell r="E12"/>
          <cell r="F12" t="str">
            <v>COMISSÃO DE FISCALIZAÇÃO:</v>
          </cell>
          <cell r="G12"/>
          <cell r="H12"/>
        </row>
        <row r="13">
          <cell r="C13"/>
          <cell r="D13" t="str">
            <v>Parnaíba-PI - 2ª  Etapa, do Estado do Piauí.</v>
          </cell>
          <cell r="E13"/>
          <cell r="F13" t="str">
            <v>Engº Marcus H. R. Rangel - Presidente</v>
          </cell>
          <cell r="G13"/>
          <cell r="H13"/>
        </row>
        <row r="14">
          <cell r="C14" t="str">
            <v>CONTRATO:</v>
          </cell>
          <cell r="D14" t="str">
            <v>DNOCS-25/2013</v>
          </cell>
          <cell r="E14"/>
          <cell r="F14" t="str">
            <v>Engº Inácio R. L. Mascarenhas - Membro</v>
          </cell>
          <cell r="G14"/>
          <cell r="H14"/>
        </row>
        <row r="15">
          <cell r="C15" t="str">
            <v>CONTRATADA:</v>
          </cell>
          <cell r="D15" t="str">
            <v xml:space="preserve">Mendes Júnior Trading e Engenharia SA </v>
          </cell>
          <cell r="E15"/>
          <cell r="F15">
            <v>0</v>
          </cell>
          <cell r="G15"/>
          <cell r="H15"/>
        </row>
        <row r="16">
          <cell r="C16" t="str">
            <v>VALOR:</v>
          </cell>
          <cell r="D16">
            <v>79745584.319999993</v>
          </cell>
          <cell r="E16"/>
          <cell r="F16" t="str">
            <v>DATA BASE:</v>
          </cell>
          <cell r="G16"/>
          <cell r="H16" t="str">
            <v>NOV/2002</v>
          </cell>
        </row>
        <row r="17">
          <cell r="C17"/>
          <cell r="D17"/>
          <cell r="E17"/>
          <cell r="F17"/>
          <cell r="G17"/>
          <cell r="H17"/>
        </row>
        <row r="18">
          <cell r="C18" t="str">
            <v>ITEM</v>
          </cell>
          <cell r="D18" t="str">
            <v>SERVIÇOS</v>
          </cell>
          <cell r="E18" t="str">
            <v>UNID.</v>
          </cell>
          <cell r="F18" t="str">
            <v>QUANT.</v>
          </cell>
          <cell r="G18" t="str">
            <v>PREÇO (PRINCIPAL)</v>
          </cell>
          <cell r="H18"/>
        </row>
        <row r="19">
          <cell r="C19"/>
          <cell r="D19"/>
          <cell r="E19"/>
          <cell r="F19"/>
          <cell r="G19" t="str">
            <v>UNITÁRIO</v>
          </cell>
          <cell r="H19" t="str">
            <v>VALOR</v>
          </cell>
        </row>
        <row r="20">
          <cell r="C20" t="str">
            <v>1.</v>
          </cell>
          <cell r="D20" t="str">
            <v>1 - SERVIÇOS PRELIMINARES</v>
          </cell>
          <cell r="E20"/>
          <cell r="F20"/>
          <cell r="G20"/>
          <cell r="H20">
            <v>100799.599732</v>
          </cell>
        </row>
        <row r="21">
          <cell r="C21" t="str">
            <v>1.1</v>
          </cell>
          <cell r="D21" t="str">
            <v>Mobilização De Equipamento</v>
          </cell>
          <cell r="E21" t="str">
            <v>%</v>
          </cell>
          <cell r="F21"/>
          <cell r="G21">
            <v>397386.34564999997</v>
          </cell>
          <cell r="H21">
            <v>0</v>
          </cell>
        </row>
        <row r="22">
          <cell r="C22" t="str">
            <v>1.2</v>
          </cell>
          <cell r="D22" t="str">
            <v>Mobilização De Pessoal</v>
          </cell>
          <cell r="E22" t="str">
            <v>%</v>
          </cell>
          <cell r="F22"/>
          <cell r="G22">
            <v>170308.43</v>
          </cell>
          <cell r="H22">
            <v>0</v>
          </cell>
        </row>
        <row r="23">
          <cell r="C23" t="str">
            <v>1.3</v>
          </cell>
          <cell r="D23" t="str">
            <v>Instalação Do Canteiro</v>
          </cell>
          <cell r="E23" t="str">
            <v>%</v>
          </cell>
          <cell r="F23"/>
          <cell r="G23">
            <v>567694.77950000006</v>
          </cell>
          <cell r="H23">
            <v>0</v>
          </cell>
        </row>
        <row r="24">
          <cell r="C24" t="str">
            <v>1.4</v>
          </cell>
          <cell r="D24" t="str">
            <v>Manutenção E Apoio Logístico</v>
          </cell>
          <cell r="E24" t="str">
            <v>mês</v>
          </cell>
          <cell r="F24">
            <v>1.7147000000000001</v>
          </cell>
          <cell r="G24">
            <v>58785.56</v>
          </cell>
          <cell r="H24">
            <v>100799.599732</v>
          </cell>
        </row>
        <row r="25">
          <cell r="C25" t="str">
            <v>2.</v>
          </cell>
          <cell r="D25" t="str">
            <v>2- CANAL DE APROXIMAÇÃO</v>
          </cell>
          <cell r="E25"/>
          <cell r="F25"/>
          <cell r="G25"/>
          <cell r="H25">
            <v>0</v>
          </cell>
        </row>
        <row r="26">
          <cell r="C26" t="str">
            <v>2.1</v>
          </cell>
          <cell r="D26" t="str">
            <v>Dragagem Da Embocadura Do Canal</v>
          </cell>
          <cell r="E26" t="str">
            <v>m³</v>
          </cell>
          <cell r="F26"/>
          <cell r="G26">
            <v>5.49</v>
          </cell>
          <cell r="H26">
            <v>0</v>
          </cell>
        </row>
        <row r="27">
          <cell r="C27" t="str">
            <v>2.2</v>
          </cell>
          <cell r="D27" t="str">
            <v>Enrocamento Com Pedra Arrumada Com Dmt &lt;= 100 M</v>
          </cell>
          <cell r="E27" t="str">
            <v>m³</v>
          </cell>
          <cell r="F27"/>
          <cell r="G27">
            <v>41.84</v>
          </cell>
          <cell r="H27">
            <v>0</v>
          </cell>
        </row>
        <row r="28">
          <cell r="C28" t="str">
            <v>3.</v>
          </cell>
          <cell r="D28" t="str">
            <v>3 - EBP 1</v>
          </cell>
          <cell r="E28"/>
          <cell r="F28"/>
          <cell r="G28"/>
          <cell r="H28">
            <v>0</v>
          </cell>
        </row>
        <row r="29">
          <cell r="C29" t="str">
            <v>3.1</v>
          </cell>
          <cell r="D29" t="str">
            <v>MONTAGEM</v>
          </cell>
          <cell r="E29"/>
          <cell r="F29"/>
          <cell r="G29"/>
          <cell r="H29">
            <v>0</v>
          </cell>
        </row>
        <row r="30">
          <cell r="C30" t="str">
            <v>3.1.1</v>
          </cell>
          <cell r="D30" t="str">
            <v>Conjunto Moto-Bomba Vertical, Motor Indução,Trifásico, 4.16 Kv, 1000 Cv, Instalação Abrigada (Pos 1)</v>
          </cell>
          <cell r="E30" t="str">
            <v>un</v>
          </cell>
          <cell r="F30"/>
          <cell r="G30">
            <v>4815.7299999999996</v>
          </cell>
          <cell r="H30">
            <v>0</v>
          </cell>
        </row>
        <row r="31">
          <cell r="C31" t="str">
            <v>3.1.2</v>
          </cell>
          <cell r="D31" t="str">
            <v>Conjunto Moto-Bomba Vertical, Motor Indução,Trifásico, 4.16 Kv, 1000 Cv, Instalação Abrigada (Pos 1)</v>
          </cell>
          <cell r="E31" t="str">
            <v>un</v>
          </cell>
          <cell r="F31"/>
          <cell r="G31">
            <v>4815.7299999999996</v>
          </cell>
          <cell r="H31">
            <v>0</v>
          </cell>
        </row>
        <row r="32">
          <cell r="C32" t="str">
            <v>3.1.3</v>
          </cell>
          <cell r="D32" t="str">
            <v>Ligação Bombas - Barrilete</v>
          </cell>
          <cell r="E32" t="str">
            <v>un</v>
          </cell>
          <cell r="F32"/>
          <cell r="G32">
            <v>23403.46</v>
          </cell>
          <cell r="H32">
            <v>0</v>
          </cell>
        </row>
        <row r="33">
          <cell r="C33" t="str">
            <v>3.1.4</v>
          </cell>
          <cell r="D33" t="str">
            <v>Montagem - Chapa Suporte Para Motor De Eletrobomba Eixo Vertical Em Aço Carbono Estrutural Astm A36/A131/A283Grc, Espessura 2 Pol, L X H = 2.800 X 2.800 Mm, Dotada De 08 (Oito) Furos Ø = 42 Mm, 12 (Doze) Furos Ø = 28 Mm, Abertura Circular Central Ø = 1.200 Mm, Incluindo Controle De Qualidade.</v>
          </cell>
          <cell r="E33" t="str">
            <v>un</v>
          </cell>
          <cell r="F33"/>
          <cell r="G33">
            <v>5022.53</v>
          </cell>
          <cell r="H33">
            <v>0</v>
          </cell>
        </row>
        <row r="34">
          <cell r="C34" t="str">
            <v>3.1.5</v>
          </cell>
          <cell r="D34" t="str">
            <v>Comporta Ensecadeira, Aço Com Vedação De Borracha De 2,5 M X 1,5 M (Pos 18)</v>
          </cell>
          <cell r="E34" t="str">
            <v>un</v>
          </cell>
          <cell r="F34"/>
          <cell r="G34">
            <v>600.23</v>
          </cell>
          <cell r="H34">
            <v>0</v>
          </cell>
        </row>
        <row r="35">
          <cell r="C35" t="str">
            <v>3.1.6</v>
          </cell>
          <cell r="D35" t="str">
            <v>Preparo, Lançamento E Adensamento De Concreto  (Ca-4 B)</v>
          </cell>
          <cell r="E35" t="str">
            <v>m³</v>
          </cell>
          <cell r="F35"/>
          <cell r="G35">
            <v>284.41000000000003</v>
          </cell>
          <cell r="H35">
            <v>0</v>
          </cell>
        </row>
        <row r="36">
          <cell r="C36" t="str">
            <v>3.1.7</v>
          </cell>
          <cell r="D36" t="str">
            <v>Graute Fgk=30 Mpa; Traço 1:0,02:0,8:1,1 (Cimento/Cal/Areia Grossa/Brita 0) - Preparo Mecânico Com Betoneira</v>
          </cell>
          <cell r="E36" t="str">
            <v>m³</v>
          </cell>
          <cell r="F36"/>
          <cell r="G36">
            <v>1047.6600000000001</v>
          </cell>
          <cell r="H36">
            <v>0</v>
          </cell>
        </row>
        <row r="37">
          <cell r="C37" t="str">
            <v>3.1.8</v>
          </cell>
          <cell r="D37" t="str">
            <v>Demolição De Alvenaria</v>
          </cell>
          <cell r="E37" t="str">
            <v>m³</v>
          </cell>
          <cell r="F37"/>
          <cell r="G37">
            <v>19.010000000000002</v>
          </cell>
          <cell r="H37">
            <v>0</v>
          </cell>
        </row>
        <row r="38">
          <cell r="C38" t="str">
            <v>3.1.9</v>
          </cell>
          <cell r="D38" t="str">
            <v>Demolição De Concreto Armado</v>
          </cell>
          <cell r="E38" t="str">
            <v>m³</v>
          </cell>
          <cell r="F38"/>
          <cell r="G38">
            <v>182.85</v>
          </cell>
          <cell r="H38">
            <v>0</v>
          </cell>
        </row>
        <row r="39">
          <cell r="C39" t="str">
            <v>3.1.10</v>
          </cell>
          <cell r="D39" t="str">
            <v>Demolição De Concreto Simples</v>
          </cell>
          <cell r="E39" t="str">
            <v>m³</v>
          </cell>
          <cell r="F39"/>
          <cell r="G39">
            <v>134.41999999999999</v>
          </cell>
          <cell r="H39">
            <v>0</v>
          </cell>
        </row>
        <row r="40">
          <cell r="C40" t="str">
            <v>3.1.11</v>
          </cell>
          <cell r="D40" t="str">
            <v>Drenagem E Esgotamento D'Água</v>
          </cell>
          <cell r="E40" t="str">
            <v>hpxh</v>
          </cell>
          <cell r="F40"/>
          <cell r="G40">
            <v>3.47</v>
          </cell>
          <cell r="H40">
            <v>0</v>
          </cell>
        </row>
        <row r="41">
          <cell r="C41" t="str">
            <v>3.1.12</v>
          </cell>
          <cell r="D41" t="str">
            <v xml:space="preserve">Escavação Mecânica Subaquática Com Dragline Em Material De 1ª Categoria, Dmt &lt;= 100 M </v>
          </cell>
          <cell r="E41" t="str">
            <v>m³</v>
          </cell>
          <cell r="F41"/>
          <cell r="G41">
            <v>8.8699999999999992</v>
          </cell>
          <cell r="H41">
            <v>0</v>
          </cell>
        </row>
        <row r="42">
          <cell r="C42" t="str">
            <v>3.1.13</v>
          </cell>
          <cell r="D42" t="str">
            <v>Serviços De Rejuvenescimento E Manutenção Preventiva Dos Motores De 1.000 Cv</v>
          </cell>
          <cell r="E42" t="str">
            <v>un</v>
          </cell>
          <cell r="F42"/>
          <cell r="G42">
            <v>29847.5</v>
          </cell>
          <cell r="H42">
            <v>0</v>
          </cell>
        </row>
        <row r="43">
          <cell r="C43" t="str">
            <v>3.1.14</v>
          </cell>
          <cell r="D43" t="str">
            <v>Cobogó De Concreto</v>
          </cell>
          <cell r="E43" t="str">
            <v>m²</v>
          </cell>
          <cell r="F43"/>
          <cell r="G43">
            <v>44.81</v>
          </cell>
          <cell r="H43">
            <v>0</v>
          </cell>
        </row>
        <row r="44">
          <cell r="C44" t="str">
            <v>3.1.15</v>
          </cell>
          <cell r="D44" t="str">
            <v>Cobertura Com Telha Tipo Kanalete 90</v>
          </cell>
          <cell r="E44" t="str">
            <v>m²</v>
          </cell>
          <cell r="F44"/>
          <cell r="G44">
            <v>122.91</v>
          </cell>
          <cell r="H44">
            <v>0</v>
          </cell>
        </row>
        <row r="45">
          <cell r="C45" t="str">
            <v>3.1.16</v>
          </cell>
          <cell r="D45" t="str">
            <v>Andaime</v>
          </cell>
          <cell r="E45" t="str">
            <v>m³</v>
          </cell>
          <cell r="F45"/>
          <cell r="G45">
            <v>14.52</v>
          </cell>
          <cell r="H45">
            <v>0</v>
          </cell>
        </row>
        <row r="46">
          <cell r="C46" t="str">
            <v>3.1.17</v>
          </cell>
          <cell r="D46" t="str">
            <v>Carga manual de entulho em caminhão basculante</v>
          </cell>
          <cell r="E46" t="str">
            <v>m³</v>
          </cell>
          <cell r="F46"/>
          <cell r="G46">
            <v>10.65</v>
          </cell>
          <cell r="H46">
            <v>0</v>
          </cell>
        </row>
        <row r="47">
          <cell r="C47" t="str">
            <v>3.1.18</v>
          </cell>
          <cell r="D47" t="str">
            <v>Momento Extraordinário De Transporte Para Material De 1ª Categoria</v>
          </cell>
          <cell r="E47" t="str">
            <v>m³xkm</v>
          </cell>
          <cell r="F47"/>
          <cell r="G47">
            <v>1.1499999999999999</v>
          </cell>
          <cell r="H47">
            <v>0</v>
          </cell>
        </row>
        <row r="48">
          <cell r="C48" t="str">
            <v>3.2</v>
          </cell>
          <cell r="D48" t="str">
            <v xml:space="preserve">FORNECIMENTO (BDI do item 3.2 foi reduzido de 40% para 37,2%) </v>
          </cell>
          <cell r="E48"/>
          <cell r="F48"/>
          <cell r="G48"/>
          <cell r="H48">
            <v>0</v>
          </cell>
        </row>
        <row r="49">
          <cell r="C49" t="str">
            <v>3.2.1</v>
          </cell>
          <cell r="D49" t="str">
            <v>Conjuntos Motobombas</v>
          </cell>
          <cell r="E49"/>
          <cell r="F49"/>
          <cell r="G49"/>
          <cell r="H49">
            <v>0</v>
          </cell>
        </row>
        <row r="50">
          <cell r="C50" t="str">
            <v>3.2.1.1</v>
          </cell>
          <cell r="D50" t="str">
            <v>Conjunto Moto-Bomba Vertical, Motor Indução,Trifásico, 4.16 Kv, 1000 Cv, Instalação Abrigada (Pos 1)</v>
          </cell>
          <cell r="E50" t="str">
            <v>un</v>
          </cell>
          <cell r="F50"/>
          <cell r="G50">
            <v>1158531.93</v>
          </cell>
          <cell r="H50">
            <v>0</v>
          </cell>
        </row>
        <row r="51">
          <cell r="C51" t="str">
            <v>3.2.1.2</v>
          </cell>
          <cell r="D51" t="str">
            <v>Conjunto Moto-Bomba Vertical, Motor Indução,Trifásico, 4.16 Kv, 1000 Cv, Instalação Abrigada (Pos 1)</v>
          </cell>
          <cell r="E51" t="str">
            <v>un</v>
          </cell>
          <cell r="F51"/>
          <cell r="G51">
            <v>1158531.93</v>
          </cell>
          <cell r="H51">
            <v>0</v>
          </cell>
        </row>
        <row r="52">
          <cell r="C52" t="str">
            <v>3.2.1.3</v>
          </cell>
          <cell r="D52" t="str">
            <v>Detectores De Temperatura Tipo Mancais - Conjunto Moto-Bomba Vertical 1.000 Cv</v>
          </cell>
          <cell r="E52" t="str">
            <v>un</v>
          </cell>
          <cell r="F52"/>
          <cell r="G52">
            <v>11814.38</v>
          </cell>
          <cell r="H52">
            <v>0</v>
          </cell>
        </row>
        <row r="53">
          <cell r="C53" t="str">
            <v>3.2.1.4</v>
          </cell>
          <cell r="D53" t="str">
            <v>Chapa Suporte Para Motor De Eletrobomba Eixo Vertical Em Aço Carbono Estrutural Astm A36/A131/A283Grc, Espessura 2 Pol, L X H = 2.800 X 2.800 Mm, Dotada De 08 (Oito) Furos Ø = 42 Mm, 12 (Doze) Furos Ø = 28 Mm, Abertura Circular Central Ø = 1.200 Mm</v>
          </cell>
          <cell r="E53" t="str">
            <v>un</v>
          </cell>
          <cell r="F53"/>
          <cell r="G53">
            <v>13486.16</v>
          </cell>
          <cell r="H53">
            <v>0</v>
          </cell>
        </row>
        <row r="54">
          <cell r="C54" t="str">
            <v>3.2.1.5</v>
          </cell>
          <cell r="D54" t="str">
            <v>Comporta Ensecadeira, Aço Com Vedação De Borracha De 2,5M X 1,5M (Pos 18)</v>
          </cell>
          <cell r="E54" t="str">
            <v>un</v>
          </cell>
          <cell r="F54"/>
          <cell r="G54">
            <v>17802</v>
          </cell>
          <cell r="H54">
            <v>0</v>
          </cell>
        </row>
        <row r="55">
          <cell r="C55" t="str">
            <v>3.2.1.6</v>
          </cell>
          <cell r="D55" t="str">
            <v>Grade Metálica, 2,50 M X 1,60 M (Pos 20)</v>
          </cell>
          <cell r="E55" t="str">
            <v>un</v>
          </cell>
          <cell r="F55"/>
          <cell r="G55">
            <v>1142.3699999999999</v>
          </cell>
          <cell r="H55">
            <v>0</v>
          </cell>
        </row>
        <row r="56">
          <cell r="C56" t="str">
            <v>3.2.1.9</v>
          </cell>
          <cell r="D56" t="str">
            <v>Acessório Para Flange, Ø900 Mm</v>
          </cell>
          <cell r="E56" t="str">
            <v>un</v>
          </cell>
          <cell r="F56"/>
          <cell r="G56">
            <v>289.39976371973125</v>
          </cell>
          <cell r="H56">
            <v>0</v>
          </cell>
        </row>
        <row r="57">
          <cell r="C57" t="str">
            <v>3.2.2</v>
          </cell>
          <cell r="D57" t="str">
            <v>Ligação Bombas - Barrilete</v>
          </cell>
          <cell r="E57"/>
          <cell r="F57"/>
          <cell r="G57"/>
          <cell r="H57">
            <v>0</v>
          </cell>
        </row>
        <row r="58">
          <cell r="C58" t="str">
            <v>3.2.2.1</v>
          </cell>
          <cell r="D58" t="str">
            <v>Junta Axial Auto-Compensada Diâmetro 600Mm Dinatécnica Ou Similar (Pos. 2)</v>
          </cell>
          <cell r="E58" t="str">
            <v>un</v>
          </cell>
          <cell r="F58"/>
          <cell r="G58">
            <v>9689.41</v>
          </cell>
          <cell r="H58">
            <v>0</v>
          </cell>
        </row>
        <row r="59">
          <cell r="C59" t="str">
            <v>3.2.2.2</v>
          </cell>
          <cell r="D59" t="str">
            <v>Expansão Concêntrica Aço Esp. 3/8" Diâm. 900Mm X 600Mm C/Flange Diâm. 600Mm, L = 0,70M (Pos.3)</v>
          </cell>
          <cell r="E59" t="str">
            <v>un</v>
          </cell>
          <cell r="F59"/>
          <cell r="G59">
            <v>2423.2199999999998</v>
          </cell>
          <cell r="H59">
            <v>0</v>
          </cell>
        </row>
        <row r="60">
          <cell r="C60" t="str">
            <v>3.2.2.3</v>
          </cell>
          <cell r="D60" t="str">
            <v>Ponta Flange De Aço Espessura 3/8", Diâmetro 900Mm L = 0,80M (Pos.4)</v>
          </cell>
          <cell r="E60" t="str">
            <v>un</v>
          </cell>
          <cell r="F60"/>
          <cell r="G60">
            <v>3773.29</v>
          </cell>
          <cell r="H60">
            <v>0</v>
          </cell>
        </row>
        <row r="61">
          <cell r="C61" t="str">
            <v>3.2.2.4</v>
          </cell>
          <cell r="D61" t="str">
            <v>Ventosa Tríplice Função Dn = 150 (Pos.5)</v>
          </cell>
          <cell r="E61" t="str">
            <v>un</v>
          </cell>
          <cell r="F61"/>
          <cell r="G61">
            <v>1207.1099999999999</v>
          </cell>
          <cell r="H61">
            <v>0</v>
          </cell>
        </row>
        <row r="62">
          <cell r="C62" t="str">
            <v>3.2.2.5</v>
          </cell>
          <cell r="D62" t="str">
            <v>Válvula De Retenção Tipo Clasar, Diâmetro 900Mm Neyrtec Ou Similar (Pos,6)</v>
          </cell>
          <cell r="E62" t="str">
            <v>un</v>
          </cell>
          <cell r="F62"/>
          <cell r="G62">
            <v>33890.44</v>
          </cell>
          <cell r="H62">
            <v>0</v>
          </cell>
        </row>
        <row r="63">
          <cell r="C63" t="str">
            <v>3.2.2.6</v>
          </cell>
          <cell r="D63" t="str">
            <v>Carretel Em Aço Espessura 3/8", Diâmetro 900Mm X  1500Mm (Pos.7)</v>
          </cell>
          <cell r="E63" t="str">
            <v>un</v>
          </cell>
          <cell r="F63"/>
          <cell r="G63">
            <v>3341.45</v>
          </cell>
          <cell r="H63">
            <v>0</v>
          </cell>
        </row>
        <row r="64">
          <cell r="C64" t="str">
            <v>3.2.2.7</v>
          </cell>
          <cell r="D64" t="str">
            <v>Peça Ponta E Flange Em Aço Espessura 3/8" Diâmetro 1800Mm X 2000Mm (Pos.8)</v>
          </cell>
          <cell r="E64" t="str">
            <v>un</v>
          </cell>
          <cell r="F64"/>
          <cell r="G64">
            <v>12825.74</v>
          </cell>
          <cell r="H64">
            <v>0</v>
          </cell>
        </row>
        <row r="65">
          <cell r="C65" t="str">
            <v>3.2.2.8</v>
          </cell>
          <cell r="D65" t="str">
            <v>Redução Concêntrica Aço Esp. 3/8", Extrem. P/ Solda, Diâm.1800Mm X 1500Mm L = 0,65M (Pos.9)</v>
          </cell>
          <cell r="E65" t="str">
            <v>un</v>
          </cell>
          <cell r="F65"/>
          <cell r="G65">
            <v>2336.67</v>
          </cell>
          <cell r="H65">
            <v>0</v>
          </cell>
        </row>
        <row r="66">
          <cell r="C66" t="str">
            <v>3.2.2.9</v>
          </cell>
          <cell r="D66" t="str">
            <v>Tubo Em Aço Espessura 3/8", Extremidades Para Solda Diâmetro 1500 X 600Mm (Pos.10)</v>
          </cell>
          <cell r="E66" t="str">
            <v>un</v>
          </cell>
          <cell r="F66"/>
          <cell r="G66">
            <v>1869.33</v>
          </cell>
          <cell r="H66">
            <v>0</v>
          </cell>
        </row>
        <row r="67">
          <cell r="C67" t="str">
            <v>3.2.2.10</v>
          </cell>
          <cell r="D67" t="str">
            <v>Junta De Montagem, Tipo Dresser, Diâmetro 1500Mm ( Pos.11)</v>
          </cell>
          <cell r="E67" t="str">
            <v>un</v>
          </cell>
          <cell r="F67"/>
          <cell r="G67">
            <v>10351.81</v>
          </cell>
          <cell r="H67">
            <v>0</v>
          </cell>
        </row>
        <row r="68">
          <cell r="C68" t="str">
            <v>3.2.2.11</v>
          </cell>
          <cell r="D68" t="str">
            <v xml:space="preserve">Junta De Montagem, Tipo Dresser, Diâmetro 900Mm </v>
          </cell>
          <cell r="E68" t="str">
            <v>un</v>
          </cell>
          <cell r="F68"/>
          <cell r="G68">
            <v>5578.59</v>
          </cell>
          <cell r="H68">
            <v>0</v>
          </cell>
        </row>
        <row r="69">
          <cell r="C69" t="str">
            <v>3.2.2.12</v>
          </cell>
          <cell r="D69" t="str">
            <v>Válvula Borboleta Com Acionamento Por Moto-Redutor Com 'Flanges; Diâmetro 900 Mm; Pn - 10</v>
          </cell>
          <cell r="E69" t="str">
            <v>un</v>
          </cell>
          <cell r="F69"/>
          <cell r="G69">
            <v>95049.37</v>
          </cell>
          <cell r="H69">
            <v>0</v>
          </cell>
        </row>
        <row r="70">
          <cell r="C70" t="str">
            <v>3.2.2.14</v>
          </cell>
          <cell r="D70" t="str">
            <v>Junta De Montagem Da Bomba Diâmetro 700 Mm.( Pos 6 )</v>
          </cell>
          <cell r="E70" t="str">
            <v>un</v>
          </cell>
          <cell r="F70"/>
          <cell r="G70">
            <v>4354.3500000000004</v>
          </cell>
          <cell r="H70">
            <v>0</v>
          </cell>
        </row>
        <row r="71">
          <cell r="C71" t="str">
            <v>3.2.2.15</v>
          </cell>
          <cell r="D71" t="str">
            <v>Registro De Gaveta , Chato, Com Bolsas, Junta Elástica, Cabeçote, Ferro Dúctil, Ø150 Mm</v>
          </cell>
          <cell r="E71" t="str">
            <v>un</v>
          </cell>
          <cell r="F71"/>
          <cell r="G71">
            <v>1044.05</v>
          </cell>
          <cell r="H71">
            <v>0</v>
          </cell>
        </row>
        <row r="72">
          <cell r="C72" t="str">
            <v>3.2.2.16</v>
          </cell>
          <cell r="D72" t="str">
            <v>Acessório Para Flange, Ø150 Mm</v>
          </cell>
          <cell r="E72" t="str">
            <v>un</v>
          </cell>
          <cell r="F72"/>
          <cell r="G72">
            <v>78.95</v>
          </cell>
          <cell r="H72">
            <v>0</v>
          </cell>
        </row>
        <row r="73">
          <cell r="C73" t="str">
            <v>4.</v>
          </cell>
          <cell r="D73" t="str">
            <v>4 - ADUTORA PRINCIPAL 1</v>
          </cell>
          <cell r="E73"/>
          <cell r="F73"/>
          <cell r="G73"/>
          <cell r="H73">
            <v>0</v>
          </cell>
        </row>
        <row r="74">
          <cell r="C74" t="str">
            <v>4.1</v>
          </cell>
          <cell r="D74" t="str">
            <v>OBRAS CIVIS  E MONTAGEM</v>
          </cell>
          <cell r="E74"/>
          <cell r="F74"/>
          <cell r="G74"/>
          <cell r="H74">
            <v>0</v>
          </cell>
        </row>
        <row r="75">
          <cell r="C75" t="str">
            <v>4.1.1</v>
          </cell>
          <cell r="D75" t="str">
            <v>Adutora e One Ways</v>
          </cell>
          <cell r="E75"/>
          <cell r="F75"/>
          <cell r="G75"/>
          <cell r="H75">
            <v>0</v>
          </cell>
        </row>
        <row r="76">
          <cell r="C76" t="str">
            <v>4.1.1.1</v>
          </cell>
          <cell r="D76" t="str">
            <v xml:space="preserve"> Desmatamento, Destocamento E Limpeza De Terreno</v>
          </cell>
          <cell r="E76" t="str">
            <v>ha</v>
          </cell>
          <cell r="F76"/>
          <cell r="G76">
            <v>1660.74</v>
          </cell>
          <cell r="H76">
            <v>0</v>
          </cell>
        </row>
        <row r="77">
          <cell r="C77" t="str">
            <v>4.1.1.2</v>
          </cell>
          <cell r="D77" t="str">
            <v>Escavação Mecânica Em Material De 1ª Categoria, Dmt &lt;= 300 M</v>
          </cell>
          <cell r="E77" t="str">
            <v>m³</v>
          </cell>
          <cell r="F77"/>
          <cell r="G77">
            <v>5.54</v>
          </cell>
          <cell r="H77">
            <v>0</v>
          </cell>
        </row>
        <row r="78">
          <cell r="C78" t="str">
            <v>4.1.1.3</v>
          </cell>
          <cell r="D78" t="str">
            <v>Reaterro Compactado Com Reaproveitamento Do Material Escavado</v>
          </cell>
          <cell r="E78" t="str">
            <v>m³</v>
          </cell>
          <cell r="F78"/>
          <cell r="G78">
            <v>7.41</v>
          </cell>
          <cell r="H78">
            <v>0</v>
          </cell>
        </row>
        <row r="79">
          <cell r="C79" t="str">
            <v>4.1.1.4</v>
          </cell>
          <cell r="D79" t="str">
            <v>Leito De Areia</v>
          </cell>
          <cell r="E79" t="str">
            <v>m³</v>
          </cell>
          <cell r="F79"/>
          <cell r="G79">
            <v>11.2</v>
          </cell>
          <cell r="H79">
            <v>0</v>
          </cell>
        </row>
        <row r="80">
          <cell r="C80" t="str">
            <v>4.1.1.5</v>
          </cell>
          <cell r="D80" t="str">
            <v>Formas Planas Para Concreto</v>
          </cell>
          <cell r="E80" t="str">
            <v>m²</v>
          </cell>
          <cell r="F80"/>
          <cell r="G80">
            <v>53.52</v>
          </cell>
          <cell r="H80">
            <v>0</v>
          </cell>
        </row>
        <row r="81">
          <cell r="C81" t="str">
            <v>4.1.1.6</v>
          </cell>
          <cell r="D81" t="str">
            <v>Armadura Para Concreto Estrutural (Aço Ca-50)</v>
          </cell>
          <cell r="E81" t="str">
            <v>kg</v>
          </cell>
          <cell r="F81"/>
          <cell r="G81">
            <v>3.87</v>
          </cell>
          <cell r="H81">
            <v>0</v>
          </cell>
        </row>
        <row r="82">
          <cell r="C82" t="str">
            <v>4.1.1.7</v>
          </cell>
          <cell r="D82" t="str">
            <v>Preparo, Lançamento E Adensamento De Concreto  (Ca-4 B)</v>
          </cell>
          <cell r="E82" t="str">
            <v>m³</v>
          </cell>
          <cell r="F82"/>
          <cell r="G82">
            <v>284.41000000000003</v>
          </cell>
          <cell r="H82">
            <v>0</v>
          </cell>
        </row>
        <row r="83">
          <cell r="C83" t="str">
            <v>4.1.1.8</v>
          </cell>
          <cell r="D83" t="str">
            <v>Escada De Marinheiro Com Guarda - Corpo Metálico</v>
          </cell>
          <cell r="E83" t="str">
            <v>m</v>
          </cell>
          <cell r="F83"/>
          <cell r="G83">
            <v>77.069999999999993</v>
          </cell>
          <cell r="H83">
            <v>0</v>
          </cell>
        </row>
        <row r="84">
          <cell r="C84" t="str">
            <v>4.1.1.9</v>
          </cell>
          <cell r="D84" t="str">
            <v xml:space="preserve">Guarda - Corpo Metálico </v>
          </cell>
          <cell r="E84" t="str">
            <v>m</v>
          </cell>
          <cell r="F84"/>
          <cell r="G84">
            <v>57.83</v>
          </cell>
          <cell r="H84">
            <v>0</v>
          </cell>
        </row>
        <row r="85">
          <cell r="C85" t="str">
            <v>4.1.1.10</v>
          </cell>
          <cell r="D85" t="str">
            <v>Grade De Fechamento</v>
          </cell>
          <cell r="E85" t="str">
            <v>m²</v>
          </cell>
          <cell r="F85"/>
          <cell r="G85">
            <v>107.72</v>
          </cell>
          <cell r="H85">
            <v>0</v>
          </cell>
        </row>
        <row r="86">
          <cell r="C86" t="str">
            <v>4.1.1.11</v>
          </cell>
          <cell r="D86" t="str">
            <v>Montagem De Tubulação Em Aço Carbono, Ø1500 Mm, Inclusive Acessórios</v>
          </cell>
          <cell r="E86" t="str">
            <v>m</v>
          </cell>
          <cell r="F86"/>
          <cell r="G86">
            <v>322.19</v>
          </cell>
          <cell r="H86">
            <v>0</v>
          </cell>
        </row>
        <row r="87">
          <cell r="C87" t="str">
            <v>4.1.1.12</v>
          </cell>
          <cell r="D87" t="str">
            <v>Montagem De One Ways</v>
          </cell>
          <cell r="E87" t="str">
            <v>cj</v>
          </cell>
          <cell r="F87"/>
          <cell r="G87">
            <v>33101.910000000003</v>
          </cell>
          <cell r="H87">
            <v>0</v>
          </cell>
        </row>
        <row r="88">
          <cell r="C88" t="str">
            <v>4.1.1.13</v>
          </cell>
          <cell r="D88" t="str">
            <v>Preparo, Lançamento E Adensamento De Concreto  (Ca-7J)</v>
          </cell>
          <cell r="E88" t="str">
            <v>m³</v>
          </cell>
          <cell r="F88"/>
          <cell r="G88">
            <v>236.36</v>
          </cell>
          <cell r="H88">
            <v>0</v>
          </cell>
        </row>
        <row r="89">
          <cell r="C89" t="str">
            <v>4.1.1.14</v>
          </cell>
          <cell r="D89" t="str">
            <v>Escav. Manual  Em Material De  1ª Cat. Com Dmt&lt;= 100 M. (Até 1,5M)</v>
          </cell>
          <cell r="E89" t="str">
            <v>m³</v>
          </cell>
          <cell r="F89"/>
          <cell r="G89">
            <v>18.07</v>
          </cell>
          <cell r="H89">
            <v>0</v>
          </cell>
        </row>
        <row r="90">
          <cell r="C90" t="str">
            <v>4.1.1.15</v>
          </cell>
          <cell r="D90" t="str">
            <v>Montagem De Chapas De Reforço Para Tubulação De 1500Mm</v>
          </cell>
          <cell r="E90" t="str">
            <v>un</v>
          </cell>
          <cell r="F90"/>
          <cell r="G90">
            <v>544.64</v>
          </cell>
          <cell r="H90">
            <v>0</v>
          </cell>
        </row>
        <row r="91">
          <cell r="C91" t="str">
            <v>4.1.1.16</v>
          </cell>
          <cell r="D91" t="str">
            <v>Montagem De Anéis De Enrijecimento Para Tubulação De 1500Mm</v>
          </cell>
          <cell r="E91" t="str">
            <v>un</v>
          </cell>
          <cell r="F91"/>
          <cell r="G91">
            <v>450.88</v>
          </cell>
          <cell r="H91">
            <v>0</v>
          </cell>
        </row>
        <row r="92">
          <cell r="C92" t="str">
            <v>4.1.1.17</v>
          </cell>
          <cell r="D92" t="str">
            <v>Fixação De Elemento Deslizante Em Pead Nas Bases</v>
          </cell>
          <cell r="E92" t="str">
            <v>m²</v>
          </cell>
          <cell r="F92"/>
          <cell r="G92">
            <v>5.56</v>
          </cell>
          <cell r="H92">
            <v>0</v>
          </cell>
        </row>
        <row r="93">
          <cell r="C93" t="str">
            <v>4.1.1.18</v>
          </cell>
          <cell r="D93" t="str">
            <v>Montagem De Cinta De Fixação</v>
          </cell>
          <cell r="E93" t="str">
            <v>un</v>
          </cell>
          <cell r="F93"/>
          <cell r="G93">
            <v>65.33</v>
          </cell>
          <cell r="H93">
            <v>0</v>
          </cell>
        </row>
        <row r="94">
          <cell r="C94" t="str">
            <v>4.1.1.19</v>
          </cell>
          <cell r="D94" t="str">
            <v>Recuperação De Revestimento Interno Da Adutora</v>
          </cell>
          <cell r="E94" t="str">
            <v>m²</v>
          </cell>
          <cell r="F94"/>
          <cell r="G94">
            <v>89.17</v>
          </cell>
          <cell r="H94">
            <v>0</v>
          </cell>
        </row>
        <row r="95">
          <cell r="C95" t="str">
            <v>4.1.1.20</v>
          </cell>
          <cell r="D95" t="str">
            <v xml:space="preserve">Recuperação De Revestimento Externo De Adutora E Equipamentos Hidromecânicos </v>
          </cell>
          <cell r="E95" t="str">
            <v>m²</v>
          </cell>
          <cell r="F95"/>
          <cell r="G95">
            <v>135.15</v>
          </cell>
          <cell r="H95">
            <v>0</v>
          </cell>
        </row>
        <row r="96">
          <cell r="C96" t="str">
            <v>4.1.1.21</v>
          </cell>
          <cell r="D96" t="str">
            <v>Demolição De Concreto Armado</v>
          </cell>
          <cell r="E96" t="str">
            <v>m³</v>
          </cell>
          <cell r="F96"/>
          <cell r="G96">
            <v>182.85</v>
          </cell>
          <cell r="H96">
            <v>0</v>
          </cell>
        </row>
        <row r="97">
          <cell r="C97" t="str">
            <v>4.2</v>
          </cell>
          <cell r="D97" t="str">
            <v>FORNECIMENTO (O BDI do item 4.2 foi reduzido de 40% para 37,2%)</v>
          </cell>
          <cell r="E97"/>
          <cell r="F97"/>
          <cell r="G97"/>
          <cell r="H97">
            <v>0</v>
          </cell>
        </row>
        <row r="98">
          <cell r="C98" t="str">
            <v>4.2.1</v>
          </cell>
          <cell r="D98" t="str">
            <v>Adutora</v>
          </cell>
          <cell r="E98"/>
          <cell r="F98"/>
          <cell r="G98"/>
          <cell r="H98">
            <v>0</v>
          </cell>
        </row>
        <row r="99">
          <cell r="C99" t="str">
            <v>4.2.1.1</v>
          </cell>
          <cell r="D99" t="str">
            <v>Tubo, Extremidades Para Solda, Aço Carbono, Espessura 3/8", Diâmetro 1500Mm, De Estaca 0 + 0,0M A 5 + 11M Inclusive Curvas Horizontais E Verticais</v>
          </cell>
          <cell r="E99" t="str">
            <v>m</v>
          </cell>
          <cell r="F99"/>
          <cell r="G99">
            <v>2417.19</v>
          </cell>
          <cell r="H99">
            <v>0</v>
          </cell>
        </row>
        <row r="100">
          <cell r="C100" t="str">
            <v>4.2.1.2</v>
          </cell>
          <cell r="D100" t="str">
            <v>Tubo, Extremidades Para Solda, Aço Carbono, Espessura 5/16", Diâmetro 1500Mm, De Estaca 5 + 11M A 74 + 10,80M, Inclusive Curvas Horizontais E Verticais</v>
          </cell>
          <cell r="E100" t="str">
            <v>m</v>
          </cell>
          <cell r="F100"/>
          <cell r="G100">
            <v>2004.85</v>
          </cell>
          <cell r="H100">
            <v>0</v>
          </cell>
        </row>
        <row r="101">
          <cell r="C101" t="str">
            <v>4.2.1.3</v>
          </cell>
          <cell r="D101" t="str">
            <v>Cone De Redução 1800 X 1500Mm, Com Extremidades Para Solda, L = 0.65M, Aço Carbono, Estaca 0 + 2,50M, Espessura 3/8"  (Pos.9)</v>
          </cell>
          <cell r="E101" t="str">
            <v>un</v>
          </cell>
          <cell r="F101"/>
          <cell r="G101">
            <v>5864.19</v>
          </cell>
          <cell r="H101">
            <v>0</v>
          </cell>
        </row>
        <row r="102">
          <cell r="C102" t="str">
            <v>4.2.1.4</v>
          </cell>
          <cell r="D102" t="str">
            <v>Junta De Dilatação, Tipo Dresser, Diâmetro 1500Mm, Na Estaca 0 + 2,50M (Pos.11)</v>
          </cell>
          <cell r="E102" t="str">
            <v>un</v>
          </cell>
          <cell r="F102"/>
          <cell r="G102">
            <v>10351.81</v>
          </cell>
          <cell r="H102">
            <v>0</v>
          </cell>
        </row>
        <row r="103">
          <cell r="C103" t="str">
            <v>4.2.1.5</v>
          </cell>
          <cell r="D103" t="str">
            <v>Janela Inspeção, Diâmetro 600Mm, L = 0,30M, C/ Extremidade Soldada Tubo Diâmetro 1500Mm E Outra Extremidade Com Flange Cego ( Detalhe 1 - Desenho Tlp - 10 - 072), Nas Estacas 2,25 E 50M</v>
          </cell>
          <cell r="E103" t="str">
            <v>un</v>
          </cell>
          <cell r="F103"/>
          <cell r="G103">
            <v>7996.62</v>
          </cell>
          <cell r="H103">
            <v>0</v>
          </cell>
        </row>
        <row r="104">
          <cell r="C104" t="str">
            <v>4.2.1.6</v>
          </cell>
          <cell r="D104" t="str">
            <v>Ventosa Tríplice Função Dn = 200 Mm</v>
          </cell>
          <cell r="E104" t="str">
            <v>un</v>
          </cell>
          <cell r="F104"/>
          <cell r="G104">
            <v>1728.79</v>
          </cell>
          <cell r="H104">
            <v>0</v>
          </cell>
        </row>
        <row r="105">
          <cell r="C105" t="str">
            <v>4.2.1.7</v>
          </cell>
          <cell r="D105" t="str">
            <v>Chapa De Reforço Para Tubulação De 1500Mm, Com Abrangência De 150° Da Circunferência. Raio Interno: 1518 Mm. Raio Externo: 1537 Mm. Material: Aço Carbono A-36. Espessura: 3/8". Largura : 600 Mm.</v>
          </cell>
          <cell r="E105" t="str">
            <v>un</v>
          </cell>
          <cell r="F105"/>
          <cell r="G105">
            <v>1611.54</v>
          </cell>
          <cell r="H105">
            <v>0</v>
          </cell>
        </row>
        <row r="106">
          <cell r="C106" t="str">
            <v>4.2.1.8</v>
          </cell>
          <cell r="D106" t="str">
            <v>Anel De Enrijecimento Em Aço Carbono Astm A-36, Com Abrangência De 210° Da Circunferência. Altura De 120 Mm, Com Raio Externo Igual À 1740 Mm. Espessura Da Chapa: 3/8"</v>
          </cell>
          <cell r="E106" t="str">
            <v>un</v>
          </cell>
          <cell r="F106"/>
          <cell r="G106">
            <v>254.96</v>
          </cell>
          <cell r="H106">
            <v>0</v>
          </cell>
        </row>
        <row r="107">
          <cell r="C107" t="str">
            <v>4.2.1.9</v>
          </cell>
          <cell r="D107" t="str">
            <v>Elemento Deslizante Em Pead Flexível Com 2,0Mm Ou Mais De Espessura, Nas Dimensões Do Bloco De Apoio.</v>
          </cell>
          <cell r="E107" t="str">
            <v>un</v>
          </cell>
          <cell r="F107"/>
          <cell r="G107">
            <v>3783.98</v>
          </cell>
          <cell r="H107">
            <v>0</v>
          </cell>
        </row>
        <row r="108">
          <cell r="C108" t="str">
            <v>4.2.1.10</v>
          </cell>
          <cell r="D108" t="str">
            <v>Cinta De Aço Astm A36 Galvanizada A Fogo, Espessura 5/16”, Ø1500 Mm, Largura De 75 Mm E 3150 Mm De Comprimento Com Sapatas Triangulares</v>
          </cell>
          <cell r="E108" t="str">
            <v>un</v>
          </cell>
          <cell r="F108"/>
          <cell r="G108">
            <v>562.4</v>
          </cell>
          <cell r="H108">
            <v>0</v>
          </cell>
        </row>
        <row r="109">
          <cell r="C109" t="str">
            <v>4.2.2</v>
          </cell>
          <cell r="D109" t="str">
            <v>One ways</v>
          </cell>
          <cell r="E109"/>
          <cell r="F109"/>
          <cell r="G109"/>
          <cell r="H109">
            <v>0</v>
          </cell>
        </row>
        <row r="110">
          <cell r="C110" t="str">
            <v>4.2.2.1</v>
          </cell>
          <cell r="D110" t="str">
            <v>Junta De Expansão Tipo Dresser, Diâmetro 1000Mm (Pos.1)</v>
          </cell>
          <cell r="E110" t="str">
            <v>un</v>
          </cell>
          <cell r="F110"/>
          <cell r="G110">
            <v>6846.62</v>
          </cell>
          <cell r="H110">
            <v>0</v>
          </cell>
        </row>
        <row r="111">
          <cell r="C111" t="str">
            <v>4.2.2.2</v>
          </cell>
          <cell r="D111" t="str">
            <v>Válvula De Retenção, Diâmetro 1000Mm (Pos.2)</v>
          </cell>
          <cell r="E111" t="str">
            <v>un</v>
          </cell>
          <cell r="F111"/>
          <cell r="G111">
            <v>35604.01</v>
          </cell>
          <cell r="H111">
            <v>0</v>
          </cell>
        </row>
        <row r="112">
          <cell r="C112" t="str">
            <v>4.2.2.3</v>
          </cell>
          <cell r="D112" t="str">
            <v>Anel De Aço Para Engastamento Na Parede, Conforme Detalhe 1, Diâmetro 1000Mm (Pos.3)</v>
          </cell>
          <cell r="E112" t="str">
            <v>un</v>
          </cell>
          <cell r="F112"/>
          <cell r="G112">
            <v>3731.74</v>
          </cell>
          <cell r="H112">
            <v>0</v>
          </cell>
        </row>
        <row r="113">
          <cell r="C113" t="str">
            <v>4.2.2.4</v>
          </cell>
          <cell r="D113" t="str">
            <v>Peça Pontas Lisas, Aço, Diâmetro 1000Mm, Espessura  3/8", L = 1200Mm (Pos.4)</v>
          </cell>
          <cell r="E113" t="str">
            <v>un</v>
          </cell>
          <cell r="F113"/>
          <cell r="G113">
            <v>2475.14</v>
          </cell>
          <cell r="H113">
            <v>0</v>
          </cell>
        </row>
        <row r="114">
          <cell r="C114" t="str">
            <v>4.2.2.5</v>
          </cell>
          <cell r="D114" t="str">
            <v xml:space="preserve"> Peça Ponta Lisa / Flanges, Aço, Diâmetro 1000Mm,  Espessura 3/8", L = 450Mm (Pos.5)</v>
          </cell>
          <cell r="E114" t="str">
            <v>un</v>
          </cell>
          <cell r="F114"/>
          <cell r="G114">
            <v>2079.12</v>
          </cell>
          <cell r="H114">
            <v>0</v>
          </cell>
        </row>
        <row r="115">
          <cell r="C115" t="str">
            <v>4.2.2.6</v>
          </cell>
          <cell r="D115" t="str">
            <v>Peça Ponta Lisa / Flange, Aço, Diâmetro 1000Mm, Espessura 3/8", L = 700Mm (Pos.6)</v>
          </cell>
          <cell r="E115" t="str">
            <v>un</v>
          </cell>
          <cell r="F115"/>
          <cell r="G115">
            <v>2212.4</v>
          </cell>
          <cell r="H115">
            <v>0</v>
          </cell>
        </row>
        <row r="116">
          <cell r="C116" t="str">
            <v>4.2.2.7</v>
          </cell>
          <cell r="D116" t="str">
            <v>Peça Pontas Lisas, Aço, Diâmetro 1000Mm, Espessura 3/8", L = 1500Mm (Pos.7)</v>
          </cell>
          <cell r="E116" t="str">
            <v>un</v>
          </cell>
          <cell r="F116"/>
          <cell r="G116">
            <v>3115.56</v>
          </cell>
          <cell r="H116">
            <v>0</v>
          </cell>
        </row>
        <row r="117">
          <cell r="C117" t="str">
            <v>4.2.2.8</v>
          </cell>
          <cell r="D117" t="str">
            <v>Peça Ponta Lisa Soldada Tubo, D=1500Mm C/ Flange, Aço, Diâm. 1000Mm, Esp. 3/8", L=1500Mm (Pos.9)</v>
          </cell>
          <cell r="E117" t="str">
            <v>un</v>
          </cell>
          <cell r="F117"/>
          <cell r="G117">
            <v>9325.58</v>
          </cell>
          <cell r="H117">
            <v>0</v>
          </cell>
        </row>
        <row r="118">
          <cell r="C118" t="str">
            <v>4.2.2.9</v>
          </cell>
          <cell r="D118" t="str">
            <v>Redução Ponta Lisa , Diâm 100Mm C/ Flange Diâmetro 250Mm, Aço Esp. 5/16", L = 500Mm (Pos.9)</v>
          </cell>
          <cell r="E118" t="str">
            <v>un</v>
          </cell>
          <cell r="F118"/>
          <cell r="G118">
            <v>432.71</v>
          </cell>
          <cell r="H118">
            <v>0</v>
          </cell>
        </row>
        <row r="119">
          <cell r="C119" t="str">
            <v>4.2.2.10</v>
          </cell>
          <cell r="D119" t="str">
            <v>Registro Automático De Entrada, Diâmetro 250Mm Para Pressão Máxima De 80M C.A. (Pos.10)</v>
          </cell>
          <cell r="E119" t="str">
            <v>un</v>
          </cell>
          <cell r="F119"/>
          <cell r="G119">
            <v>4208.21</v>
          </cell>
          <cell r="H119">
            <v>0</v>
          </cell>
        </row>
        <row r="120">
          <cell r="C120" t="str">
            <v>4.2.2.11</v>
          </cell>
          <cell r="D120" t="str">
            <v>Tubo De Aço, Com Extremidade Soldada, Diâmetro 100Mm, Espessura 5/16", Inclusive Curvas</v>
          </cell>
          <cell r="E120" t="str">
            <v>m</v>
          </cell>
          <cell r="F120"/>
          <cell r="G120">
            <v>54.64</v>
          </cell>
          <cell r="H120">
            <v>0</v>
          </cell>
        </row>
        <row r="121">
          <cell r="C121" t="str">
            <v>4.2.2.12</v>
          </cell>
          <cell r="D121" t="str">
            <v>Tubo De Aço, Com Extremidades Soldadas, Diâmetro 200Mm, Espessura 5/16", Inclusive Curvas</v>
          </cell>
          <cell r="E121" t="str">
            <v>m</v>
          </cell>
          <cell r="F121"/>
          <cell r="G121">
            <v>110.42</v>
          </cell>
          <cell r="H121">
            <v>0</v>
          </cell>
        </row>
        <row r="122">
          <cell r="C122" t="str">
            <v>4.2.3</v>
          </cell>
          <cell r="D122" t="str">
            <v xml:space="preserve"> CHAMINÉ DE EQUILÍBRIO</v>
          </cell>
          <cell r="E122"/>
          <cell r="F122"/>
          <cell r="G122"/>
          <cell r="H122">
            <v>0</v>
          </cell>
        </row>
        <row r="123">
          <cell r="C123" t="str">
            <v>4.2.3.1</v>
          </cell>
          <cell r="D123" t="str">
            <v xml:space="preserve">Obras Civis </v>
          </cell>
          <cell r="E123"/>
          <cell r="F123"/>
          <cell r="G123">
            <v>0</v>
          </cell>
          <cell r="H123">
            <v>0</v>
          </cell>
        </row>
        <row r="124">
          <cell r="C124" t="str">
            <v>4.2.3.1.1</v>
          </cell>
          <cell r="D124" t="str">
            <v>Escavação Mecânica Em Material De 1ª Categoria, Dmt &lt;= 300 M</v>
          </cell>
          <cell r="E124" t="str">
            <v>m³</v>
          </cell>
          <cell r="F124"/>
          <cell r="G124">
            <v>5.54</v>
          </cell>
          <cell r="H124">
            <v>0</v>
          </cell>
        </row>
        <row r="125">
          <cell r="C125" t="str">
            <v>4.2.3.1.2</v>
          </cell>
          <cell r="D125" t="str">
            <v>Estaca 330 Mm</v>
          </cell>
          <cell r="E125" t="str">
            <v>m³</v>
          </cell>
          <cell r="F125"/>
          <cell r="G125">
            <v>264.89999999999998</v>
          </cell>
          <cell r="H125">
            <v>0</v>
          </cell>
        </row>
        <row r="126">
          <cell r="C126" t="str">
            <v>4.2.3.1.3</v>
          </cell>
          <cell r="D126" t="str">
            <v>Formas Curvas Para Concreto</v>
          </cell>
          <cell r="E126" t="str">
            <v>m²</v>
          </cell>
          <cell r="F126"/>
          <cell r="G126">
            <v>90.32</v>
          </cell>
          <cell r="H126">
            <v>0</v>
          </cell>
        </row>
        <row r="127">
          <cell r="C127" t="str">
            <v>4.2.3.1.4</v>
          </cell>
          <cell r="D127" t="str">
            <v>Armadura Para Concreto Estrutural (Aço Ca-50)</v>
          </cell>
          <cell r="E127" t="str">
            <v>kg</v>
          </cell>
          <cell r="F127"/>
          <cell r="G127">
            <v>3.87</v>
          </cell>
          <cell r="H127">
            <v>0</v>
          </cell>
        </row>
        <row r="128">
          <cell r="C128" t="str">
            <v>4.2.3.1.5</v>
          </cell>
          <cell r="D128" t="str">
            <v>Preparo, Lançamento E Adensamento De Concreto  C/ 450 Kg</v>
          </cell>
          <cell r="E128" t="str">
            <v>m³</v>
          </cell>
          <cell r="F128"/>
          <cell r="G128">
            <v>359.44</v>
          </cell>
          <cell r="H128">
            <v>0</v>
          </cell>
        </row>
        <row r="129">
          <cell r="C129" t="str">
            <v>4.2.3.1.6</v>
          </cell>
          <cell r="D129" t="str">
            <v>Reaterro Compactado Com Reaproveitamento Do Material Escavado</v>
          </cell>
          <cell r="E129" t="str">
            <v>m³</v>
          </cell>
          <cell r="F129"/>
          <cell r="G129">
            <v>7.41</v>
          </cell>
          <cell r="H129">
            <v>0</v>
          </cell>
        </row>
        <row r="130">
          <cell r="C130" t="str">
            <v>4.2.3.1.7</v>
          </cell>
          <cell r="D130" t="str">
            <v>Formas Planas Para Concreto</v>
          </cell>
          <cell r="E130" t="str">
            <v>m²</v>
          </cell>
          <cell r="F130"/>
          <cell r="G130">
            <v>53.52</v>
          </cell>
          <cell r="H130">
            <v>0</v>
          </cell>
        </row>
        <row r="131">
          <cell r="C131" t="str">
            <v>4.2.3.1.8</v>
          </cell>
          <cell r="D131" t="str">
            <v>Locação, Montagem E Desmontagem De Elevador Cremalheira, Para Execução Da Chaminé De Equilibrio 1</v>
          </cell>
          <cell r="E131" t="str">
            <v>m</v>
          </cell>
          <cell r="F131"/>
          <cell r="G131">
            <v>1151.02</v>
          </cell>
          <cell r="H131">
            <v>0</v>
          </cell>
        </row>
        <row r="132">
          <cell r="C132" t="str">
            <v>4.2.3.1.9</v>
          </cell>
          <cell r="D132" t="str">
            <v>Preparo, Lançamento E Adensamento De Concreto  (Ca-7 J)</v>
          </cell>
          <cell r="E132" t="str">
            <v>m³</v>
          </cell>
          <cell r="F132"/>
          <cell r="G132">
            <v>236.36</v>
          </cell>
          <cell r="H132">
            <v>0</v>
          </cell>
        </row>
        <row r="133">
          <cell r="C133" t="str">
            <v>4.2.3.1.10</v>
          </cell>
          <cell r="D133" t="str">
            <v>Fornecimento E Aplicação De Revestimento Em Borracha Liquida Para Impermeabilização Da Chaminé De Equilibrio 1</v>
          </cell>
          <cell r="E133" t="str">
            <v>m²</v>
          </cell>
          <cell r="F133"/>
          <cell r="G133">
            <v>200.75</v>
          </cell>
          <cell r="H133">
            <v>0</v>
          </cell>
        </row>
        <row r="134">
          <cell r="C134" t="str">
            <v>4.2.3.1.11</v>
          </cell>
          <cell r="D134" t="str">
            <v>Alvenaria De Tijolo Cerâmico (10 X 20 X 20 M) Espessura De 15 Cm</v>
          </cell>
          <cell r="E134" t="str">
            <v>m²</v>
          </cell>
          <cell r="F134"/>
          <cell r="G134">
            <v>32.79</v>
          </cell>
          <cell r="H134">
            <v>0</v>
          </cell>
        </row>
        <row r="135">
          <cell r="C135" t="str">
            <v>4.2.3.1.12</v>
          </cell>
          <cell r="D135" t="str">
            <v>Impermeabilização Com Sikatop 100</v>
          </cell>
          <cell r="E135" t="str">
            <v>m²</v>
          </cell>
          <cell r="F135"/>
          <cell r="G135">
            <v>19.97</v>
          </cell>
          <cell r="H135">
            <v>0</v>
          </cell>
        </row>
        <row r="136">
          <cell r="C136" t="str">
            <v>4.2.3.1.13</v>
          </cell>
          <cell r="D136" t="str">
            <v>Retirada De Fixadores Das Gravatas Do Elevador Cremalheira</v>
          </cell>
          <cell r="E136" t="str">
            <v>un</v>
          </cell>
          <cell r="F136"/>
          <cell r="G136">
            <v>540.41</v>
          </cell>
          <cell r="H136">
            <v>0</v>
          </cell>
        </row>
        <row r="137">
          <cell r="C137" t="str">
            <v>4.2.3.1.14</v>
          </cell>
          <cell r="D137" t="str">
            <v>Reparo Na Estrutura De Concreto Com Adesivo Estrutural</v>
          </cell>
          <cell r="E137" t="str">
            <v>un</v>
          </cell>
          <cell r="F137"/>
          <cell r="G137">
            <v>293.37</v>
          </cell>
          <cell r="H137">
            <v>0</v>
          </cell>
        </row>
        <row r="138">
          <cell r="C138" t="str">
            <v>4.2.3.1.15</v>
          </cell>
          <cell r="D138" t="str">
            <v>Escavação Manual Em Material De 1ª Categoria Com Dmt &lt;= 100 M (Até 1,5 M)</v>
          </cell>
          <cell r="E138" t="str">
            <v>m²</v>
          </cell>
          <cell r="F138"/>
          <cell r="G138">
            <v>18.07</v>
          </cell>
          <cell r="H138">
            <v>0</v>
          </cell>
        </row>
        <row r="139">
          <cell r="C139" t="str">
            <v>4.2.3.1.16</v>
          </cell>
          <cell r="D139" t="str">
            <v>Demolição De Concreto Armado</v>
          </cell>
          <cell r="E139" t="str">
            <v>m³</v>
          </cell>
          <cell r="F139"/>
          <cell r="G139">
            <v>182.85</v>
          </cell>
          <cell r="H139">
            <v>0</v>
          </cell>
        </row>
        <row r="140">
          <cell r="C140" t="str">
            <v>4.2.3.1.17</v>
          </cell>
          <cell r="D140" t="str">
            <v>Graute Fgk=30 Mpa; Traço 1:0,02:0,8:1,1 (Cimento/Cal/Areia Grossa/Brita 0) - Preparo Mecânico Com Betoneira</v>
          </cell>
          <cell r="E140" t="str">
            <v>m³</v>
          </cell>
          <cell r="F140"/>
          <cell r="G140">
            <v>1047.6600000000001</v>
          </cell>
          <cell r="H140">
            <v>0</v>
          </cell>
        </row>
        <row r="141">
          <cell r="C141" t="str">
            <v>4.2.3.1.18</v>
          </cell>
          <cell r="D141" t="str">
            <v>Carga Manual De Entulho Em Caminhão Basculante</v>
          </cell>
          <cell r="E141" t="str">
            <v>m³</v>
          </cell>
          <cell r="F141"/>
          <cell r="G141">
            <v>10.65</v>
          </cell>
          <cell r="H141">
            <v>0</v>
          </cell>
        </row>
        <row r="142">
          <cell r="C142" t="str">
            <v>4.2.3.1.19</v>
          </cell>
          <cell r="D142" t="str">
            <v>Momento Extraordinário De Transporte Para Material De 1ª Categoria</v>
          </cell>
          <cell r="E142" t="str">
            <v>m³xkm</v>
          </cell>
          <cell r="F142"/>
          <cell r="G142">
            <v>1.1499999999999999</v>
          </cell>
          <cell r="H142">
            <v>0</v>
          </cell>
        </row>
        <row r="143">
          <cell r="C143" t="str">
            <v>4.2.3.1.20</v>
          </cell>
          <cell r="D143" t="str">
            <v>Andaime</v>
          </cell>
          <cell r="E143" t="str">
            <v>m³</v>
          </cell>
          <cell r="F143"/>
          <cell r="G143">
            <v>14.52</v>
          </cell>
          <cell r="H143">
            <v>0</v>
          </cell>
        </row>
        <row r="144">
          <cell r="C144" t="str">
            <v>5.</v>
          </cell>
          <cell r="D144" t="str">
            <v>5 - EBP 2</v>
          </cell>
          <cell r="E144"/>
          <cell r="F144"/>
          <cell r="G144"/>
          <cell r="H144">
            <v>0</v>
          </cell>
        </row>
        <row r="145">
          <cell r="C145" t="str">
            <v>5.1</v>
          </cell>
          <cell r="D145" t="str">
            <v>OBRAS CIVIS</v>
          </cell>
          <cell r="E145"/>
          <cell r="F145"/>
          <cell r="G145"/>
          <cell r="H145">
            <v>0</v>
          </cell>
        </row>
        <row r="146">
          <cell r="C146" t="str">
            <v>5.1.1</v>
          </cell>
          <cell r="D146" t="str">
            <v>EBP</v>
          </cell>
          <cell r="E146"/>
          <cell r="F146"/>
          <cell r="G146"/>
          <cell r="H146">
            <v>0</v>
          </cell>
        </row>
        <row r="147">
          <cell r="C147" t="str">
            <v>5.1.1.1</v>
          </cell>
          <cell r="D147" t="str">
            <v>Desmatamento, Destocamento E Limpeza Do Terreno</v>
          </cell>
          <cell r="E147" t="str">
            <v>ha</v>
          </cell>
          <cell r="F147"/>
          <cell r="G147">
            <v>1660.74</v>
          </cell>
          <cell r="H147">
            <v>0</v>
          </cell>
        </row>
        <row r="148">
          <cell r="C148" t="str">
            <v>5.1.1.2</v>
          </cell>
          <cell r="D148" t="str">
            <v>Drenagem E Esgotamento D'Água</v>
          </cell>
          <cell r="E148" t="str">
            <v>hpxh</v>
          </cell>
          <cell r="F148"/>
          <cell r="G148">
            <v>3.47</v>
          </cell>
          <cell r="H148">
            <v>0</v>
          </cell>
        </row>
        <row r="149">
          <cell r="C149" t="str">
            <v>5.1.1.3</v>
          </cell>
          <cell r="D149" t="str">
            <v>Cercas Com Estacas De Concreto Armado, Com 9 Fios De Arame</v>
          </cell>
          <cell r="E149" t="str">
            <v>m</v>
          </cell>
          <cell r="F149"/>
          <cell r="G149">
            <v>19.05</v>
          </cell>
          <cell r="H149">
            <v>0</v>
          </cell>
        </row>
        <row r="150">
          <cell r="C150" t="str">
            <v>5.1.1.4</v>
          </cell>
          <cell r="D150" t="str">
            <v>Porteira De Madeira Dimensões 1,60 M X 2,50 M</v>
          </cell>
          <cell r="E150" t="str">
            <v>m²</v>
          </cell>
          <cell r="F150"/>
          <cell r="G150">
            <v>299.23</v>
          </cell>
          <cell r="H150">
            <v>0</v>
          </cell>
        </row>
        <row r="151">
          <cell r="C151" t="str">
            <v>5.1.1.5</v>
          </cell>
          <cell r="D151" t="str">
            <v>Escavação Mecânica Em Material De 1ª Categoria, Dmt &lt;= 300 M</v>
          </cell>
          <cell r="E151" t="str">
            <v>m³</v>
          </cell>
          <cell r="F151"/>
          <cell r="G151">
            <v>5.54</v>
          </cell>
          <cell r="H151">
            <v>0</v>
          </cell>
        </row>
        <row r="152">
          <cell r="C152" t="str">
            <v>5.1.1.6</v>
          </cell>
          <cell r="D152" t="str">
            <v>Aterro Compactado, Compreendendo Escavação, Carga, Descarga E Transporte Até 300 M, Umeddecimento, Espalhamento, Homogenização E Compactação</v>
          </cell>
          <cell r="E152" t="str">
            <v>m³</v>
          </cell>
          <cell r="F152"/>
          <cell r="G152">
            <v>9.69</v>
          </cell>
          <cell r="H152">
            <v>0</v>
          </cell>
        </row>
        <row r="153">
          <cell r="C153" t="str">
            <v>5.1.1.7</v>
          </cell>
          <cell r="D153" t="str">
            <v>Reaterro Compactado Com Reaproveitamento Do Material Escavado</v>
          </cell>
          <cell r="E153" t="str">
            <v>m³</v>
          </cell>
          <cell r="F153"/>
          <cell r="G153">
            <v>7.41</v>
          </cell>
          <cell r="H153">
            <v>0</v>
          </cell>
        </row>
        <row r="154">
          <cell r="C154" t="str">
            <v>5.1.1.8</v>
          </cell>
          <cell r="D154" t="str">
            <v xml:space="preserve">Escavação Mecânica Subaquática Com Dragline Em Material De 1ª Categoria, Dmt &lt;= 100 M </v>
          </cell>
          <cell r="E154" t="str">
            <v>m³</v>
          </cell>
          <cell r="F154"/>
          <cell r="G154">
            <v>8.8699999999999992</v>
          </cell>
          <cell r="H154">
            <v>0</v>
          </cell>
        </row>
        <row r="155">
          <cell r="C155" t="str">
            <v>5.1.1.9</v>
          </cell>
          <cell r="D155" t="str">
            <v>Preparo, Lançamento E Adensamento De Concreto (Ca-7 A)</v>
          </cell>
          <cell r="E155" t="str">
            <v>m³</v>
          </cell>
          <cell r="F155"/>
          <cell r="G155">
            <v>236.36</v>
          </cell>
          <cell r="H155">
            <v>0</v>
          </cell>
        </row>
        <row r="156">
          <cell r="C156" t="str">
            <v>5.1.1.10</v>
          </cell>
          <cell r="D156" t="str">
            <v>Formas Planas Para Concreto</v>
          </cell>
          <cell r="E156" t="str">
            <v>m²</v>
          </cell>
          <cell r="F156"/>
          <cell r="G156">
            <v>53.52</v>
          </cell>
          <cell r="H156">
            <v>0</v>
          </cell>
        </row>
        <row r="157">
          <cell r="C157" t="str">
            <v>5.1.1.11</v>
          </cell>
          <cell r="D157" t="str">
            <v>Armadura Para Concreto Estrutural (Aço Ca-50)</v>
          </cell>
          <cell r="E157" t="str">
            <v>kg</v>
          </cell>
          <cell r="F157"/>
          <cell r="G157">
            <v>3.87</v>
          </cell>
          <cell r="H157">
            <v>0</v>
          </cell>
        </row>
        <row r="158">
          <cell r="C158" t="str">
            <v>5.1.1.12</v>
          </cell>
          <cell r="D158" t="str">
            <v>Preparo, Lançamento E Adensamento De Concreto  (Ca-4 B)</v>
          </cell>
          <cell r="E158" t="str">
            <v>m³</v>
          </cell>
          <cell r="F158"/>
          <cell r="G158">
            <v>284.41000000000003</v>
          </cell>
          <cell r="H158">
            <v>0</v>
          </cell>
        </row>
        <row r="159">
          <cell r="C159" t="str">
            <v>5.1.1.13</v>
          </cell>
          <cell r="D159" t="str">
            <v>Escoramento</v>
          </cell>
          <cell r="E159" t="str">
            <v>m³</v>
          </cell>
          <cell r="F159"/>
          <cell r="G159">
            <v>27.72</v>
          </cell>
          <cell r="H159">
            <v>0</v>
          </cell>
        </row>
        <row r="160">
          <cell r="C160" t="str">
            <v>5.1.1.14</v>
          </cell>
          <cell r="D160" t="str">
            <v>Alvenaria De Tijolo Cerâmico (10 X 20 X 20 M) Espessura De 20 Cm</v>
          </cell>
          <cell r="E160" t="str">
            <v>m²</v>
          </cell>
          <cell r="F160"/>
          <cell r="G160">
            <v>51.42</v>
          </cell>
          <cell r="H160">
            <v>0</v>
          </cell>
        </row>
        <row r="161">
          <cell r="C161" t="str">
            <v>5.1.1.15</v>
          </cell>
          <cell r="D161" t="str">
            <v>Reboco Interno Ou Externo, Argamassa De Cal Hidratada 1:3</v>
          </cell>
          <cell r="E161" t="str">
            <v>m²</v>
          </cell>
          <cell r="F161"/>
          <cell r="G161">
            <v>13.25</v>
          </cell>
          <cell r="H161">
            <v>0</v>
          </cell>
        </row>
        <row r="162">
          <cell r="C162" t="str">
            <v>5.1.1.16</v>
          </cell>
          <cell r="D162" t="str">
            <v>Emboço Para Revestimento De Azuleijo, Argamassa Cal Hidratada 1:4 Com 130 Kg De Cimento</v>
          </cell>
          <cell r="E162" t="str">
            <v>m²</v>
          </cell>
          <cell r="F162"/>
          <cell r="G162">
            <v>19.12</v>
          </cell>
          <cell r="H162">
            <v>0</v>
          </cell>
        </row>
        <row r="163">
          <cell r="C163" t="str">
            <v>5.1.1.17</v>
          </cell>
          <cell r="D163" t="str">
            <v>Chapisco</v>
          </cell>
          <cell r="E163" t="str">
            <v>m²</v>
          </cell>
          <cell r="F163"/>
          <cell r="G163">
            <v>8.77</v>
          </cell>
          <cell r="H163">
            <v>0</v>
          </cell>
        </row>
        <row r="164">
          <cell r="C164" t="str">
            <v>5.1.1.18</v>
          </cell>
          <cell r="D164" t="str">
            <v>Azulejo Branco, 0,15 X 0,15 M</v>
          </cell>
          <cell r="E164" t="str">
            <v>m²</v>
          </cell>
          <cell r="F164"/>
          <cell r="G164">
            <v>55.85</v>
          </cell>
          <cell r="H164">
            <v>0</v>
          </cell>
        </row>
        <row r="165">
          <cell r="C165" t="str">
            <v>5.1.1.19</v>
          </cell>
          <cell r="D165" t="str">
            <v>Pintura Em Parede Com Tinta Hidrocor</v>
          </cell>
          <cell r="E165" t="str">
            <v>m²</v>
          </cell>
          <cell r="F165"/>
          <cell r="G165">
            <v>8.84</v>
          </cell>
          <cell r="H165">
            <v>0</v>
          </cell>
        </row>
        <row r="166">
          <cell r="C166" t="str">
            <v>5.1.1.20</v>
          </cell>
          <cell r="D166" t="str">
            <v>Piso Tipo Industrial De Alta Resistência</v>
          </cell>
          <cell r="E166" t="str">
            <v>m²</v>
          </cell>
          <cell r="F166"/>
          <cell r="G166">
            <v>32.18</v>
          </cell>
          <cell r="H166">
            <v>0</v>
          </cell>
        </row>
        <row r="167">
          <cell r="C167" t="str">
            <v>5.1.1.21</v>
          </cell>
          <cell r="D167" t="str">
            <v>Piso Ladrilho Hidráulico</v>
          </cell>
          <cell r="E167" t="str">
            <v>m²</v>
          </cell>
          <cell r="F167"/>
          <cell r="G167">
            <v>48</v>
          </cell>
          <cell r="H167">
            <v>0</v>
          </cell>
        </row>
        <row r="168">
          <cell r="C168" t="str">
            <v>5.1.1.22</v>
          </cell>
          <cell r="D168" t="str">
            <v>Piso Cerâmica Esmaltada, Com Cimento Colante</v>
          </cell>
          <cell r="E168" t="str">
            <v>m²</v>
          </cell>
          <cell r="F168"/>
          <cell r="G168">
            <v>48</v>
          </cell>
          <cell r="H168">
            <v>0</v>
          </cell>
        </row>
        <row r="169">
          <cell r="C169" t="str">
            <v>5.1.1.23</v>
          </cell>
          <cell r="D169" t="str">
            <v>Ponto De Água</v>
          </cell>
          <cell r="E169" t="str">
            <v>un</v>
          </cell>
          <cell r="F169"/>
          <cell r="G169">
            <v>45.81</v>
          </cell>
          <cell r="H169">
            <v>0</v>
          </cell>
        </row>
        <row r="170">
          <cell r="C170" t="str">
            <v>5.1.1.24</v>
          </cell>
          <cell r="D170" t="str">
            <v>Ponto Sanitário</v>
          </cell>
          <cell r="E170" t="str">
            <v>un</v>
          </cell>
          <cell r="F170"/>
          <cell r="G170">
            <v>54.64</v>
          </cell>
          <cell r="H170">
            <v>0</v>
          </cell>
        </row>
        <row r="171">
          <cell r="C171" t="str">
            <v>5.1.1.25</v>
          </cell>
          <cell r="D171" t="str">
            <v>Persiana Plana Com Abas Comprimento 2,50 M</v>
          </cell>
          <cell r="E171" t="str">
            <v>m</v>
          </cell>
          <cell r="F171"/>
          <cell r="G171">
            <v>46.42</v>
          </cell>
          <cell r="H171">
            <v>0</v>
          </cell>
        </row>
        <row r="172">
          <cell r="C172" t="str">
            <v>5.1.1.26</v>
          </cell>
          <cell r="D172" t="str">
            <v>Cobogó De Concreto</v>
          </cell>
          <cell r="E172" t="str">
            <v>m²</v>
          </cell>
          <cell r="F172"/>
          <cell r="G172">
            <v>44.81</v>
          </cell>
          <cell r="H172">
            <v>0</v>
          </cell>
        </row>
        <row r="173">
          <cell r="C173" t="str">
            <v>5.1.1.27</v>
          </cell>
          <cell r="D173" t="str">
            <v>Cobertura Com Telha Tipo Kanalete 90</v>
          </cell>
          <cell r="E173" t="str">
            <v>m²</v>
          </cell>
          <cell r="F173"/>
          <cell r="G173">
            <v>122.91</v>
          </cell>
          <cell r="H173">
            <v>0</v>
          </cell>
        </row>
        <row r="174">
          <cell r="C174" t="str">
            <v>5.1.1.28</v>
          </cell>
          <cell r="D174" t="str">
            <v>Janela Tipo Basculhante Com Vidro</v>
          </cell>
          <cell r="E174" t="str">
            <v>un</v>
          </cell>
          <cell r="F174"/>
          <cell r="G174">
            <v>502.64</v>
          </cell>
          <cell r="H174">
            <v>0</v>
          </cell>
        </row>
        <row r="175">
          <cell r="C175" t="str">
            <v>5.1.1.29</v>
          </cell>
          <cell r="D175" t="str">
            <v>Porta De Madeira Em Pintura Acrílica</v>
          </cell>
          <cell r="E175" t="str">
            <v>m²</v>
          </cell>
          <cell r="F175"/>
          <cell r="G175">
            <v>272.47000000000003</v>
          </cell>
          <cell r="H175">
            <v>0</v>
          </cell>
        </row>
        <row r="176">
          <cell r="C176" t="str">
            <v>5.1.1.30</v>
          </cell>
          <cell r="D176" t="str">
            <v>Porta De Correr De Ferro (4,20 X 3,00) M</v>
          </cell>
          <cell r="E176" t="str">
            <v>m²</v>
          </cell>
          <cell r="F176"/>
          <cell r="G176">
            <v>332.54</v>
          </cell>
          <cell r="H176">
            <v>0</v>
          </cell>
        </row>
        <row r="177">
          <cell r="C177" t="str">
            <v>5.1.1.31</v>
          </cell>
          <cell r="D177" t="str">
            <v>Guarda Corpo Metálico</v>
          </cell>
          <cell r="E177" t="str">
            <v>m</v>
          </cell>
          <cell r="F177"/>
          <cell r="G177">
            <v>57.83</v>
          </cell>
          <cell r="H177">
            <v>0</v>
          </cell>
        </row>
        <row r="178">
          <cell r="C178" t="str">
            <v>5.1.1.32</v>
          </cell>
          <cell r="D178" t="str">
            <v>Chapa Xadrez</v>
          </cell>
          <cell r="E178" t="str">
            <v>m²</v>
          </cell>
          <cell r="F178"/>
          <cell r="G178">
            <v>253.24</v>
          </cell>
          <cell r="H178">
            <v>0</v>
          </cell>
        </row>
        <row r="179">
          <cell r="C179" t="str">
            <v>5.1.1.33</v>
          </cell>
          <cell r="D179" t="str">
            <v>Escada De Marinheiro Com Guarda-Corpo Metálico</v>
          </cell>
          <cell r="E179" t="str">
            <v>m</v>
          </cell>
          <cell r="F179"/>
          <cell r="G179">
            <v>77.069999999999993</v>
          </cell>
          <cell r="H179">
            <v>0</v>
          </cell>
        </row>
        <row r="180">
          <cell r="C180" t="str">
            <v>5.1.1.34</v>
          </cell>
          <cell r="D180" t="str">
            <v>Enrocamento Com Pedra Arrumada Com Dmt &lt;= 100 M</v>
          </cell>
          <cell r="E180" t="str">
            <v>m³</v>
          </cell>
          <cell r="F180"/>
          <cell r="G180">
            <v>41.84</v>
          </cell>
          <cell r="H180">
            <v>0</v>
          </cell>
        </row>
        <row r="181">
          <cell r="C181" t="str">
            <v>5.1.1.36</v>
          </cell>
          <cell r="D181" t="str">
            <v>Momento Extraordinário De Transporte Para Material De 1ª Categoria</v>
          </cell>
          <cell r="E181" t="str">
            <v>m³xkm</v>
          </cell>
          <cell r="F181"/>
          <cell r="G181">
            <v>1.1499999999999999</v>
          </cell>
          <cell r="H181">
            <v>0</v>
          </cell>
        </row>
        <row r="182">
          <cell r="C182" t="str">
            <v>5.1.1.37</v>
          </cell>
          <cell r="D182" t="str">
            <v>Revestimento Primário Com Laterita, Espes.= De 15 Cm</v>
          </cell>
          <cell r="E182" t="str">
            <v>m³</v>
          </cell>
          <cell r="F182"/>
          <cell r="G182">
            <v>11.55</v>
          </cell>
          <cell r="H182">
            <v>0</v>
          </cell>
        </row>
        <row r="183">
          <cell r="C183" t="str">
            <v>5.1.1.38</v>
          </cell>
          <cell r="D183" t="str">
            <v>Preparo, Lançamento E Adensamento De Concreto Ciclópico</v>
          </cell>
          <cell r="E183" t="str">
            <v>m³</v>
          </cell>
          <cell r="F183"/>
          <cell r="G183">
            <v>176.64</v>
          </cell>
          <cell r="H183">
            <v>0</v>
          </cell>
        </row>
        <row r="184">
          <cell r="C184" t="str">
            <v>5.1.1.39</v>
          </cell>
          <cell r="D184" t="str">
            <v>Alvenaria De Tijolo Cerâmico (10 X 20 X 20 M) Espessura De 15 Cm</v>
          </cell>
          <cell r="E184" t="str">
            <v>m²</v>
          </cell>
          <cell r="F184"/>
          <cell r="G184">
            <v>32.79</v>
          </cell>
          <cell r="H184">
            <v>0</v>
          </cell>
        </row>
        <row r="185">
          <cell r="C185" t="str">
            <v>5.1.1.40</v>
          </cell>
          <cell r="D185" t="str">
            <v>Colchão De Brita</v>
          </cell>
          <cell r="E185" t="str">
            <v>m³</v>
          </cell>
          <cell r="F185"/>
          <cell r="G185">
            <v>63.2</v>
          </cell>
          <cell r="H185">
            <v>0</v>
          </cell>
        </row>
        <row r="186">
          <cell r="C186" t="str">
            <v>5.1.1.41</v>
          </cell>
          <cell r="D186" t="str">
            <v>Meiofio De Concreto Prefabricado</v>
          </cell>
          <cell r="E186" t="str">
            <v>m</v>
          </cell>
          <cell r="F186"/>
          <cell r="G186">
            <v>17.37</v>
          </cell>
          <cell r="H186">
            <v>0</v>
          </cell>
        </row>
        <row r="187">
          <cell r="C187" t="str">
            <v>5.1.1.42</v>
          </cell>
          <cell r="D187" t="str">
            <v>Tubulação Ponta E Bolsa De Concreto Armado Ø 600 Mm</v>
          </cell>
          <cell r="E187" t="str">
            <v>m</v>
          </cell>
          <cell r="F187"/>
          <cell r="G187">
            <v>120.95</v>
          </cell>
          <cell r="H187">
            <v>0</v>
          </cell>
        </row>
        <row r="188">
          <cell r="C188" t="str">
            <v>5.1.1.43</v>
          </cell>
          <cell r="D188" t="str">
            <v>Alvenaria De Pedra</v>
          </cell>
          <cell r="E188" t="str">
            <v>m³</v>
          </cell>
          <cell r="F188"/>
          <cell r="G188">
            <v>165.43</v>
          </cell>
          <cell r="H188">
            <v>0</v>
          </cell>
        </row>
        <row r="189">
          <cell r="C189" t="str">
            <v>5.1.1.45</v>
          </cell>
          <cell r="D189" t="str">
            <v>Demolição De Concreto Armado</v>
          </cell>
          <cell r="E189" t="str">
            <v>m³</v>
          </cell>
          <cell r="F189"/>
          <cell r="G189">
            <v>182.86</v>
          </cell>
          <cell r="H189">
            <v>0</v>
          </cell>
        </row>
        <row r="190">
          <cell r="C190" t="str">
            <v>5.1.1.46</v>
          </cell>
          <cell r="D190" t="str">
            <v>Demolição De Alvenaria</v>
          </cell>
          <cell r="E190" t="str">
            <v>m³</v>
          </cell>
          <cell r="F190"/>
          <cell r="G190">
            <v>19.010000000000002</v>
          </cell>
          <cell r="H190">
            <v>0</v>
          </cell>
        </row>
        <row r="191">
          <cell r="C191" t="str">
            <v>5.1.1.49</v>
          </cell>
          <cell r="D191" t="str">
            <v>Escav. Manual  Em Material De  1ª Cat. Com Dmt&lt;= 100 M. (Até 1,5M)</v>
          </cell>
          <cell r="E191" t="str">
            <v>m³</v>
          </cell>
          <cell r="F191"/>
          <cell r="G191">
            <v>18.07</v>
          </cell>
          <cell r="H191">
            <v>0</v>
          </cell>
        </row>
        <row r="192">
          <cell r="C192" t="str">
            <v>5.1.1.50</v>
          </cell>
          <cell r="D192" t="str">
            <v>Porta De Ferro Para Acesso</v>
          </cell>
          <cell r="E192" t="str">
            <v>m³</v>
          </cell>
          <cell r="F192"/>
          <cell r="G192">
            <v>483.6</v>
          </cell>
          <cell r="H192">
            <v>0</v>
          </cell>
        </row>
        <row r="193">
          <cell r="C193" t="str">
            <v>5.1.1.51</v>
          </cell>
          <cell r="D193" t="str">
            <v>Geomembrana Impermeável</v>
          </cell>
          <cell r="E193" t="str">
            <v>m²</v>
          </cell>
          <cell r="F193"/>
          <cell r="G193">
            <v>15.02</v>
          </cell>
          <cell r="H193">
            <v>0</v>
          </cell>
        </row>
        <row r="194">
          <cell r="C194" t="str">
            <v>5.1.1.52</v>
          </cell>
          <cell r="D194" t="str">
            <v>Andaime</v>
          </cell>
          <cell r="E194" t="str">
            <v>m³</v>
          </cell>
          <cell r="F194"/>
          <cell r="G194">
            <v>14.52</v>
          </cell>
          <cell r="H194">
            <v>0</v>
          </cell>
        </row>
        <row r="195">
          <cell r="C195" t="str">
            <v>5.1.1.53</v>
          </cell>
          <cell r="D195" t="str">
            <v>Passeio Cimentado (Calçada), Sob Base Concreto</v>
          </cell>
          <cell r="E195" t="str">
            <v>m²</v>
          </cell>
          <cell r="F195"/>
          <cell r="G195">
            <v>22.08</v>
          </cell>
          <cell r="H195">
            <v>0</v>
          </cell>
        </row>
        <row r="196">
          <cell r="C196" t="str">
            <v>5.1.1.54</v>
          </cell>
          <cell r="D196" t="str">
            <v>Espalhamento de material em bota fora</v>
          </cell>
          <cell r="E196" t="str">
            <v>m³</v>
          </cell>
          <cell r="F196"/>
          <cell r="G196">
            <v>2.2799999999999998</v>
          </cell>
          <cell r="H196">
            <v>0</v>
          </cell>
        </row>
        <row r="197">
          <cell r="C197" t="str">
            <v>5.1.1.55</v>
          </cell>
          <cell r="D197" t="str">
            <v>Transporte e colocação de placas pré-moldadas</v>
          </cell>
          <cell r="E197" t="str">
            <v>un</v>
          </cell>
          <cell r="F197"/>
          <cell r="G197">
            <v>5.59</v>
          </cell>
          <cell r="H197">
            <v>0</v>
          </cell>
        </row>
        <row r="198">
          <cell r="C198" t="str">
            <v>5.1.1.56</v>
          </cell>
          <cell r="D198" t="str">
            <v>Aplicação e lixamento de massa látex em parede, duas demãos</v>
          </cell>
          <cell r="E198" t="str">
            <v>m²</v>
          </cell>
          <cell r="F198"/>
          <cell r="G198">
            <v>3.74</v>
          </cell>
          <cell r="H198">
            <v>0</v>
          </cell>
        </row>
        <row r="199">
          <cell r="C199" t="str">
            <v>5.1.1.57</v>
          </cell>
          <cell r="D199" t="str">
            <v>Pintura acrílica 2 demãos sem emassamento</v>
          </cell>
          <cell r="E199" t="str">
            <v>m²</v>
          </cell>
          <cell r="F199"/>
          <cell r="G199">
            <v>8.02</v>
          </cell>
          <cell r="H199">
            <v>0</v>
          </cell>
        </row>
        <row r="200">
          <cell r="C200" t="str">
            <v>5.2</v>
          </cell>
          <cell r="D200" t="str">
            <v>Ligação Bomba - Barrilete</v>
          </cell>
          <cell r="E200"/>
          <cell r="F200"/>
          <cell r="G200"/>
          <cell r="H200">
            <v>0</v>
          </cell>
        </row>
        <row r="201">
          <cell r="C201" t="str">
            <v>5.2.1</v>
          </cell>
          <cell r="D201" t="str">
            <v>Formas Planas Para Concreto</v>
          </cell>
          <cell r="E201" t="str">
            <v>m²</v>
          </cell>
          <cell r="F201"/>
          <cell r="G201">
            <v>53.52</v>
          </cell>
          <cell r="H201">
            <v>0</v>
          </cell>
        </row>
        <row r="202">
          <cell r="C202" t="str">
            <v>5.2.2</v>
          </cell>
          <cell r="D202" t="str">
            <v>Armadura Para Concreto Estrutural (Aço Ca-50)</v>
          </cell>
          <cell r="E202" t="str">
            <v>kg</v>
          </cell>
          <cell r="F202"/>
          <cell r="G202">
            <v>3.87</v>
          </cell>
          <cell r="H202">
            <v>0</v>
          </cell>
        </row>
        <row r="203">
          <cell r="C203" t="str">
            <v>5.2.3</v>
          </cell>
          <cell r="D203" t="str">
            <v>Preparo, Lançamento E Adensamento De Concreto   (Ca-4 B)</v>
          </cell>
          <cell r="E203" t="str">
            <v>m²</v>
          </cell>
          <cell r="F203"/>
          <cell r="G203">
            <v>284.41000000000003</v>
          </cell>
          <cell r="H203">
            <v>0</v>
          </cell>
        </row>
        <row r="204">
          <cell r="C204" t="str">
            <v>5.2.4</v>
          </cell>
          <cell r="D204" t="str">
            <v>Estaca Escavada De Concreto Armado, Diâmetro 42Cm</v>
          </cell>
          <cell r="E204" t="str">
            <v>un</v>
          </cell>
          <cell r="F204"/>
          <cell r="G204">
            <v>232.06</v>
          </cell>
          <cell r="H204">
            <v>0</v>
          </cell>
        </row>
        <row r="205">
          <cell r="C205" t="str">
            <v>5.2.5</v>
          </cell>
          <cell r="D205" t="str">
            <v>Escada De Marinheiro Com Guarda - Corpo Metálico</v>
          </cell>
          <cell r="E205" t="str">
            <v>m</v>
          </cell>
          <cell r="F205"/>
          <cell r="G205">
            <v>77.069999999999993</v>
          </cell>
          <cell r="H205">
            <v>0</v>
          </cell>
        </row>
        <row r="206">
          <cell r="C206" t="str">
            <v>5.2.6</v>
          </cell>
          <cell r="D206" t="str">
            <v>Guarda - Corpo Metálico</v>
          </cell>
          <cell r="E206" t="str">
            <v>m</v>
          </cell>
          <cell r="F206"/>
          <cell r="G206">
            <v>57.83</v>
          </cell>
          <cell r="H206">
            <v>0</v>
          </cell>
        </row>
        <row r="207">
          <cell r="C207" t="str">
            <v>5.2.7</v>
          </cell>
          <cell r="D207" t="str">
            <v>Grade De Fechamento</v>
          </cell>
          <cell r="E207" t="str">
            <v>m²</v>
          </cell>
          <cell r="F207"/>
          <cell r="G207">
            <v>107.72</v>
          </cell>
          <cell r="H207">
            <v>0</v>
          </cell>
        </row>
        <row r="208">
          <cell r="C208" t="str">
            <v>5.3</v>
          </cell>
          <cell r="D208" t="str">
            <v>MONTAGEM</v>
          </cell>
          <cell r="E208"/>
          <cell r="F208"/>
          <cell r="G208"/>
          <cell r="H208">
            <v>0</v>
          </cell>
        </row>
        <row r="209">
          <cell r="C209" t="str">
            <v>5.3.1</v>
          </cell>
          <cell r="D209" t="str">
            <v>Conjunto Moto-Bomba Vertical, Motor Indução,Trifásico, 4,16 Kv, 1000 Cv, Instalação Abrigada (Pos 1)</v>
          </cell>
          <cell r="E209" t="str">
            <v>un</v>
          </cell>
          <cell r="F209"/>
          <cell r="G209">
            <v>3973.53</v>
          </cell>
          <cell r="H209">
            <v>0</v>
          </cell>
        </row>
        <row r="210">
          <cell r="C210" t="str">
            <v>5.3.2</v>
          </cell>
          <cell r="D210" t="str">
            <v>Conjunto Moto-Bomba Vertical, Motor Indução,Trifásico, 4,16 Kv, 1000 Cv, Instalação Abrigada (Pos 1)</v>
          </cell>
          <cell r="E210" t="str">
            <v>un</v>
          </cell>
          <cell r="F210"/>
          <cell r="G210">
            <v>3973.53</v>
          </cell>
          <cell r="H210">
            <v>0</v>
          </cell>
        </row>
        <row r="211">
          <cell r="C211" t="str">
            <v>5.3.3</v>
          </cell>
          <cell r="D211" t="str">
            <v>Conjunto Moto-Bomba Tipo Submersa Para Drenagem Com 1/3 Cv (Pos 2)</v>
          </cell>
          <cell r="E211" t="str">
            <v>un</v>
          </cell>
          <cell r="F211"/>
          <cell r="G211">
            <v>264.89999999999998</v>
          </cell>
          <cell r="H211">
            <v>0</v>
          </cell>
        </row>
        <row r="212">
          <cell r="C212" t="str">
            <v>5.3.4</v>
          </cell>
          <cell r="D212" t="str">
            <v xml:space="preserve">Conjunto Moto-Bomba Tipo Submersa Para Drenagem Dos Poços De Sucção E Enchimento Da Adutora, 30 Cv (Pos 3) </v>
          </cell>
          <cell r="E212" t="str">
            <v>un</v>
          </cell>
          <cell r="F212"/>
          <cell r="G212">
            <v>1324.51</v>
          </cell>
          <cell r="H212">
            <v>0</v>
          </cell>
        </row>
        <row r="213">
          <cell r="C213" t="str">
            <v>5.3.5</v>
          </cell>
          <cell r="D213" t="str">
            <v>Ponte Rolante Da Eb, Para Montagem E Manutenção, Acionamento Elétrico. Capac. 14 T, Vão = 8,40 M, Altura De Içamento = 18 M (Pos 5)</v>
          </cell>
          <cell r="E213" t="str">
            <v>un</v>
          </cell>
          <cell r="F213"/>
          <cell r="G213">
            <v>7947.07</v>
          </cell>
          <cell r="H213">
            <v>0</v>
          </cell>
        </row>
        <row r="214">
          <cell r="C214" t="str">
            <v>5.3.6</v>
          </cell>
          <cell r="D214" t="str">
            <v>Comporta Ensecadeira, Aço Com Vedação De Borracha De 2,5 M X 1,5 M (Pos 18)</v>
          </cell>
          <cell r="E214" t="str">
            <v>un</v>
          </cell>
          <cell r="F214"/>
          <cell r="G214">
            <v>600.23</v>
          </cell>
          <cell r="H214">
            <v>0</v>
          </cell>
        </row>
        <row r="215">
          <cell r="C215" t="str">
            <v>5.3.7</v>
          </cell>
          <cell r="D215" t="str">
            <v>Guias Para Comporta Ensecadeira Em Aço ( Pos 19 )</v>
          </cell>
          <cell r="E215" t="str">
            <v>un</v>
          </cell>
          <cell r="F215"/>
          <cell r="G215">
            <v>823.84</v>
          </cell>
          <cell r="H215">
            <v>0</v>
          </cell>
        </row>
        <row r="216">
          <cell r="C216" t="str">
            <v>5.3.8</v>
          </cell>
          <cell r="D216" t="str">
            <v>Guias Em Aço Inoxidável Para As Grades ( Pos 21 )</v>
          </cell>
          <cell r="E216" t="str">
            <v>un</v>
          </cell>
          <cell r="F216"/>
          <cell r="G216">
            <v>2024.3</v>
          </cell>
          <cell r="H216">
            <v>0</v>
          </cell>
        </row>
        <row r="217">
          <cell r="C217" t="str">
            <v>5.3.9</v>
          </cell>
          <cell r="D217" t="str">
            <v>Talha Elétrica Com Capacidade De 2,0 Ton (Pos 23)</v>
          </cell>
          <cell r="E217" t="str">
            <v>un</v>
          </cell>
          <cell r="F217"/>
          <cell r="G217">
            <v>1153.3800000000001</v>
          </cell>
          <cell r="H217">
            <v>0</v>
          </cell>
        </row>
        <row r="218">
          <cell r="C218" t="str">
            <v>5.3.10</v>
          </cell>
          <cell r="D218" t="str">
            <v>Talha Elétrica Com Capacidade De 1,0 Ton (Pos 24_)</v>
          </cell>
          <cell r="E218" t="str">
            <v>un</v>
          </cell>
          <cell r="F218"/>
          <cell r="G218">
            <v>894.46</v>
          </cell>
          <cell r="H218">
            <v>0</v>
          </cell>
        </row>
        <row r="219">
          <cell r="C219" t="str">
            <v>5.3.11</v>
          </cell>
          <cell r="D219" t="str">
            <v>Transformador De Força, Trifásico, 13,8/4,16 Kv, Com Ventilação Forçada Primária Em Delta, Secundária Em Estrela, Montado Sobre Trilhos, Potência 5000 Kva</v>
          </cell>
          <cell r="E219" t="str">
            <v>un</v>
          </cell>
          <cell r="F219"/>
          <cell r="G219">
            <v>23755.54</v>
          </cell>
          <cell r="H219">
            <v>0</v>
          </cell>
        </row>
        <row r="220">
          <cell r="C220" t="str">
            <v>5.3.12</v>
          </cell>
          <cell r="D220" t="str">
            <v>Transformador De Força, Trifásico, 13,8/4,16 Kv, Com Ventilação Forçada Primária Em Delta, Secundária Em Estrela, Montado Sobre Trilhos, Potência 5000 Kva</v>
          </cell>
          <cell r="E220" t="str">
            <v>un</v>
          </cell>
          <cell r="F220"/>
          <cell r="G220">
            <v>23755.54</v>
          </cell>
          <cell r="H220">
            <v>0</v>
          </cell>
        </row>
        <row r="221">
          <cell r="C221" t="str">
            <v>5.3.13</v>
          </cell>
          <cell r="D221" t="str">
            <v>Transformador De Distribuição, Trifásico, 13.800/380-220 V, Primário Em Delta, Secundário Em Estrela, Montado Em Poste, Potência 75 Kva</v>
          </cell>
          <cell r="E221" t="str">
            <v>un</v>
          </cell>
          <cell r="F221"/>
          <cell r="G221">
            <v>2694.63</v>
          </cell>
          <cell r="H221">
            <v>0</v>
          </cell>
        </row>
        <row r="222">
          <cell r="C222" t="str">
            <v>5.3.14</v>
          </cell>
          <cell r="D222" t="str">
            <v>Cubículo De Proteção E Medição Em Alta Tensão Padrão Cepisa, Instalação Ao Tempo, Sobre Base, Incluindo Transformadores De Instrumentação, Disjuntor, Reles E Medidores.</v>
          </cell>
          <cell r="E222" t="str">
            <v>un</v>
          </cell>
          <cell r="F222"/>
          <cell r="G222">
            <v>9495.39</v>
          </cell>
          <cell r="H222">
            <v>0</v>
          </cell>
        </row>
        <row r="223">
          <cell r="C223" t="str">
            <v>5.3.15</v>
          </cell>
          <cell r="D223" t="str">
            <v>Cubículo Manobra De Motores (Ebp Ii), Instalação Abrigada, Tipo Metal-Clad 4,16 Kv, Com Medidores, Reles, Disjuntor, Contatores, Fusíveis E Barramento, Para 3 Motores, Conforme Diagrama Unipolar.</v>
          </cell>
          <cell r="E223" t="str">
            <v>un</v>
          </cell>
          <cell r="F223"/>
          <cell r="G223">
            <v>6800.75</v>
          </cell>
          <cell r="H223">
            <v>0</v>
          </cell>
        </row>
        <row r="224">
          <cell r="C224" t="str">
            <v>5.3.16</v>
          </cell>
          <cell r="D224" t="str">
            <v>Cubículo De Manobra De Motores E Interligação (Ebp I), Instalação Abrigada, Tipo Metal-Clad 4,16 Kv, Com Medidores, Reles, Disjuntor De Interligação, Contatores E Barramento, Para 3 Motores, Conforme Diagrama Unipolar</v>
          </cell>
          <cell r="E224" t="str">
            <v>un</v>
          </cell>
          <cell r="F224"/>
          <cell r="G224">
            <v>7827.3</v>
          </cell>
          <cell r="H224">
            <v>0</v>
          </cell>
        </row>
        <row r="225">
          <cell r="C225" t="str">
            <v>5.3.17</v>
          </cell>
          <cell r="D225" t="str">
            <v>Painel Serviços Auxiliares, Para C.A E C.C C/Disjuntores Termomagneticos, Conf. Diagrama Unipolar.</v>
          </cell>
          <cell r="E225" t="str">
            <v>un</v>
          </cell>
          <cell r="F225"/>
          <cell r="G225">
            <v>1197.19</v>
          </cell>
          <cell r="H225">
            <v>0</v>
          </cell>
        </row>
        <row r="226">
          <cell r="C226" t="str">
            <v>5.3.18</v>
          </cell>
          <cell r="D226" t="str">
            <v>Painel De Partida Para Os Motores (03 Motores) Das Válvulas Borboletas.</v>
          </cell>
          <cell r="E226" t="str">
            <v>un</v>
          </cell>
          <cell r="F226"/>
          <cell r="G226">
            <v>3207.91</v>
          </cell>
          <cell r="H226">
            <v>0</v>
          </cell>
        </row>
        <row r="227">
          <cell r="C227" t="str">
            <v>5.3.19</v>
          </cell>
          <cell r="D227" t="str">
            <v>Painel De Iluminação Conforme Quadro De Carga E Diagrama De Distribuição De Circuito.</v>
          </cell>
          <cell r="E227" t="str">
            <v>un</v>
          </cell>
          <cell r="F227"/>
          <cell r="G227">
            <v>2951.25</v>
          </cell>
          <cell r="H227">
            <v>0</v>
          </cell>
        </row>
        <row r="228">
          <cell r="C228" t="str">
            <v>5.3.20</v>
          </cell>
          <cell r="D228" t="str">
            <v>Resistor De Aterramento Montado Sobre Base, 2400 V, 400 A, 10 Segundos</v>
          </cell>
          <cell r="E228" t="str">
            <v>un</v>
          </cell>
          <cell r="F228"/>
          <cell r="G228">
            <v>4206.1899999999996</v>
          </cell>
          <cell r="H228">
            <v>0</v>
          </cell>
        </row>
        <row r="229">
          <cell r="C229" t="str">
            <v>5.3.21</v>
          </cell>
          <cell r="D229" t="str">
            <v>Chave Fusível De Distribuição 15 Kv, 100 A Monofásico, Tipo 2 H, Sistema De Expulsão De Gás, Simples, Fornecida Com Terminais Adequados Para Cabo De Cobre Nú 95 Mm2 (Pos 01). Ref.: Tipo Lmo Hitachi Ou Similar.</v>
          </cell>
          <cell r="E229" t="str">
            <v>un</v>
          </cell>
          <cell r="F229"/>
          <cell r="G229">
            <v>163.6</v>
          </cell>
          <cell r="H229">
            <v>0</v>
          </cell>
        </row>
        <row r="230">
          <cell r="C230" t="str">
            <v>5.3.22</v>
          </cell>
          <cell r="D230" t="str">
            <v>Chave Seccionadora Unipolar, Uso Externo Classe Subestação 600 A, 15 Kv, 60 Hz Abertura Por Vara De Manobra Fornecida Com Terminais Adequados Para Cabo De Cobre Nú 95 Mm2 (Pos 02). Ref.: Tipo Ev Hubbell Ou Similar.</v>
          </cell>
          <cell r="E230" t="str">
            <v>un</v>
          </cell>
          <cell r="F230"/>
          <cell r="G230">
            <v>1526.96</v>
          </cell>
          <cell r="H230">
            <v>0</v>
          </cell>
        </row>
        <row r="231">
          <cell r="C231" t="str">
            <v>5.3.23</v>
          </cell>
          <cell r="D231" t="str">
            <v>Para-Raios Tipo Válvula 12 Kv, 5 Ka Com Desligador Automático, Instalação Ao Tempo, Fornecido Com Terminais Adequados Para Cabos De Cobre Nú 95 Mm2 (Pos 03). Ref.: Tipo Hv Hitachi Ou Similar.</v>
          </cell>
          <cell r="E231" t="str">
            <v>un</v>
          </cell>
          <cell r="F231"/>
          <cell r="G231">
            <v>78.14</v>
          </cell>
          <cell r="H231">
            <v>0</v>
          </cell>
        </row>
        <row r="232">
          <cell r="C232" t="str">
            <v>5.3.24</v>
          </cell>
          <cell r="D232" t="str">
            <v>Poste De Concreto Armado, Seção Duplo Tê Comprimento Total 11 M, Diâmetro Externo No Topo 110 X 140 Mm E Na Base 330 X 448 Mm, Carga Nominal 400 Kg, De Acordo Com A Norma Abnt. (Pos 04) Ref.: Tipo "B" Cavan Ou Similar.</v>
          </cell>
          <cell r="E232" t="str">
            <v>un</v>
          </cell>
          <cell r="F232"/>
          <cell r="G232">
            <v>401.64</v>
          </cell>
          <cell r="H232">
            <v>0</v>
          </cell>
        </row>
        <row r="233">
          <cell r="C233" t="str">
            <v>5.3.25</v>
          </cell>
          <cell r="D233" t="str">
            <v>Torre Treliçada Para Suporte De Para-Raios, Em Estrutura Metálica Galvanizada Auto-Suportada Com 15 M De Altura. (Pos 10) Ref.: Nortec Ou Similar</v>
          </cell>
          <cell r="E233" t="str">
            <v>un</v>
          </cell>
          <cell r="F233"/>
          <cell r="G233">
            <v>1488.47</v>
          </cell>
          <cell r="H233">
            <v>0</v>
          </cell>
        </row>
        <row r="234">
          <cell r="C234" t="str">
            <v>5.3.26</v>
          </cell>
          <cell r="D234" t="str">
            <v>Para-Raios Contra Descarga Atmosférica Tipo Ionizante, Raio De Ação 40 M, Área Protegida Em Círculo 5.000 M2. (Pos 11) Ref.: Tipo "Prmc - 1" Da Nortec Ou Similar.</v>
          </cell>
          <cell r="E234" t="str">
            <v>un</v>
          </cell>
          <cell r="F234"/>
          <cell r="G234">
            <v>295.11</v>
          </cell>
          <cell r="H234">
            <v>0</v>
          </cell>
        </row>
        <row r="235">
          <cell r="C235" t="str">
            <v>5.3.27</v>
          </cell>
          <cell r="D235" t="str">
            <v>Tubo De Pvc 2" C/Parede Reforçada, Para Descida De Cabo Terra. (Pos 14)</v>
          </cell>
          <cell r="E235" t="str">
            <v>m</v>
          </cell>
          <cell r="F235"/>
          <cell r="G235">
            <v>11.7</v>
          </cell>
          <cell r="H235">
            <v>0</v>
          </cell>
        </row>
        <row r="236">
          <cell r="C236" t="str">
            <v>5.3.28</v>
          </cell>
          <cell r="D236" t="str">
            <v>Eletroduto Rígido De Aço Galvanizado Com Costura, 4" Em Varas De 3 Metros, Rosca Bsp. (Pos 17) Ref.: Apolo Ou Similar</v>
          </cell>
          <cell r="E236" t="str">
            <v>vara</v>
          </cell>
          <cell r="F236"/>
          <cell r="G236">
            <v>67.760000000000005</v>
          </cell>
          <cell r="H236">
            <v>0</v>
          </cell>
        </row>
        <row r="237">
          <cell r="C237" t="str">
            <v>5.3.29</v>
          </cell>
          <cell r="D237" t="str">
            <v>Eletroduto Rígido De Aço Galvanizado Com Costura 1.1/2" Em Varas De 3 Metros, Rosca Bsp. (Pos 18) . Ref.: Apolo Ou Similar</v>
          </cell>
          <cell r="E237" t="str">
            <v>vara</v>
          </cell>
          <cell r="F237"/>
          <cell r="G237">
            <v>21.68</v>
          </cell>
          <cell r="H237">
            <v>0</v>
          </cell>
        </row>
        <row r="238">
          <cell r="C238" t="str">
            <v>5.3.30</v>
          </cell>
          <cell r="D238" t="str">
            <v>Eletroduto Rígido De Aço Galvanizado Com Costura, 3" Em Varas De 3 Metros, Rosca Bsp. (Pos 19) Ref.: Apolo Ou Similar.</v>
          </cell>
          <cell r="E238" t="str">
            <v>vara</v>
          </cell>
          <cell r="F238"/>
          <cell r="G238">
            <v>47.2</v>
          </cell>
          <cell r="H238">
            <v>0</v>
          </cell>
        </row>
        <row r="239">
          <cell r="C239" t="str">
            <v>5.3.31</v>
          </cell>
          <cell r="D239" t="str">
            <v>Condulete Tipo "T", Alumínio À Prova De Tempo, Gases, Vapores E Pó Para Entrada De Eletroduto 1.1/2" Rosca Bsp. (Pos 23) Ref.: Blinda Cat. Nº T-50 Ou Similar.</v>
          </cell>
          <cell r="E239" t="str">
            <v>un</v>
          </cell>
          <cell r="F239"/>
          <cell r="G239">
            <v>18.36</v>
          </cell>
          <cell r="H239">
            <v>0</v>
          </cell>
        </row>
        <row r="240">
          <cell r="C240" t="str">
            <v>5.3.32</v>
          </cell>
          <cell r="D240" t="str">
            <v>Eletroduto Flexível A Prova De Tempo Em Tubo Metálico Flexível Revestido De Polivinyl Clorídrico, Extremidades Com Terminais De Latão Rosca Bsp Para Eletroduto 3" (L = 1,00 M). (Pos 24) Ref.: Blinda Cat. Nº 7000 Mm-6 Ou Similar</v>
          </cell>
          <cell r="E240" t="str">
            <v>un</v>
          </cell>
          <cell r="F240"/>
          <cell r="G240">
            <v>91.15</v>
          </cell>
          <cell r="H240">
            <v>0</v>
          </cell>
        </row>
        <row r="241">
          <cell r="C241" t="str">
            <v>5.3.33</v>
          </cell>
          <cell r="D241" t="str">
            <v>Eletroduto Flexível A Prova De Tempo Em Tubo Metálico Flexível Revestido De Polivinyl Clorídrico, Extremidades Com Terminais De Latão Rosca Bsp Para Eletroduto 3/4" (L = 1,00 M). (Pos 25) Ref.: Blinda Cat. Nº 7000 Mm-2 Ou Similar</v>
          </cell>
          <cell r="E241" t="str">
            <v>un</v>
          </cell>
          <cell r="F241"/>
          <cell r="G241">
            <v>25.66</v>
          </cell>
          <cell r="H241">
            <v>0</v>
          </cell>
        </row>
        <row r="242">
          <cell r="C242" t="str">
            <v>5.3.34</v>
          </cell>
          <cell r="D242" t="str">
            <v>Botoeira Liga/Desliga, Para 10 A, 500 V, Montada Em Caixa De Alumínio Fundido À Prova De Tempo, Unidade, Gases, Vapores, E Pós (Nec-Classes Ii E Iii) Entrada Rosqueada 3/4" Bsp. (Pos 33) Ref.: Tipo R-80 Peterco Ou Similar.</v>
          </cell>
          <cell r="E242" t="str">
            <v>un</v>
          </cell>
          <cell r="F242"/>
          <cell r="G242">
            <v>155.94999999999999</v>
          </cell>
          <cell r="H242">
            <v>0</v>
          </cell>
        </row>
        <row r="243">
          <cell r="C243" t="str">
            <v>5.3.35</v>
          </cell>
          <cell r="D243" t="str">
            <v>Haste De Aterramento, C/Núcleo De Aço Carbono Sae 1045 Revestido De Cobre Eletrolítico 3/4" E 3 M Comprimento. (Pos 44) Ref.: Burndy Cat. Nº Gcwr 19L30 Ou Similar.</v>
          </cell>
          <cell r="E243" t="str">
            <v>un</v>
          </cell>
          <cell r="F243"/>
          <cell r="G243">
            <v>16.079999999999998</v>
          </cell>
          <cell r="H243">
            <v>0</v>
          </cell>
        </row>
        <row r="244">
          <cell r="C244" t="str">
            <v>5.3.36</v>
          </cell>
          <cell r="D244" t="str">
            <v>Manilha De Barro Vidrado, Tipo Ponta E Bolsa De Comprimento Total 600 Mm E 300 Mm, Para Proteção Da Hastes De  Aterramento. (Pos 47)</v>
          </cell>
          <cell r="E244" t="str">
            <v>un</v>
          </cell>
          <cell r="F244"/>
          <cell r="G244">
            <v>197.59</v>
          </cell>
          <cell r="H244">
            <v>0</v>
          </cell>
        </row>
        <row r="245">
          <cell r="C245" t="str">
            <v>5.3.37</v>
          </cell>
          <cell r="D245" t="str">
            <v>Eletroduto Rígido De Aço Galvanizado, Com Costura, Classe Pesada, Rosca Bsp 2", Em Varas De 3 Metros, Com Uma Luva Em Uma Das Extremidades E Um Protetor Para Rosca Na Outra. (Pos 68) Ref.: Apolo Ou Similar.</v>
          </cell>
          <cell r="E245" t="str">
            <v>vara</v>
          </cell>
          <cell r="F245"/>
          <cell r="G245">
            <v>27.58</v>
          </cell>
          <cell r="H245">
            <v>0</v>
          </cell>
        </row>
        <row r="246">
          <cell r="C246" t="str">
            <v>5.3.38</v>
          </cell>
          <cell r="D246" t="str">
            <v>Prateleira Para Cabos Comprimento Por Peça De 3,0 M. (Pos 79) Ref.: Tipo Srs-500-3 Da Sisa Ou Similar.</v>
          </cell>
          <cell r="E246" t="str">
            <v>un</v>
          </cell>
          <cell r="F246"/>
          <cell r="G246">
            <v>76.3</v>
          </cell>
          <cell r="H246">
            <v>0</v>
          </cell>
        </row>
        <row r="247">
          <cell r="C247" t="str">
            <v>5.3.39</v>
          </cell>
          <cell r="D247" t="str">
            <v>Poste Telescópico Curvo, Fornecido Com Base Para Fixação E Furo 25" Mm E Com Comprimento Nominal De 10,00 M. Ref.: Peterco K-98/100 Ou Similar.</v>
          </cell>
          <cell r="E247" t="str">
            <v>un</v>
          </cell>
          <cell r="F247"/>
          <cell r="G247">
            <v>548.94000000000005</v>
          </cell>
          <cell r="H247">
            <v>0</v>
          </cell>
        </row>
        <row r="248">
          <cell r="C248" t="str">
            <v>5.3.40</v>
          </cell>
          <cell r="D248" t="str">
            <v>Aparelho De Iluminação, Pescoço De Alumínio Fundido, Refletor Estampado Em Chapa De Alumínio, Para Lâmpada Mista De 500 W, 220 V. Ref.: Peterco X-21/5 Ou Similar.</v>
          </cell>
          <cell r="E248" t="str">
            <v>un</v>
          </cell>
          <cell r="F248"/>
          <cell r="G248">
            <v>29.36</v>
          </cell>
          <cell r="H248">
            <v>0</v>
          </cell>
        </row>
        <row r="249">
          <cell r="C249" t="str">
            <v>5.3.41</v>
          </cell>
          <cell r="D249" t="str">
            <v>Eletroduto Rígido, Aço Galvanizado Com Costura Classe Pesada, Rosca Bsp, 3/4", Fornecido Em Varas No Comprimento De 3 (Três) M Com Uma Luva Em Uma Das Extremidades E Um Protetor Para Rosca Na Outra. Ref.: Apolo Ou Similar.</v>
          </cell>
          <cell r="E249" t="str">
            <v>un</v>
          </cell>
          <cell r="F249"/>
          <cell r="G249">
            <v>8.91</v>
          </cell>
          <cell r="H249">
            <v>0</v>
          </cell>
        </row>
        <row r="250">
          <cell r="C250" t="str">
            <v>5.3.42</v>
          </cell>
          <cell r="D250" t="str">
            <v>Eletroduto Rígido, Aço Galvanizado Com Costura Classe Pesada, Rosca Bsp, 1", Fornecido Em Varas No Comprimento De 3 (Três) M Com Uma Luva Em Uma Das Extremidades E Um Protetor Para Rosca Na Outra. Ref.: Apolo Ou Similar.</v>
          </cell>
          <cell r="E250" t="str">
            <v>un</v>
          </cell>
          <cell r="F250"/>
          <cell r="G250">
            <v>13.12</v>
          </cell>
          <cell r="H250">
            <v>0</v>
          </cell>
        </row>
        <row r="251">
          <cell r="C251" t="str">
            <v>5.3.43</v>
          </cell>
          <cell r="D251" t="str">
            <v>Relé Fotoelétrico-Magnético, 220 V, Estabilizador Contra As Radiações Ultravioletas, Resistentes Às Intempéries, Choques Térmicos E Mecânicos. Ref.; Tecnowatt Rm-10 Ou Similar.</v>
          </cell>
          <cell r="E251" t="str">
            <v>un</v>
          </cell>
          <cell r="F251"/>
          <cell r="G251">
            <v>18.66</v>
          </cell>
          <cell r="H251">
            <v>0</v>
          </cell>
        </row>
        <row r="252">
          <cell r="C252" t="str">
            <v>5.3.44</v>
          </cell>
          <cell r="D252" t="str">
            <v>Barra Chata De Cobre Eletrolítico, Estanhado De 2" X 1/4" X 23 Cm, Conforme Detalhe "C" Do Desenho Rgu-024-218. Ref.: Burndy Ou Similar.</v>
          </cell>
          <cell r="E252" t="str">
            <v>un</v>
          </cell>
          <cell r="F252"/>
          <cell r="G252">
            <v>50.63</v>
          </cell>
          <cell r="H252">
            <v>0</v>
          </cell>
        </row>
        <row r="253">
          <cell r="C253" t="str">
            <v>5.3.45</v>
          </cell>
          <cell r="D253" t="str">
            <v>Haste De Aterramento, Com Núcleo De Aço Carbono Sae 1045, Revestido De Cobre Eletrolítico De Diâmetro 3/4" E 3,0 M De Comprimento. Ref.; Burndy Cat. Nº Gcwr-19L30 Ou Similar.</v>
          </cell>
          <cell r="E253" t="str">
            <v>un</v>
          </cell>
          <cell r="F253"/>
          <cell r="G253">
            <v>16.079999999999998</v>
          </cell>
          <cell r="H253">
            <v>0</v>
          </cell>
        </row>
        <row r="254">
          <cell r="C254" t="str">
            <v>5.3.46</v>
          </cell>
          <cell r="D254" t="str">
            <v>Manilha De Barro Vidrado, Tipo Ponta E Bolsa, De Comprimento Total 600 Mm E Diâmetro 300 Mm Para Proteção Da Haste De Aterramento. Ref.: Sano Ou Similar.</v>
          </cell>
          <cell r="E254" t="str">
            <v>un</v>
          </cell>
          <cell r="F254"/>
          <cell r="G254">
            <v>1232.44</v>
          </cell>
          <cell r="H254">
            <v>0</v>
          </cell>
        </row>
        <row r="255">
          <cell r="C255" t="str">
            <v>5.3.47</v>
          </cell>
          <cell r="D255" t="str">
            <v>Caixa De Ligação Tipo Condulete, A Prova De Tempo, Gases, Vapores E Pó, Em Liga De Alumínio Fundido Com Tampa Estampada De Alumínio, Fixada Por Parafusos, Com Vedação De Juinta De Borracha, Nos Seguintes Tipos E Diâmetros:</v>
          </cell>
          <cell r="E255"/>
          <cell r="F255"/>
          <cell r="G255">
            <v>0</v>
          </cell>
          <cell r="H255">
            <v>0</v>
          </cell>
        </row>
        <row r="256">
          <cell r="C256" t="str">
            <v>5.3.47.1</v>
          </cell>
          <cell r="D256" t="str">
            <v>Lr - 1.1/2"</v>
          </cell>
          <cell r="E256" t="str">
            <v>un</v>
          </cell>
          <cell r="F256"/>
          <cell r="G256">
            <v>16.149999999999999</v>
          </cell>
          <cell r="H256">
            <v>0</v>
          </cell>
        </row>
        <row r="257">
          <cell r="C257" t="str">
            <v>5.3.47.2</v>
          </cell>
          <cell r="D257" t="str">
            <v>Ll - 1.1/2"</v>
          </cell>
          <cell r="E257" t="str">
            <v>un</v>
          </cell>
          <cell r="F257"/>
          <cell r="G257">
            <v>16.149999999999999</v>
          </cell>
          <cell r="H257">
            <v>0</v>
          </cell>
        </row>
        <row r="258">
          <cell r="C258" t="str">
            <v>5.3.47.3</v>
          </cell>
          <cell r="D258" t="str">
            <v>T - 1.1/2"</v>
          </cell>
          <cell r="E258" t="str">
            <v>un</v>
          </cell>
          <cell r="F258"/>
          <cell r="G258">
            <v>18.36</v>
          </cell>
          <cell r="H258">
            <v>0</v>
          </cell>
        </row>
        <row r="259">
          <cell r="C259" t="str">
            <v>5.3.47.4</v>
          </cell>
          <cell r="D259" t="str">
            <v>X - 1.1/2"</v>
          </cell>
          <cell r="E259" t="str">
            <v>un</v>
          </cell>
          <cell r="F259"/>
          <cell r="G259">
            <v>19.05</v>
          </cell>
          <cell r="H259">
            <v>0</v>
          </cell>
        </row>
        <row r="260">
          <cell r="C260" t="str">
            <v>5.3.47.5</v>
          </cell>
          <cell r="D260" t="str">
            <v>T - 1"</v>
          </cell>
          <cell r="E260" t="str">
            <v>un</v>
          </cell>
          <cell r="F260"/>
          <cell r="G260">
            <v>6.2</v>
          </cell>
          <cell r="H260">
            <v>0</v>
          </cell>
        </row>
        <row r="261">
          <cell r="C261" t="str">
            <v>5.3.47.6</v>
          </cell>
          <cell r="D261" t="str">
            <v>X - 1"</v>
          </cell>
          <cell r="E261" t="str">
            <v>un</v>
          </cell>
          <cell r="F261"/>
          <cell r="G261">
            <v>6.67</v>
          </cell>
          <cell r="H261">
            <v>0</v>
          </cell>
        </row>
        <row r="262">
          <cell r="C262" t="str">
            <v>5.3.47.7</v>
          </cell>
          <cell r="D262" t="str">
            <v>Lr - 3/4"</v>
          </cell>
          <cell r="E262" t="str">
            <v>un</v>
          </cell>
          <cell r="F262"/>
          <cell r="G262">
            <v>3.99</v>
          </cell>
          <cell r="H262">
            <v>0</v>
          </cell>
        </row>
        <row r="263">
          <cell r="C263" t="str">
            <v>5.3.47.8</v>
          </cell>
          <cell r="D263" t="str">
            <v>Ll - 3/4"</v>
          </cell>
          <cell r="E263" t="str">
            <v>un</v>
          </cell>
          <cell r="F263"/>
          <cell r="G263">
            <v>3.99</v>
          </cell>
          <cell r="H263">
            <v>0</v>
          </cell>
        </row>
        <row r="264">
          <cell r="C264" t="str">
            <v>5.3.47.9</v>
          </cell>
          <cell r="D264" t="str">
            <v>T - 3/4"</v>
          </cell>
          <cell r="E264" t="str">
            <v>un</v>
          </cell>
          <cell r="F264"/>
          <cell r="G264">
            <v>6.2</v>
          </cell>
          <cell r="H264">
            <v>0</v>
          </cell>
        </row>
        <row r="265">
          <cell r="C265" t="str">
            <v>5.3.47.10</v>
          </cell>
          <cell r="D265" t="str">
            <v>X - 3/4"</v>
          </cell>
          <cell r="E265" t="str">
            <v>un</v>
          </cell>
          <cell r="F265"/>
          <cell r="G265">
            <v>5.84</v>
          </cell>
          <cell r="H265">
            <v>0</v>
          </cell>
        </row>
        <row r="266">
          <cell r="C266" t="str">
            <v>5.3.48</v>
          </cell>
          <cell r="D266" t="str">
            <v>Tampa Para Equipamento Montada Em Petrolet Tipo R 15 - E 22, Com Os Seguintes Equipamentos.</v>
          </cell>
          <cell r="E266" t="str">
            <v>un</v>
          </cell>
          <cell r="F266"/>
          <cell r="G266">
            <v>12.84</v>
          </cell>
          <cell r="H266">
            <v>0</v>
          </cell>
        </row>
        <row r="267">
          <cell r="C267" t="str">
            <v>5.3.49</v>
          </cell>
          <cell r="D267" t="str">
            <v>1 Interruptor E 1 Tomada 2 Polos 10 A</v>
          </cell>
          <cell r="E267" t="str">
            <v>un</v>
          </cell>
          <cell r="F267"/>
          <cell r="G267">
            <v>6.39</v>
          </cell>
          <cell r="H267">
            <v>0</v>
          </cell>
        </row>
        <row r="268">
          <cell r="C268" t="str">
            <v>5.3.50</v>
          </cell>
          <cell r="D268" t="str">
            <v>1 Tomada 2 Polos 10 A</v>
          </cell>
          <cell r="E268" t="str">
            <v>un</v>
          </cell>
          <cell r="F268"/>
          <cell r="G268">
            <v>5.15</v>
          </cell>
          <cell r="H268">
            <v>0</v>
          </cell>
        </row>
        <row r="269">
          <cell r="C269" t="str">
            <v>5.3.51</v>
          </cell>
          <cell r="D269" t="str">
            <v>Tomada Trifásica, 4 Polos Tipo R -20Tr/430 Montada Em Caixa De Alumínio Fundido, A Prova De Tempo, Da Peterco Ou Similar</v>
          </cell>
          <cell r="E269" t="str">
            <v>un</v>
          </cell>
          <cell r="F269"/>
          <cell r="G269">
            <v>33.24</v>
          </cell>
          <cell r="H269">
            <v>0</v>
          </cell>
        </row>
        <row r="270">
          <cell r="C270" t="str">
            <v>5.3.52</v>
          </cell>
          <cell r="D270" t="str">
            <v>Aparelho Para Iluminação, Corpo Em Chapa De Aço Esmaltado A Fogo Para Duas Lâmpadas Fluorescente De 40 W, 220 V, Com Lâmpadas E Reator Duplo De Partida Rápida, Alto Fator De Potência E Soquetes Antivibratórios.</v>
          </cell>
          <cell r="E270" t="str">
            <v>un</v>
          </cell>
          <cell r="F270"/>
          <cell r="G270">
            <v>3079.59</v>
          </cell>
          <cell r="H270">
            <v>0</v>
          </cell>
        </row>
        <row r="271">
          <cell r="C271" t="str">
            <v>5.3.53</v>
          </cell>
          <cell r="D271" t="str">
            <v>Aparelho Para Iluminação, Corpo Em Chapa De Aço Esmaltado A Fogo Para Duas Lâmpadas Fluorescente De 20 W, 220 V, Com Lâmpadas E Reator Duplo De Partida Rápida, Alto Fator De Potência E Soquetes Antivibratório.</v>
          </cell>
          <cell r="E271" t="str">
            <v>un</v>
          </cell>
          <cell r="F271"/>
          <cell r="G271">
            <v>3079.59</v>
          </cell>
          <cell r="H271">
            <v>0</v>
          </cell>
        </row>
        <row r="272">
          <cell r="C272" t="str">
            <v>5.3.54</v>
          </cell>
          <cell r="D272" t="str">
            <v>Aparelho P/ Iluminação Tipo Projetor, Corpo Refletor Chapa Alumínio, Lente Abaulada Transparente, S/Base E Fixada Em Caixa R-10 P_T22, Com Tampa Especial E Prensa Cabo. Ref.: 2 - 30/3 Da Peterco Ou Similar, Com Lâmpada De 200 W, Incandescente, 220 V.</v>
          </cell>
          <cell r="E272" t="str">
            <v>un</v>
          </cell>
          <cell r="F272"/>
          <cell r="G272">
            <v>2971.81</v>
          </cell>
          <cell r="H272">
            <v>0</v>
          </cell>
        </row>
        <row r="273">
          <cell r="C273" t="str">
            <v>5.3.55</v>
          </cell>
          <cell r="D273" t="str">
            <v>Aparelho Para Iluminação, Tipo Refletor, Estampado Em Chapa De Aço, Soqueteria De Alumínio Fundido, Para Lâmpada Mista 250 W, 220 V Com Entrada 3/4" (Com Lâmpada).</v>
          </cell>
          <cell r="E273" t="str">
            <v>un</v>
          </cell>
          <cell r="F273"/>
          <cell r="G273">
            <v>66.260000000000005</v>
          </cell>
          <cell r="H273">
            <v>0</v>
          </cell>
        </row>
        <row r="274">
          <cell r="C274" t="str">
            <v>5.3.56</v>
          </cell>
          <cell r="D274" t="str">
            <v>Tubo Flexível Sealtite, De Fita De Aço E Revestido Externamente Com Polivinil Cloridrico, Terminais Externos( Machos) Tipo Cp-10B/22, Da Peterco Ou Similar, Com Comprimento De 1,5 M.</v>
          </cell>
          <cell r="E274" t="str">
            <v>un</v>
          </cell>
          <cell r="F274"/>
          <cell r="G274">
            <v>16.260000000000002</v>
          </cell>
          <cell r="H274">
            <v>0</v>
          </cell>
        </row>
        <row r="275">
          <cell r="C275" t="str">
            <v>5.3.57</v>
          </cell>
          <cell r="D275" t="str">
            <v>Cabo  Cobre, Unipolar, C/ Isolamento Termoplástico 600 V, Anti-Chama, 70º Preta, Nas Seguintes Bitolas:</v>
          </cell>
          <cell r="E275"/>
          <cell r="F275"/>
          <cell r="G275">
            <v>0</v>
          </cell>
          <cell r="H275">
            <v>0</v>
          </cell>
        </row>
        <row r="276">
          <cell r="C276" t="str">
            <v>5.3.57.1</v>
          </cell>
          <cell r="D276" t="str">
            <v>16 Mm2</v>
          </cell>
          <cell r="E276" t="str">
            <v>m</v>
          </cell>
          <cell r="F276"/>
          <cell r="G276">
            <v>1.5</v>
          </cell>
          <cell r="H276">
            <v>0</v>
          </cell>
        </row>
        <row r="277">
          <cell r="C277" t="str">
            <v>5.3.57.2</v>
          </cell>
          <cell r="D277" t="str">
            <v>10 Mm2</v>
          </cell>
          <cell r="E277" t="str">
            <v>m</v>
          </cell>
          <cell r="F277"/>
          <cell r="G277">
            <v>1</v>
          </cell>
          <cell r="H277">
            <v>0</v>
          </cell>
        </row>
        <row r="278">
          <cell r="C278" t="str">
            <v>5.3.57.3</v>
          </cell>
          <cell r="D278" t="str">
            <v>6 Mm2</v>
          </cell>
          <cell r="E278" t="str">
            <v>m</v>
          </cell>
          <cell r="F278"/>
          <cell r="G278">
            <v>0.65</v>
          </cell>
          <cell r="H278">
            <v>0</v>
          </cell>
        </row>
        <row r="279">
          <cell r="C279" t="str">
            <v>5.3.57.4</v>
          </cell>
          <cell r="D279" t="str">
            <v>4 Mm2</v>
          </cell>
          <cell r="E279" t="str">
            <v>m</v>
          </cell>
          <cell r="F279"/>
          <cell r="G279">
            <v>0.49</v>
          </cell>
          <cell r="H279">
            <v>0</v>
          </cell>
        </row>
        <row r="280">
          <cell r="C280" t="str">
            <v>5.3.58</v>
          </cell>
          <cell r="D280" t="str">
            <v>Eletroduto Rígido, De Ferro Galvanizado, Pesado, Com Costura, Rosca Na Extremidade (L=3M) Diâmetros</v>
          </cell>
          <cell r="E280"/>
          <cell r="F280"/>
          <cell r="G280">
            <v>0</v>
          </cell>
          <cell r="H280">
            <v>0</v>
          </cell>
        </row>
        <row r="281">
          <cell r="C281" t="str">
            <v>5.3.58.1</v>
          </cell>
          <cell r="D281" t="str">
            <v>1.1/2"</v>
          </cell>
          <cell r="E281" t="str">
            <v>vara</v>
          </cell>
          <cell r="F281"/>
          <cell r="G281">
            <v>24</v>
          </cell>
          <cell r="H281">
            <v>0</v>
          </cell>
        </row>
        <row r="282">
          <cell r="C282" t="str">
            <v>5.3.58.2</v>
          </cell>
          <cell r="D282" t="str">
            <v>1"</v>
          </cell>
          <cell r="E282" t="str">
            <v>vara</v>
          </cell>
          <cell r="F282"/>
          <cell r="G282">
            <v>14.25</v>
          </cell>
          <cell r="H282">
            <v>0</v>
          </cell>
        </row>
        <row r="283">
          <cell r="C283" t="str">
            <v>5.3.58.3</v>
          </cell>
          <cell r="D283" t="str">
            <v>3/4"</v>
          </cell>
          <cell r="E283" t="str">
            <v>vara</v>
          </cell>
          <cell r="F283"/>
          <cell r="G283">
            <v>9.9600000000000009</v>
          </cell>
          <cell r="H283">
            <v>0</v>
          </cell>
        </row>
        <row r="284">
          <cell r="C284" t="str">
            <v>5.3.58.4</v>
          </cell>
          <cell r="D284" t="str">
            <v>1/2"</v>
          </cell>
          <cell r="E284" t="str">
            <v>vara</v>
          </cell>
          <cell r="F284"/>
          <cell r="G284">
            <v>5.45</v>
          </cell>
          <cell r="H284">
            <v>0</v>
          </cell>
        </row>
        <row r="285">
          <cell r="C285" t="str">
            <v>5.3.59</v>
          </cell>
          <cell r="D285" t="str">
            <v>Cabo De Cobre Nú, Meio Duro, Seção 70Mm2, Formação 19 Fios, Conforme Abnt Eb-12. (Pos 48) Ref.: Pirelli Ou Similar</v>
          </cell>
          <cell r="E285" t="str">
            <v>m</v>
          </cell>
          <cell r="F285"/>
          <cell r="G285">
            <v>8.35</v>
          </cell>
          <cell r="H285">
            <v>0</v>
          </cell>
        </row>
        <row r="286">
          <cell r="C286" t="str">
            <v>5.3.60</v>
          </cell>
          <cell r="D286" t="str">
            <v>Cabo De Cobre Nú, Tempera Meio Dura, Bitola 25 Mm2, Formação 7 Fios (Pireli Ou Similar)</v>
          </cell>
          <cell r="E286" t="str">
            <v>m</v>
          </cell>
          <cell r="F286"/>
          <cell r="G286">
            <v>8.35</v>
          </cell>
          <cell r="H286">
            <v>0</v>
          </cell>
        </row>
        <row r="287">
          <cell r="C287" t="str">
            <v>5.3.61</v>
          </cell>
          <cell r="D287" t="str">
            <v>Cabo De Cobre Nú, Têmpera Meio Dura, Bitola 95 Mm2, Formação 7 Fios (Pos 57)</v>
          </cell>
          <cell r="E287" t="str">
            <v>m</v>
          </cell>
          <cell r="F287"/>
          <cell r="G287">
            <v>8.35</v>
          </cell>
          <cell r="H287">
            <v>0</v>
          </cell>
        </row>
        <row r="288">
          <cell r="C288" t="str">
            <v>5.3.62</v>
          </cell>
          <cell r="D288" t="str">
            <v>Cabo Elétrico De Força, 15 Kv, 1 Condutor De Cobre Nú, Têmpera Mole Concêntrico, 95 Mm2 C/ Blindag. Semicondutora, Isolamento De Polietileno Reticulado, Blindagem Com Fita De Cobre,  Capa Pvc Ref.: Voltalene Da Pirelli Ou Similar, Pos 58</v>
          </cell>
          <cell r="E288" t="str">
            <v>m</v>
          </cell>
          <cell r="F288"/>
          <cell r="G288">
            <v>28.08</v>
          </cell>
          <cell r="H288">
            <v>0</v>
          </cell>
        </row>
        <row r="289">
          <cell r="C289" t="str">
            <v>5.3.63</v>
          </cell>
          <cell r="D289" t="str">
            <v>Cabo Elétrico De Força, 15 Kv, 1 Condutor De Cobre Nú, Têmpera Mole Concêntrico, 95 Mm2 C/ Blindag. Semicondutora, Isolamento De Polietileno Reticulado, Blindagem Com Fita De Cobre,  Capa Pvc Ref.: Voltalene Da Pirelli Ou Similar, Pos 59</v>
          </cell>
          <cell r="E289" t="str">
            <v>m</v>
          </cell>
          <cell r="F289"/>
          <cell r="G289">
            <v>37.51</v>
          </cell>
          <cell r="H289">
            <v>0</v>
          </cell>
        </row>
        <row r="290">
          <cell r="C290" t="str">
            <v>5.3.64</v>
          </cell>
          <cell r="D290" t="str">
            <v>Cabo Elétrico De Força, 3,6/6 Kv, 1 Condutor De Cobre Nú, Têmpera Mole, Concêntrico Redondo, Seção Nominal 70 Mm2, Com Blindagem Semincondutora, Isolamento De Polietileno Reticulado, Blindagem Com Fita De Cobre,  Capa Pvc Anti-Chama Preta (Pos 20) Ref.: Voltalene Da Pirelli Ou Similar.</v>
          </cell>
          <cell r="E290" t="str">
            <v>m</v>
          </cell>
          <cell r="F290"/>
          <cell r="G290">
            <v>20.98</v>
          </cell>
          <cell r="H290">
            <v>0</v>
          </cell>
        </row>
        <row r="291">
          <cell r="C291" t="str">
            <v>5.3.65</v>
          </cell>
          <cell r="D291" t="str">
            <v>Cabo Elétrico De Força, 3,6/6 Kv, 1 Condutor De Cobre Nú, Têmpera Mole, Concêntrico Redondo, Seção Nominal 16 Mm2, Com Blindagem Semincondutora, Isolamento De Polietileno Reticulado, Blindagem Com Fita De Cobre,  Capa Pvc Anti-Chama Preta (Pos 61) Ref.: Voltalene Da Pirelli Ou Similar.</v>
          </cell>
          <cell r="E291" t="str">
            <v>m</v>
          </cell>
          <cell r="F291"/>
          <cell r="G291">
            <v>11.36</v>
          </cell>
          <cell r="H291">
            <v>0</v>
          </cell>
        </row>
        <row r="292">
          <cell r="C292" t="str">
            <v>5.3.66</v>
          </cell>
          <cell r="D292" t="str">
            <v>Cabo Elétrico De Força, 0,6/1 Kv, 1 Condutor De Cobre Nú, Têmpera Mole, Concêntrico Redondo, Seção Nominal 50 Mm2, Com Blindagem Semincondutora, Isolamento De Polietileno Reticulado, Blindagem Com Fita De Cobre,  Capa Pvc Anti-Chama Preta (Pos 62) Ref.: Sintenax Da Pirelli Ou Similar.</v>
          </cell>
          <cell r="E292" t="str">
            <v>m</v>
          </cell>
          <cell r="F292"/>
          <cell r="G292">
            <v>4.8099999999999996</v>
          </cell>
          <cell r="H292">
            <v>0</v>
          </cell>
        </row>
        <row r="293">
          <cell r="C293" t="str">
            <v>5.3.67</v>
          </cell>
          <cell r="D293" t="str">
            <v>Cabo Elétrico De Controle, 19 Condutores, Cobre, Têmpera Mole, Seção Nominal, 1,5 Mm2, Formação 7 Fios, Isolamento De Pvc, Capa De Pvc Anti-Chama, Cor Preta, 0,6/1 Kv, Blindado. (Pos 63)  Ref.: Sintenax Da Pirelli Ou Similar</v>
          </cell>
          <cell r="E293" t="str">
            <v>m</v>
          </cell>
          <cell r="F293"/>
          <cell r="G293">
            <v>16.440000000000001</v>
          </cell>
          <cell r="H293">
            <v>0</v>
          </cell>
        </row>
        <row r="294">
          <cell r="C294" t="str">
            <v>5.3.68</v>
          </cell>
          <cell r="D294" t="str">
            <v>Cabo Elétrico De Controle, 7 Condutores, Cobre, Têmpera Mole, Seção Nominal, 4,0 Mm2, Formação 7 Fios, Isolamento De Pvc, Capa De Pvc Anti-Chama, Cor Preta, 0,6/1 Kv, Blindado. (Pos 64)  Ref.: Sintenax Da Pirelli Ou Similar</v>
          </cell>
          <cell r="E294" t="str">
            <v>m</v>
          </cell>
          <cell r="F294"/>
          <cell r="G294">
            <v>9.51</v>
          </cell>
          <cell r="H294">
            <v>0</v>
          </cell>
        </row>
        <row r="295">
          <cell r="C295" t="str">
            <v>5.3.69</v>
          </cell>
          <cell r="D295" t="str">
            <v>Cabo Elétrico De Controle, 4 Condutores, Cobre, Têmpera Mole, Seção Nominal, 4,0 Mm2, Formação 7 Fios, Isolamento De Pvc, Capa De Pvc Anti-Chama, Cor Preta, 0,6/1 Kv, Blindado. (Pos 65)  Ref.: Sintenax Da Pirelli Ou Similar</v>
          </cell>
          <cell r="E295" t="str">
            <v>m</v>
          </cell>
          <cell r="F295"/>
          <cell r="G295">
            <v>2.17</v>
          </cell>
          <cell r="H295">
            <v>0</v>
          </cell>
        </row>
        <row r="296">
          <cell r="C296" t="str">
            <v>5.3.70</v>
          </cell>
          <cell r="D296" t="str">
            <v>Cabo Elétrico De Controle, 4 Condutores, Cobre, Têmpera Mole, Seção Nominal, 1,5 Mm2, Formação 7 Fios, Isolamento De Pvc, Capa De Pvc Anti-Chama, Cor Preta, 0,6/1 Kv, Blindado. (Pos 66)  Ref.: Sintenax Da Pirelli Ou Similar</v>
          </cell>
          <cell r="E296" t="str">
            <v>m</v>
          </cell>
          <cell r="F296"/>
          <cell r="G296">
            <v>0.97</v>
          </cell>
          <cell r="H296">
            <v>0</v>
          </cell>
        </row>
        <row r="297">
          <cell r="C297" t="str">
            <v>5.3.71</v>
          </cell>
          <cell r="D297" t="str">
            <v>Cabo Elétrico De Controle, 3 Condutores, Cobre, Têmpera Mole, Seção Nominal, 1,5 Mm2, Formação 7 Fios, Isolamento De Pvc, Anti-Chama, Cor Preta, 0,6/1 Kv, Blindado. (Pos 67)  Ref.: Sintenax Da Pirelli Ou Similar</v>
          </cell>
          <cell r="E297" t="str">
            <v>m</v>
          </cell>
          <cell r="F297"/>
          <cell r="G297">
            <v>1</v>
          </cell>
          <cell r="H297">
            <v>0</v>
          </cell>
        </row>
        <row r="298">
          <cell r="C298" t="str">
            <v>5.3.72</v>
          </cell>
          <cell r="D298" t="str">
            <v>Eletroduto Rígido De Aço Galvanizado, Com Costura, Classe Pesada, Rosca Bsp 2", Em Varas De 3 Metros, Com Uma Luva Em Uma Das  Extremidades E Um Protetor Para Rosca Na Outra, Apolo Ou Similar</v>
          </cell>
          <cell r="E298" t="str">
            <v>vara</v>
          </cell>
          <cell r="F298"/>
          <cell r="G298">
            <v>5.35</v>
          </cell>
          <cell r="H298">
            <v>0</v>
          </cell>
        </row>
        <row r="299">
          <cell r="C299" t="str">
            <v>5.3.73</v>
          </cell>
          <cell r="D299" t="str">
            <v>Cabo De Cobre Nú Meio Duro, Seção 16 Mm2, Formação 7 Fios, 'Conforme Norma Da Abnt Eb-12., Pirelli Ou Similar</v>
          </cell>
          <cell r="E299" t="str">
            <v>m</v>
          </cell>
          <cell r="F299"/>
          <cell r="G299">
            <v>10.06</v>
          </cell>
          <cell r="H299">
            <v>0</v>
          </cell>
        </row>
        <row r="300">
          <cell r="C300" t="str">
            <v>5.3.74</v>
          </cell>
          <cell r="D300" t="str">
            <v>Cabo De Cobre Nú Meio Duro, Seção 10 Mm2, Formação 7 Fios, Conforme Norma Da Abnt Eb-12., Pirelli Ou Similar</v>
          </cell>
          <cell r="E300" t="str">
            <v>m</v>
          </cell>
          <cell r="F300"/>
          <cell r="G300">
            <v>8.35</v>
          </cell>
          <cell r="H300">
            <v>0</v>
          </cell>
        </row>
        <row r="301">
          <cell r="C301" t="str">
            <v>5.3.75</v>
          </cell>
          <cell r="D301" t="str">
            <v>Cabo De Cobre Nú Meio Duro, Seção 4 Mm2, Formação 7 Fios,  Conforme Norma Da Abnt Eb-12., Pirelli Ou Similar</v>
          </cell>
          <cell r="E301" t="str">
            <v>m</v>
          </cell>
          <cell r="F301"/>
          <cell r="G301">
            <v>10.06</v>
          </cell>
          <cell r="H301">
            <v>0</v>
          </cell>
        </row>
        <row r="302">
          <cell r="C302" t="str">
            <v>5.3.76</v>
          </cell>
          <cell r="D302" t="str">
            <v>Cabo De Cobre Nú Meio Duro, Seção 6 Mm2, Formação 7 Fios,  Conforme Norma Da Abnt Eb-12., Pirelli Ou Similar</v>
          </cell>
          <cell r="E302" t="str">
            <v>m</v>
          </cell>
          <cell r="F302"/>
          <cell r="G302">
            <v>10.06</v>
          </cell>
          <cell r="H302">
            <v>0</v>
          </cell>
        </row>
        <row r="303">
          <cell r="C303" t="str">
            <v>5.3.77</v>
          </cell>
          <cell r="D303" t="str">
            <v>Cabo  De Cobre, Unipolar, Com Isolamento Termoplástico Para 600 V, Anti-Chama, 70º Na Cor Preta, Nas Seguintes Bitolas:</v>
          </cell>
          <cell r="E303"/>
          <cell r="F303"/>
          <cell r="G303">
            <v>0</v>
          </cell>
          <cell r="H303">
            <v>0</v>
          </cell>
        </row>
        <row r="304">
          <cell r="C304" t="str">
            <v>5.3.77.1</v>
          </cell>
          <cell r="D304" t="str">
            <v>16 Mm2</v>
          </cell>
          <cell r="E304" t="str">
            <v>m</v>
          </cell>
          <cell r="F304"/>
          <cell r="G304">
            <v>1.43</v>
          </cell>
          <cell r="H304">
            <v>0</v>
          </cell>
        </row>
        <row r="305">
          <cell r="C305" t="str">
            <v>5.3.77.2</v>
          </cell>
          <cell r="D305" t="str">
            <v>10 Mm2</v>
          </cell>
          <cell r="E305" t="str">
            <v>m</v>
          </cell>
          <cell r="F305"/>
          <cell r="G305">
            <v>0.91</v>
          </cell>
          <cell r="H305">
            <v>0</v>
          </cell>
        </row>
        <row r="306">
          <cell r="C306" t="str">
            <v>5.3.77.3</v>
          </cell>
          <cell r="D306" t="str">
            <v>6 Mm2</v>
          </cell>
          <cell r="E306" t="str">
            <v>m</v>
          </cell>
          <cell r="F306"/>
          <cell r="G306">
            <v>0.56000000000000005</v>
          </cell>
          <cell r="H306">
            <v>0</v>
          </cell>
        </row>
        <row r="307">
          <cell r="C307" t="str">
            <v>5.3.77.4</v>
          </cell>
          <cell r="D307" t="str">
            <v>4 Mm2</v>
          </cell>
          <cell r="E307" t="str">
            <v>m</v>
          </cell>
          <cell r="F307"/>
          <cell r="G307">
            <v>0.38</v>
          </cell>
          <cell r="H307">
            <v>0</v>
          </cell>
        </row>
        <row r="308">
          <cell r="C308" t="str">
            <v>5.3.78</v>
          </cell>
          <cell r="D308" t="str">
            <v>Grupo Gerador Diesel De Emergência 50 Kva, 380/220 V, 60Hz, Partida Normal, Completo Com Baterias E Acessórios</v>
          </cell>
          <cell r="E308" t="str">
            <v>un</v>
          </cell>
          <cell r="F308"/>
          <cell r="G308">
            <v>1324.51</v>
          </cell>
          <cell r="H308">
            <v>0</v>
          </cell>
        </row>
        <row r="309">
          <cell r="C309" t="str">
            <v>5.3.79</v>
          </cell>
          <cell r="D309" t="str">
            <v>Ligação Bombas - Barrilete</v>
          </cell>
          <cell r="E309" t="str">
            <v>cj</v>
          </cell>
          <cell r="F309"/>
          <cell r="G309">
            <v>227961.78</v>
          </cell>
          <cell r="H309">
            <v>0</v>
          </cell>
        </row>
        <row r="310">
          <cell r="C310" t="str">
            <v>5.3.80</v>
          </cell>
          <cell r="D310" t="str">
            <v>Montagem - Curva 26,52º Com Extremidade Biseladas Para Soldagem, Aço Carbono, Dn=1500 Mm, Esp. = 3/8" - L = 3,32 M, Incluindo Controle De Qualidade.</v>
          </cell>
          <cell r="E310" t="str">
            <v>un</v>
          </cell>
          <cell r="F310"/>
          <cell r="G310">
            <v>1239.3800000000001</v>
          </cell>
          <cell r="H310">
            <v>0</v>
          </cell>
        </row>
        <row r="311">
          <cell r="C311" t="str">
            <v>5.3.81</v>
          </cell>
          <cell r="D311" t="str">
            <v>Montagem De Cabo De Cobre Nú, Tempera Meio Dura, Seção De 70Mm2</v>
          </cell>
          <cell r="E311" t="str">
            <v>m</v>
          </cell>
          <cell r="F311"/>
          <cell r="G311">
            <v>7.69</v>
          </cell>
          <cell r="H311">
            <v>0</v>
          </cell>
        </row>
        <row r="312">
          <cell r="C312" t="str">
            <v>5.3.82</v>
          </cell>
          <cell r="D312" t="str">
            <v>Montagem De Cabo De Cobre Nú,Tempera Meio Dura, Seção De 35Mm2</v>
          </cell>
          <cell r="E312" t="str">
            <v>m</v>
          </cell>
          <cell r="F312"/>
          <cell r="G312">
            <v>3.85</v>
          </cell>
          <cell r="H312">
            <v>0</v>
          </cell>
        </row>
        <row r="313">
          <cell r="C313" t="str">
            <v>5.3.86</v>
          </cell>
          <cell r="D313" t="str">
            <v>Terminal Aereo Em Aço Galvanizado Com Base De Fixaçao H - 30Cm</v>
          </cell>
          <cell r="E313" t="str">
            <v>un</v>
          </cell>
          <cell r="F313"/>
          <cell r="G313">
            <v>3.5</v>
          </cell>
          <cell r="H313">
            <v>0</v>
          </cell>
        </row>
        <row r="314">
          <cell r="C314" t="str">
            <v>5.3.87</v>
          </cell>
          <cell r="D314" t="str">
            <v>Terminal A Compressao Em Cobre Estanhado P/ Cabo 35Mm2</v>
          </cell>
          <cell r="E314" t="str">
            <v>un</v>
          </cell>
          <cell r="F314"/>
          <cell r="G314">
            <v>0.56000000000000005</v>
          </cell>
          <cell r="H314">
            <v>0</v>
          </cell>
        </row>
        <row r="315">
          <cell r="C315" t="str">
            <v>5.3.88</v>
          </cell>
          <cell r="D315" t="str">
            <v>Terminal Ou Conector De Pressão Para Cabo De 35Mm2</v>
          </cell>
          <cell r="E315" t="str">
            <v>un</v>
          </cell>
          <cell r="F315"/>
          <cell r="G315">
            <v>0.56000000000000005</v>
          </cell>
          <cell r="H315">
            <v>0</v>
          </cell>
        </row>
        <row r="316">
          <cell r="C316" t="str">
            <v>5.3.89</v>
          </cell>
          <cell r="D316" t="str">
            <v>Caixa De Equalização De Terra Embutir Com 9 Terminais</v>
          </cell>
          <cell r="E316" t="str">
            <v>un</v>
          </cell>
          <cell r="F316"/>
          <cell r="G316">
            <v>10.49</v>
          </cell>
          <cell r="H316">
            <v>0</v>
          </cell>
        </row>
        <row r="317">
          <cell r="C317" t="str">
            <v>5.3.90</v>
          </cell>
          <cell r="D317" t="str">
            <v>Transformador De Serviços Auxiliares. 112,5Kva. 4160/380/220 V. À Seco.</v>
          </cell>
          <cell r="E317" t="str">
            <v>un</v>
          </cell>
          <cell r="F317"/>
          <cell r="G317">
            <v>1578.49</v>
          </cell>
          <cell r="H317">
            <v>0</v>
          </cell>
        </row>
        <row r="318">
          <cell r="C318" t="str">
            <v>5.3.91</v>
          </cell>
          <cell r="D318" t="str">
            <v>Serviços Auxiliares Em Corrente Contínua</v>
          </cell>
          <cell r="E318" t="str">
            <v>un</v>
          </cell>
          <cell r="F318"/>
          <cell r="G318">
            <v>961.78</v>
          </cell>
          <cell r="H318">
            <v>0</v>
          </cell>
        </row>
        <row r="319">
          <cell r="C319" t="str">
            <v>5.3.92</v>
          </cell>
          <cell r="D319" t="str">
            <v>Painél De Serviços Auxiliares Em Corrente Alternada</v>
          </cell>
          <cell r="E319" t="str">
            <v>un</v>
          </cell>
          <cell r="F319"/>
          <cell r="G319">
            <v>961.78</v>
          </cell>
          <cell r="H319">
            <v>0</v>
          </cell>
        </row>
        <row r="320">
          <cell r="C320" t="str">
            <v>5.3.93</v>
          </cell>
          <cell r="D320" t="str">
            <v>Quadro De Seccionamento Alimentação Para Serviços Auxiliares ( 4,16Kv )</v>
          </cell>
          <cell r="E320" t="str">
            <v>un</v>
          </cell>
          <cell r="F320"/>
          <cell r="G320">
            <v>3134.36</v>
          </cell>
          <cell r="H320">
            <v>0</v>
          </cell>
        </row>
        <row r="321">
          <cell r="C321" t="str">
            <v>5.3.94</v>
          </cell>
          <cell r="D321" t="str">
            <v>Quadro De Serviços Auxiliares</v>
          </cell>
          <cell r="E321" t="str">
            <v>un</v>
          </cell>
          <cell r="F321"/>
          <cell r="G321">
            <v>3134.36</v>
          </cell>
          <cell r="H321">
            <v>0</v>
          </cell>
        </row>
        <row r="322">
          <cell r="C322" t="str">
            <v>5.3.95</v>
          </cell>
          <cell r="D322" t="str">
            <v>Quadro De Transferência ( Gerador X Transformador De Serviços Auxiliares )</v>
          </cell>
          <cell r="E322" t="str">
            <v>un</v>
          </cell>
          <cell r="F322"/>
          <cell r="G322">
            <v>3134.36</v>
          </cell>
          <cell r="H322">
            <v>0</v>
          </cell>
        </row>
        <row r="323">
          <cell r="C323" t="str">
            <v>5.3.96</v>
          </cell>
          <cell r="D323" t="str">
            <v>Centro De Comando De Motores De Média Tensão, Para Operação De 08 Motores De 1000 Cv / 4,16Kv.</v>
          </cell>
          <cell r="E323" t="str">
            <v>un</v>
          </cell>
          <cell r="F323"/>
          <cell r="G323">
            <v>12164.77</v>
          </cell>
          <cell r="H323">
            <v>0</v>
          </cell>
        </row>
        <row r="324">
          <cell r="C324" t="str">
            <v>5.3.97</v>
          </cell>
          <cell r="D324" t="str">
            <v>Painél De Comando De Válvulas</v>
          </cell>
          <cell r="E324" t="str">
            <v>un</v>
          </cell>
          <cell r="F324"/>
          <cell r="G324">
            <v>3134.36</v>
          </cell>
          <cell r="H324">
            <v>0</v>
          </cell>
        </row>
        <row r="325">
          <cell r="C325" t="str">
            <v>5.3.98</v>
          </cell>
          <cell r="D325" t="str">
            <v>Carregador / Retificador De Baterias Equipado Com Duas Unidades Retificadoras Trifásicas 380 V, 60Hz, Corrente De Saída De 25 A, Tensão De Saída 125 Vcc, Com Comando Automático, Com Os Seguintes Acessórios: Estrutura Autoportante Para Instalação Sobre Canaleta, Entrada E Saída De Cabos Pela Parte Inferior; Conector De Aterramento Em Liga De Cobre Para Cabo De Cobre 70 A 95 Mm²; Relé De Subtensão  E Sobretensão (27,59); Voltímetro.</v>
          </cell>
          <cell r="E325" t="str">
            <v>un</v>
          </cell>
          <cell r="F325"/>
          <cell r="G325">
            <v>1930.31</v>
          </cell>
          <cell r="H325">
            <v>0</v>
          </cell>
        </row>
        <row r="326">
          <cell r="C326" t="str">
            <v>5.3.99</v>
          </cell>
          <cell r="D326" t="str">
            <v>Bateria  De Acumuladores Estacionária, Tipo Chumbo-Ácida, Ciclo De Emergência 10Horas Com Ausência Total De Corrente Alternada, Tensão Nominal Do Sistema 125 Vcc, Capacidade 100 Ah, Composta De 60 Elementos, Tensão Final Miníma De 1,75 V/Elemento, Com Os Seguintes Acessórios: Estante Métalica Com Acabamento Em Epóxi Eletrostático, Para Montagen Dos Elementos Em Desnível (Referência 2N4F); Recepientes Plásticos; Caixa Blindada Com 2 Saídas Para Eletrodutos 1.1/2" Na Face Inferior, Completa Com Fusíveis Nh, Adequadamente Dimensionados.</v>
          </cell>
          <cell r="E326" t="str">
            <v>un</v>
          </cell>
          <cell r="F326"/>
          <cell r="G326">
            <v>4639.43</v>
          </cell>
          <cell r="H326">
            <v>0</v>
          </cell>
        </row>
        <row r="327">
          <cell r="C327" t="str">
            <v>5.3.100</v>
          </cell>
          <cell r="D327" t="str">
            <v>Ebp-Elétrica</v>
          </cell>
          <cell r="E327"/>
          <cell r="F327"/>
          <cell r="G327">
            <v>0</v>
          </cell>
          <cell r="H327">
            <v>0</v>
          </cell>
        </row>
        <row r="328">
          <cell r="C328" t="str">
            <v>5.3.100.1</v>
          </cell>
          <cell r="D328" t="str">
            <v>Entrada De Energia</v>
          </cell>
          <cell r="E328"/>
          <cell r="F328"/>
          <cell r="G328">
            <v>0</v>
          </cell>
          <cell r="H328">
            <v>0</v>
          </cell>
        </row>
        <row r="329">
          <cell r="C329" t="str">
            <v>5.3.100.1.1</v>
          </cell>
          <cell r="D329" t="str">
            <v>Dutos Flexíveis Em Pead (Polietileno De Alta Densidade) - D=6", Inclusive Conexões</v>
          </cell>
          <cell r="E329" t="str">
            <v>m</v>
          </cell>
          <cell r="F329"/>
          <cell r="G329">
            <v>10.49</v>
          </cell>
          <cell r="H329">
            <v>0</v>
          </cell>
        </row>
        <row r="330">
          <cell r="C330" t="str">
            <v>5.3.100.1.2</v>
          </cell>
          <cell r="D330" t="str">
            <v>Dutos Flexíveis Em Pead (Polietileno De Alta Densidade) - D=4", Inclusive Conexões</v>
          </cell>
          <cell r="E330" t="str">
            <v>m</v>
          </cell>
          <cell r="F330"/>
          <cell r="G330">
            <v>8.74</v>
          </cell>
          <cell r="H330">
            <v>0</v>
          </cell>
        </row>
        <row r="331">
          <cell r="C331" t="str">
            <v>5.3.100.1.3</v>
          </cell>
          <cell r="D331" t="str">
            <v>Dutos Flexíveis Em Pead (Polietileno De Alta Densidade) - D=2", Inclusive Conexões</v>
          </cell>
          <cell r="E331" t="str">
            <v>m</v>
          </cell>
          <cell r="F331"/>
          <cell r="G331">
            <v>5.24</v>
          </cell>
          <cell r="H331">
            <v>0</v>
          </cell>
        </row>
        <row r="332">
          <cell r="C332" t="str">
            <v>5.3.100.2</v>
          </cell>
          <cell r="D332" t="str">
            <v>Cabos</v>
          </cell>
          <cell r="E332"/>
          <cell r="F332"/>
          <cell r="G332">
            <v>0</v>
          </cell>
          <cell r="H332">
            <v>0</v>
          </cell>
        </row>
        <row r="333">
          <cell r="C333" t="str">
            <v>5.3.100.2.1</v>
          </cell>
          <cell r="D333" t="str">
            <v>Cabo Elétrico Unipolar,Isolado, De Cobre, Especificação Padrão Abnt Nbr-6880, Com Blindagem Semicondutora, Isolação Epr, Abnt Nbr-7286, Com Blindagem Semicondutora, Cobertura Pvc, Temperatura De Operação 105°C, Tensão De Isolação De 6/10Kv.  Seção : 185Mm²</v>
          </cell>
          <cell r="E333" t="str">
            <v>m</v>
          </cell>
          <cell r="F333"/>
          <cell r="G333">
            <v>10.53</v>
          </cell>
          <cell r="H333">
            <v>0</v>
          </cell>
        </row>
        <row r="334">
          <cell r="C334" t="str">
            <v>5.3.100.2.2</v>
          </cell>
          <cell r="D334" t="str">
            <v xml:space="preserve">Cabo Elétrico Unipolar,Isolado, De Cobre, Especificação Padrão Abnt Nbr-6880, Com Blindagem Semicondutora, Isolação Epr, Abnt Nbr-7286, Com Blindagem Semicondutora, Cobertura Pvc Na Cor Verde, Temperatura De Operação 105°C, Tensão De Isolação De 6/10Kv.  Seção : 95Mm² </v>
          </cell>
          <cell r="E334" t="str">
            <v>m</v>
          </cell>
          <cell r="F334"/>
          <cell r="G334">
            <v>7.79</v>
          </cell>
          <cell r="H334">
            <v>0</v>
          </cell>
        </row>
        <row r="335">
          <cell r="C335" t="str">
            <v>5.3.100.2.3</v>
          </cell>
          <cell r="D335" t="str">
            <v>Mufla Terminal Primaria Unipolar Uso Interno Para Cabo 240Mm2, Isolacao 6/10Kv Em Epr - Borracha De Silicone..</v>
          </cell>
          <cell r="E335" t="str">
            <v>un</v>
          </cell>
          <cell r="F335"/>
          <cell r="G335">
            <v>92.41</v>
          </cell>
          <cell r="H335">
            <v>0</v>
          </cell>
        </row>
        <row r="336">
          <cell r="C336" t="str">
            <v>5.3.100.2.4</v>
          </cell>
          <cell r="D336" t="str">
            <v>Mufla Terminal Primaria Unipolar Uso Externo, Termocontratil, Para Cabo 240Mm2 Isol. 6/10Kv Em Epr - Borracha De Silicone</v>
          </cell>
          <cell r="E336" t="str">
            <v>un</v>
          </cell>
          <cell r="F336"/>
          <cell r="G336">
            <v>92.41</v>
          </cell>
          <cell r="H336">
            <v>0</v>
          </cell>
        </row>
        <row r="337">
          <cell r="C337" t="str">
            <v>5.3.100.2.5</v>
          </cell>
          <cell r="D337" t="str">
            <v>Mufla Terminal Primaria Unipolar Uso Externo, Termocontratil, Para Cabo 185Mm2 Isol. 6/10Kv Em Epr - Borracha De Silicone</v>
          </cell>
          <cell r="E337" t="str">
            <v>un</v>
          </cell>
          <cell r="F337"/>
          <cell r="G337">
            <v>92.41</v>
          </cell>
          <cell r="H337">
            <v>0</v>
          </cell>
        </row>
        <row r="338">
          <cell r="C338" t="str">
            <v>5.3.100.2.6</v>
          </cell>
          <cell r="D338" t="str">
            <v>Mufla Terminal Primaria Unipolar Uso Externo, Termocontratil, Para Cabo 95Mm2 Isol. 6/10Kv Em Epr - Borracha De Silicone</v>
          </cell>
          <cell r="E338" t="str">
            <v>un</v>
          </cell>
          <cell r="F338"/>
          <cell r="G338">
            <v>90.74</v>
          </cell>
          <cell r="H338">
            <v>0</v>
          </cell>
        </row>
        <row r="339">
          <cell r="C339" t="str">
            <v>5.3.100.2.7</v>
          </cell>
          <cell r="D339" t="str">
            <v>Mufla Terminal Primaria Unipolar Uso Externo, Termocontratil, Para Cabo 25Mm2 Isol. 6/10Kv Em Epr - Borracha De Silicone</v>
          </cell>
          <cell r="E339" t="str">
            <v>un</v>
          </cell>
          <cell r="F339"/>
          <cell r="G339">
            <v>74.06</v>
          </cell>
          <cell r="H339">
            <v>0</v>
          </cell>
        </row>
        <row r="340">
          <cell r="C340" t="str">
            <v>5.3.100.3</v>
          </cell>
          <cell r="D340" t="str">
            <v>Proteção Secundária De Média Tensão - Interligação Ao Aterramento</v>
          </cell>
          <cell r="E340"/>
          <cell r="F340"/>
          <cell r="G340">
            <v>0</v>
          </cell>
          <cell r="H340">
            <v>0</v>
          </cell>
        </row>
        <row r="341">
          <cell r="C341" t="str">
            <v>5.3.100.3.1</v>
          </cell>
          <cell r="D341" t="str">
            <v>Cabo De Cobre Nú Tempera Meio Dura  #25Mm² - 7 Fios X Ø1,7Mm - Nbr 6524 - Referência: Termotécnica Ou Equivalente</v>
          </cell>
          <cell r="E341" t="str">
            <v>m</v>
          </cell>
          <cell r="F341"/>
          <cell r="G341">
            <v>1.58</v>
          </cell>
          <cell r="H341">
            <v>0</v>
          </cell>
        </row>
        <row r="342">
          <cell r="C342" t="str">
            <v>5.3.100.3.2</v>
          </cell>
          <cell r="D342" t="str">
            <v>Terminal A Compressao Em Cobre Estanhado P/ Cabo 25Mm2</v>
          </cell>
          <cell r="E342" t="str">
            <v>un</v>
          </cell>
          <cell r="F342"/>
          <cell r="G342">
            <v>0.56000000000000005</v>
          </cell>
          <cell r="H342">
            <v>0</v>
          </cell>
        </row>
        <row r="343">
          <cell r="C343" t="str">
            <v>5.3.100.4</v>
          </cell>
          <cell r="D343" t="str">
            <v>Cabos De Interligação</v>
          </cell>
          <cell r="E343"/>
          <cell r="F343"/>
          <cell r="G343">
            <v>0</v>
          </cell>
          <cell r="H343">
            <v>0</v>
          </cell>
        </row>
        <row r="344">
          <cell r="C344" t="str">
            <v>5.3.100.4.1</v>
          </cell>
          <cell r="D344" t="str">
            <v>Montagem De Cabo Elétrico Unipolar,Isolado, De Cobre, Especificação Padrão Abnt Nbr-6880, Com Blindagem Semicondutora, Isolação Epr, Abnt Nbr-7286, Com Blindagem Semicondutora, Cobertura Pvc, Temperatura De Operação 105°C, Tensão De Isolação De 6/10Kv.  Seção : 185Mm²</v>
          </cell>
          <cell r="E344" t="str">
            <v>m</v>
          </cell>
          <cell r="F344"/>
          <cell r="G344">
            <v>18.28</v>
          </cell>
          <cell r="H344">
            <v>0</v>
          </cell>
        </row>
        <row r="345">
          <cell r="C345" t="str">
            <v>5.3.100.4.2</v>
          </cell>
          <cell r="D345" t="str">
            <v>Montagem De Cabo Elétrico Unipolar,Isolado, De Cobre, Especificação Padrão Abnt Nbr-6880, Com Blindagem Semicondutora, Isolação Epr, Abnt Nbr-7286, Com Blindagem Semicondutora, Cobertura Pvc Na Cor Preto, Temperatura De Operação 105°C, Tensão De Isolação De 6/10Kv.  Seção : 95Mm²</v>
          </cell>
          <cell r="E345" t="str">
            <v>m</v>
          </cell>
          <cell r="F345"/>
          <cell r="G345">
            <v>15.47</v>
          </cell>
          <cell r="H345">
            <v>0</v>
          </cell>
        </row>
        <row r="346">
          <cell r="C346" t="str">
            <v>5.3.100.4.3</v>
          </cell>
          <cell r="D346" t="str">
            <v>Montagem De Cabo Elétrico Unipolar,Isolado, De Cobre, Especificação Padrão Abnt Nbr-6880, Com Blindagem Semicondutora, Isolação Epr, Abnt Nbr-7286, Com Blindagem Semicondutora, Cobertura Pvc, Temperatura De Operação 105°C, Tensão De Isolação De 6/10Kv.  Seção : 25Mm²</v>
          </cell>
          <cell r="E346" t="str">
            <v>m</v>
          </cell>
          <cell r="F346"/>
          <cell r="G346">
            <v>10.199999999999999</v>
          </cell>
          <cell r="H346">
            <v>0</v>
          </cell>
        </row>
        <row r="347">
          <cell r="C347" t="str">
            <v>5.3.100.4.4</v>
          </cell>
          <cell r="D347" t="str">
            <v>Montagem De Cabo Elétrico De Força, 0,6/1 Kv, 1 Condutor De Cobre Nú, Têmpera Mole, Concêntrico Redondo, Seção Nominal 240 Mm2, Com Blindagem Semincondutora, Isolamento De Polietileno Reticulado, Blindagem Com Fita De Cobre,  Capa Pvc Anti-Chama Preta. Ref.: Sintenax Da Pirelli Ou Similar.</v>
          </cell>
          <cell r="E347" t="str">
            <v>m</v>
          </cell>
          <cell r="F347"/>
          <cell r="G347">
            <v>4.83</v>
          </cell>
          <cell r="H347">
            <v>0</v>
          </cell>
        </row>
        <row r="348">
          <cell r="C348" t="str">
            <v>5.3.100.4.5</v>
          </cell>
          <cell r="D348" t="str">
            <v>Montagem De Cabo Elétrico De Força, 0,6/1 Kv, 1 Condutor De Cobre Nú, Têmpera Mole, Concêntrico Redondo, Seção Nominal 120 Mm2, Com Blindagem Semincondutora, Isolamento De Polietileno Reticulado, Blindagem Com Fita De Cobre,  Capa Pvc Anti-Chama Preta. Ref.: Sintenax Da Pirelli Ou Similar.</v>
          </cell>
          <cell r="E348" t="str">
            <v>m</v>
          </cell>
          <cell r="F348"/>
          <cell r="G348">
            <v>2.95</v>
          </cell>
          <cell r="H348">
            <v>0</v>
          </cell>
        </row>
        <row r="349">
          <cell r="C349" t="str">
            <v>5.3.100.4.6</v>
          </cell>
          <cell r="D349" t="str">
            <v>Montagem De Cabo Elétrico De Força, 0,6/1 Kv, 1 Condutor De Cobre Nú, Têmpera Mole, Concêntrico Redondo, Seção Nominal 95 Mm2, Com Blindagem Semincondutora, Isolamento De Polietileno Reticulado, Blindagem Com Fita De Cobre,  Capa Pvc Anti-Chama Preta. Ref.: Sintenax Da Pirelli Ou Similar.</v>
          </cell>
          <cell r="E349" t="str">
            <v>m</v>
          </cell>
          <cell r="F349"/>
          <cell r="G349">
            <v>2.59</v>
          </cell>
          <cell r="H349">
            <v>0</v>
          </cell>
        </row>
        <row r="350">
          <cell r="C350" t="str">
            <v>5.3.100.4.7</v>
          </cell>
          <cell r="D350" t="str">
            <v>Montagem De Cabo Elétrico De Força, 0,6/1 Kv, 1 Condutor De Cobre Nú, Têmpera Mole, Concêntrico Redondo, Seção Nominal 50 Mm2, Com Blindagem Semincondutora, Isolamento De Polietileno Reticulado, Blindagem Com Fita De Cobre,  Capa Pvc Anti-Chama Preta. Ref.: Sintenax Da Pirelli Ou Similar.</v>
          </cell>
          <cell r="E350" t="str">
            <v>m</v>
          </cell>
          <cell r="F350"/>
          <cell r="G350">
            <v>2.17</v>
          </cell>
          <cell r="H350">
            <v>0</v>
          </cell>
        </row>
        <row r="351">
          <cell r="C351" t="str">
            <v>5.3.100.4.8</v>
          </cell>
          <cell r="D351" t="str">
            <v>Montagem De Cabo Elétrico De Força, 0,6/1 Kv, 1 Condutor De Cobre Nú, Têmpera Mole, Concêntrico Redondo, Seção Nominal 35 Mm2, Com Blindagem Semincondutora, Isolamento De Polietileno Reticulado, Blindagem Com Fita De Cobre,  Capa Pvc Anti-Chama Preta. Ref.: Sintenax Da Pirelli Ou Similar.</v>
          </cell>
          <cell r="E351" t="str">
            <v>m</v>
          </cell>
          <cell r="F351"/>
          <cell r="G351">
            <v>1.81</v>
          </cell>
          <cell r="H351">
            <v>0</v>
          </cell>
        </row>
        <row r="352">
          <cell r="C352" t="str">
            <v>5.3.100.4.9</v>
          </cell>
          <cell r="D352" t="str">
            <v>Montagem De Cabo Elétrico De Força, 0,6/1 Kv, 1 Condutor De Cobre Nú, Têmpera Mole, Concêntrico Redondo, Seção Nominal 25 Mm2, Com Blindagem Semincondutora, Isolamento De Polietileno Reticulado, Blindagem Com Fita De Cobre,  Capa Pvc Anti-Chama Preta. Ref.: Sintenax Da Pirelli Ou Similar.</v>
          </cell>
          <cell r="E352" t="str">
            <v>m</v>
          </cell>
          <cell r="F352"/>
          <cell r="G352">
            <v>1.58</v>
          </cell>
          <cell r="H352">
            <v>0</v>
          </cell>
        </row>
        <row r="353">
          <cell r="C353" t="str">
            <v>5.3.100.4.10</v>
          </cell>
          <cell r="D353" t="str">
            <v>Montagem De Cabo De Controle, Condutores De Cobre Estanhados, Tentos Coloridos, Com Blindagem, Isolamento Epr, 750V, Seção 4 X 1,5 Mm²</v>
          </cell>
          <cell r="E353" t="str">
            <v>m</v>
          </cell>
          <cell r="F353"/>
          <cell r="G353">
            <v>1.0900000000000001</v>
          </cell>
          <cell r="H353">
            <v>0</v>
          </cell>
        </row>
        <row r="354">
          <cell r="C354" t="str">
            <v>5.3.100.4.11</v>
          </cell>
          <cell r="D354" t="str">
            <v>Cabo De Cobre Isolado XLPE 20/35 KV #35 Mm²</v>
          </cell>
          <cell r="E354" t="str">
            <v>m</v>
          </cell>
          <cell r="F354"/>
          <cell r="G354">
            <v>12.64</v>
          </cell>
          <cell r="H354">
            <v>0</v>
          </cell>
        </row>
        <row r="355">
          <cell r="C355" t="str">
            <v>5.3.100.4.12</v>
          </cell>
          <cell r="D355" t="str">
            <v>Cabo De Cobre Isolado XLPE 20/35 KV #70 Mm²</v>
          </cell>
          <cell r="E355" t="str">
            <v>m</v>
          </cell>
          <cell r="F355"/>
          <cell r="G355">
            <v>14.13</v>
          </cell>
          <cell r="H355">
            <v>0</v>
          </cell>
        </row>
        <row r="356">
          <cell r="C356" t="str">
            <v>5.3.100.5</v>
          </cell>
          <cell r="D356" t="str">
            <v>Interligação Ao Aterramento</v>
          </cell>
          <cell r="E356"/>
          <cell r="F356"/>
          <cell r="G356">
            <v>0</v>
          </cell>
          <cell r="H356">
            <v>0</v>
          </cell>
        </row>
        <row r="357">
          <cell r="C357" t="str">
            <v>5.3.100.5.1</v>
          </cell>
          <cell r="D357" t="str">
            <v>Cabo De Cobre Nú Tempera Meio Dura  #25Mm² - 7 Fios X Ø1,7Mm - Nbr 6524 - Referência: Termotécnica Ou Equivalente</v>
          </cell>
          <cell r="E357" t="str">
            <v>m</v>
          </cell>
          <cell r="F357"/>
          <cell r="G357">
            <v>1.58</v>
          </cell>
          <cell r="H357">
            <v>0</v>
          </cell>
        </row>
        <row r="358">
          <cell r="C358" t="str">
            <v>5.3.100.5.2</v>
          </cell>
          <cell r="D358" t="str">
            <v>Terminal A Compressao Em Cobre Estanhado P/ Cabo 35Mm2</v>
          </cell>
          <cell r="E358" t="str">
            <v>un</v>
          </cell>
          <cell r="F358"/>
          <cell r="G358">
            <v>0.56000000000000005</v>
          </cell>
          <cell r="H358">
            <v>0</v>
          </cell>
        </row>
        <row r="359">
          <cell r="C359" t="str">
            <v>5.3.100.6</v>
          </cell>
          <cell r="D359" t="str">
            <v>Serviços Auxiliares</v>
          </cell>
          <cell r="E359"/>
          <cell r="F359"/>
          <cell r="G359">
            <v>0</v>
          </cell>
          <cell r="H359">
            <v>0</v>
          </cell>
        </row>
        <row r="360">
          <cell r="C360" t="str">
            <v>5.3.100.6.1</v>
          </cell>
          <cell r="D360" t="str">
            <v>Iluminação Interna</v>
          </cell>
          <cell r="E360"/>
          <cell r="F360"/>
          <cell r="G360">
            <v>0</v>
          </cell>
          <cell r="H360">
            <v>0</v>
          </cell>
        </row>
        <row r="361">
          <cell r="C361" t="str">
            <v>5.3.100.6.2</v>
          </cell>
          <cell r="D361" t="str">
            <v>Luminária Fluorescente Completa (2 X 32)W</v>
          </cell>
          <cell r="E361" t="str">
            <v>un</v>
          </cell>
          <cell r="F361"/>
          <cell r="G361">
            <v>12.28</v>
          </cell>
          <cell r="H361">
            <v>0</v>
          </cell>
        </row>
        <row r="362">
          <cell r="C362" t="str">
            <v>5.3.100.6.3</v>
          </cell>
          <cell r="D362" t="str">
            <v>Caixa Metalica Octogonal 4X4" Fundo Movel</v>
          </cell>
          <cell r="E362" t="str">
            <v>un</v>
          </cell>
          <cell r="F362"/>
          <cell r="G362">
            <v>1.05</v>
          </cell>
          <cell r="H362">
            <v>0</v>
          </cell>
        </row>
        <row r="363">
          <cell r="C363" t="str">
            <v>5.3.100.6.4</v>
          </cell>
          <cell r="D363" t="str">
            <v>Luminaria Tipo Spot Para 1 Lampada Incandescente/Fluorescente Compacta</v>
          </cell>
          <cell r="E363" t="str">
            <v>un</v>
          </cell>
          <cell r="F363"/>
          <cell r="G363">
            <v>10.53</v>
          </cell>
          <cell r="H363">
            <v>0</v>
          </cell>
        </row>
        <row r="364">
          <cell r="C364" t="str">
            <v>5.3.100.6.5</v>
          </cell>
          <cell r="D364" t="str">
            <v>Lâmpada Incandescente 60W</v>
          </cell>
          <cell r="E364" t="str">
            <v>un</v>
          </cell>
          <cell r="F364"/>
          <cell r="G364">
            <v>0.7</v>
          </cell>
          <cell r="H364">
            <v>0</v>
          </cell>
        </row>
        <row r="365">
          <cell r="C365" t="str">
            <v>5.3.100.6.6</v>
          </cell>
          <cell r="D365" t="str">
            <v>Lampada De Vapor De Metalico De 150Wx220V</v>
          </cell>
          <cell r="E365" t="str">
            <v>un</v>
          </cell>
          <cell r="F365"/>
          <cell r="G365">
            <v>0.84</v>
          </cell>
          <cell r="H365">
            <v>0</v>
          </cell>
        </row>
        <row r="366">
          <cell r="C366" t="str">
            <v>5.3.100.6.7</v>
          </cell>
          <cell r="D366" t="str">
            <v>Projetor Externo Com Ângulo Elev Regulável</v>
          </cell>
          <cell r="E366" t="str">
            <v>un</v>
          </cell>
          <cell r="F366"/>
          <cell r="G366">
            <v>17.55</v>
          </cell>
          <cell r="H366">
            <v>0</v>
          </cell>
        </row>
        <row r="367">
          <cell r="C367" t="str">
            <v>5.3.100.6.8</v>
          </cell>
          <cell r="D367" t="str">
            <v>Reator / Ignitor</v>
          </cell>
          <cell r="E367" t="str">
            <v>un</v>
          </cell>
          <cell r="F367"/>
          <cell r="G367">
            <v>7.02</v>
          </cell>
          <cell r="H367">
            <v>0</v>
          </cell>
        </row>
        <row r="368">
          <cell r="C368" t="str">
            <v>5.3.100.6.9</v>
          </cell>
          <cell r="D368" t="str">
            <v>Lampada De Vapor De Metalico De 250Wx220V</v>
          </cell>
          <cell r="E368" t="str">
            <v>un</v>
          </cell>
          <cell r="F368"/>
          <cell r="G368">
            <v>0.84</v>
          </cell>
          <cell r="H368">
            <v>0</v>
          </cell>
        </row>
        <row r="369">
          <cell r="C369" t="str">
            <v>5.3.100.6.10</v>
          </cell>
          <cell r="D369" t="str">
            <v>Celula Fotoeletrica P/ Até Lampada 250W, C/ Suporte</v>
          </cell>
          <cell r="E369" t="str">
            <v>un</v>
          </cell>
          <cell r="F369"/>
          <cell r="G369">
            <v>10.53</v>
          </cell>
          <cell r="H369">
            <v>0</v>
          </cell>
        </row>
        <row r="370">
          <cell r="C370" t="str">
            <v>5.3.100.6.11</v>
          </cell>
          <cell r="D370" t="str">
            <v>1 Interruptor E Três Vias 10 A</v>
          </cell>
          <cell r="E370" t="str">
            <v>un</v>
          </cell>
          <cell r="F370"/>
          <cell r="G370">
            <v>7.02</v>
          </cell>
          <cell r="H370">
            <v>0</v>
          </cell>
        </row>
        <row r="371">
          <cell r="C371" t="str">
            <v>5.3.100.6.12</v>
          </cell>
          <cell r="D371" t="str">
            <v>Ll - 1"</v>
          </cell>
          <cell r="E371" t="str">
            <v>un</v>
          </cell>
          <cell r="F371"/>
          <cell r="G371">
            <v>5.56</v>
          </cell>
          <cell r="H371">
            <v>0</v>
          </cell>
        </row>
        <row r="372">
          <cell r="C372" t="str">
            <v>5.3.100.6.13</v>
          </cell>
          <cell r="D372" t="str">
            <v>Lr - 3/4"</v>
          </cell>
          <cell r="E372" t="str">
            <v>un</v>
          </cell>
          <cell r="F372"/>
          <cell r="G372">
            <v>4.0199999999999996</v>
          </cell>
          <cell r="H372">
            <v>0</v>
          </cell>
        </row>
        <row r="373">
          <cell r="C373" t="str">
            <v>5.3.100.6.14</v>
          </cell>
          <cell r="D373" t="str">
            <v>Ll - 3/4"</v>
          </cell>
          <cell r="E373" t="str">
            <v>un</v>
          </cell>
          <cell r="F373"/>
          <cell r="G373">
            <v>4.0199999999999996</v>
          </cell>
          <cell r="H373">
            <v>0</v>
          </cell>
        </row>
        <row r="374">
          <cell r="C374" t="str">
            <v>5.3.100.6.15</v>
          </cell>
          <cell r="D374" t="str">
            <v>T - 3/4"</v>
          </cell>
          <cell r="E374" t="str">
            <v>un</v>
          </cell>
          <cell r="F374"/>
          <cell r="G374">
            <v>3.65</v>
          </cell>
          <cell r="H374">
            <v>0</v>
          </cell>
        </row>
        <row r="375">
          <cell r="C375" t="str">
            <v>5.3.100.6.16</v>
          </cell>
          <cell r="D375" t="str">
            <v>X - 3/4"</v>
          </cell>
          <cell r="E375" t="str">
            <v>un</v>
          </cell>
          <cell r="F375"/>
          <cell r="G375">
            <v>3.84</v>
          </cell>
          <cell r="H375">
            <v>0</v>
          </cell>
        </row>
        <row r="376">
          <cell r="C376" t="str">
            <v>5.3.100.6.17</v>
          </cell>
          <cell r="D376" t="str">
            <v>Montagem De Eletroduto De Pvc Rígido, Diam 3/4"X 3,00M,Com1 Luva</v>
          </cell>
          <cell r="E376" t="str">
            <v>pç</v>
          </cell>
          <cell r="F376"/>
          <cell r="G376">
            <v>4.62</v>
          </cell>
          <cell r="H376">
            <v>0</v>
          </cell>
        </row>
        <row r="377">
          <cell r="C377" t="str">
            <v>5.3.100.6.18</v>
          </cell>
          <cell r="D377" t="str">
            <v>Montagem De Eletroduto De Pvc Rígido Diam 1" X 3,00M Com 1 Luva</v>
          </cell>
          <cell r="E377" t="str">
            <v>pç</v>
          </cell>
          <cell r="F377"/>
          <cell r="G377">
            <v>5.77</v>
          </cell>
          <cell r="H377">
            <v>0</v>
          </cell>
        </row>
        <row r="378">
          <cell r="C378" t="str">
            <v>5.3.100.6.19</v>
          </cell>
          <cell r="D378" t="str">
            <v>Montagem De Cabo De Cobre Singelo, Isolamento Pvc,750V,70Oc,Seção 2,5 Mm2</v>
          </cell>
          <cell r="E378" t="str">
            <v>m</v>
          </cell>
          <cell r="F378"/>
          <cell r="G378">
            <v>0.31</v>
          </cell>
          <cell r="H378">
            <v>0</v>
          </cell>
        </row>
        <row r="379">
          <cell r="C379" t="str">
            <v>5.3.100.6.20</v>
          </cell>
          <cell r="D379" t="str">
            <v>Montagem De Cabo De Cobre ,Singelo, Isolamento De Pvc,750V,70 Oc ,Seção 4 Mm2</v>
          </cell>
          <cell r="E379" t="str">
            <v>m</v>
          </cell>
          <cell r="F379"/>
          <cell r="G379">
            <v>0.43</v>
          </cell>
          <cell r="H379">
            <v>0</v>
          </cell>
        </row>
        <row r="380">
          <cell r="C380" t="str">
            <v>5.3.100.6.21</v>
          </cell>
          <cell r="D380" t="str">
            <v>Instalação De Caminhos De Cabos Com Perfilado De 38X38X6000 Mm</v>
          </cell>
          <cell r="E380" t="str">
            <v>pç</v>
          </cell>
          <cell r="F380"/>
          <cell r="G380">
            <v>21.15</v>
          </cell>
          <cell r="H380">
            <v>0</v>
          </cell>
        </row>
        <row r="381">
          <cell r="C381" t="str">
            <v>5.3.100.6.22</v>
          </cell>
          <cell r="D381" t="str">
            <v xml:space="preserve">Barra Rosqueada De Ø 1/4" X 3000 Mm </v>
          </cell>
          <cell r="E381" t="str">
            <v>pç</v>
          </cell>
          <cell r="F381"/>
          <cell r="G381">
            <v>5.24</v>
          </cell>
          <cell r="H381">
            <v>0</v>
          </cell>
        </row>
        <row r="382">
          <cell r="C382" t="str">
            <v>5.3.100.6.23</v>
          </cell>
          <cell r="D382" t="str">
            <v xml:space="preserve">Chumbador Tipo Parabolt Para Concreto Ø 1/4" X 2" Com Porca, Arruela Liza E Pressão </v>
          </cell>
          <cell r="E382" t="str">
            <v>pç</v>
          </cell>
          <cell r="F382"/>
          <cell r="G382">
            <v>0.7</v>
          </cell>
          <cell r="H382">
            <v>0</v>
          </cell>
        </row>
        <row r="383">
          <cell r="C383" t="str">
            <v>5.3.100.6.24</v>
          </cell>
          <cell r="D383" t="str">
            <v>Suporte Tipo "C" Referencia Jea Jdu01</v>
          </cell>
          <cell r="E383" t="str">
            <v>pç</v>
          </cell>
          <cell r="F383"/>
          <cell r="G383">
            <v>0.52</v>
          </cell>
          <cell r="H383">
            <v>0</v>
          </cell>
        </row>
        <row r="384">
          <cell r="C384" t="str">
            <v>5.3.100.6.25</v>
          </cell>
          <cell r="D384" t="str">
            <v>Iluminação Externa</v>
          </cell>
          <cell r="E384"/>
          <cell r="F384"/>
          <cell r="G384">
            <v>0</v>
          </cell>
          <cell r="H384">
            <v>0</v>
          </cell>
        </row>
        <row r="385">
          <cell r="C385" t="str">
            <v>5.3.100.6.26</v>
          </cell>
          <cell r="D385" t="str">
            <v>Aparelho De Iluminação, Refletor Estampado Em Chapa De Alumínio, Para Lâmpada Let De 20 W, 220 V.</v>
          </cell>
          <cell r="E385" t="str">
            <v>un</v>
          </cell>
          <cell r="F385"/>
          <cell r="G385">
            <v>10.53</v>
          </cell>
          <cell r="H385">
            <v>0</v>
          </cell>
        </row>
        <row r="386">
          <cell r="C386" t="str">
            <v>5.3.100.6.27</v>
          </cell>
          <cell r="D386" t="str">
            <v>Montagem De Eletroduto De Pvc Rígido, Diam 3/4"X 3,00M,Com1 Luva</v>
          </cell>
          <cell r="E386" t="str">
            <v>pç</v>
          </cell>
          <cell r="F386"/>
          <cell r="G386">
            <v>4.62</v>
          </cell>
          <cell r="H386">
            <v>0</v>
          </cell>
        </row>
        <row r="387">
          <cell r="C387" t="str">
            <v>5.3.100.6.28</v>
          </cell>
          <cell r="D387" t="str">
            <v>Montagem De Eletroduto De Pvc Rígido Diam 1" X 3,00M Com 1 Luva</v>
          </cell>
          <cell r="E387" t="str">
            <v>pç</v>
          </cell>
          <cell r="F387"/>
          <cell r="G387">
            <v>5.77</v>
          </cell>
          <cell r="H387">
            <v>0</v>
          </cell>
        </row>
        <row r="388">
          <cell r="C388" t="str">
            <v>5.3.100.6.29</v>
          </cell>
          <cell r="D388" t="str">
            <v>Montagem De Eletroduto De Pvc Rígido, Diam 1 1/4"X 3,00M,Com1 Luva</v>
          </cell>
          <cell r="E388" t="str">
            <v>pç</v>
          </cell>
          <cell r="F388"/>
          <cell r="G388">
            <v>9.74</v>
          </cell>
          <cell r="H388">
            <v>0</v>
          </cell>
        </row>
        <row r="389">
          <cell r="C389" t="str">
            <v>5.3.100.6.30</v>
          </cell>
          <cell r="D389" t="str">
            <v>Poste De Concreto Armado, Seção Duplo Tê Comprimento Total 11 M, Diâmetro Externo No Topo 110 X 140 Mm E Na Base 330 X 448 Mm, Carga Nominal 400 Kg, De Acordo Com A Norma Abnt (Pos 4) Ref.: Tipo "B" Cavan Ou Similar.</v>
          </cell>
          <cell r="E389" t="str">
            <v>un</v>
          </cell>
          <cell r="F389"/>
          <cell r="G389">
            <v>477.8</v>
          </cell>
          <cell r="H389">
            <v>0</v>
          </cell>
        </row>
        <row r="390">
          <cell r="C390" t="str">
            <v>5.3.100.6.32</v>
          </cell>
          <cell r="D390" t="str">
            <v>U - 3/4"</v>
          </cell>
          <cell r="E390" t="str">
            <v>un</v>
          </cell>
          <cell r="F390"/>
          <cell r="G390">
            <v>0.52</v>
          </cell>
          <cell r="H390">
            <v>0</v>
          </cell>
        </row>
        <row r="391">
          <cell r="C391" t="str">
            <v>5.3.100.6.33</v>
          </cell>
          <cell r="D391" t="str">
            <v>Abraçadeira Tupo Unha Para Fixação De Eletroducto - 3/4"</v>
          </cell>
          <cell r="E391" t="str">
            <v>un</v>
          </cell>
          <cell r="F391"/>
          <cell r="G391">
            <v>0.52</v>
          </cell>
          <cell r="H391">
            <v>0</v>
          </cell>
        </row>
        <row r="392">
          <cell r="C392" t="str">
            <v>5.3.100.6.34</v>
          </cell>
          <cell r="D392" t="str">
            <v>Aparelho De Iluminação, Pescoço De Alumínio Fundido, Refletor Estampado Em Chapa De Alumínio, Para Lâmpada Mista De 500 W, 220 V. Ref.: Peterco X-21/5 Ou Similar.</v>
          </cell>
          <cell r="E392" t="str">
            <v>un</v>
          </cell>
          <cell r="F392"/>
          <cell r="G392">
            <v>28.08</v>
          </cell>
          <cell r="H392">
            <v>0</v>
          </cell>
        </row>
        <row r="393">
          <cell r="C393" t="str">
            <v>5.3.100.6.35</v>
          </cell>
          <cell r="D393" t="str">
            <v>Ll - 3/4"</v>
          </cell>
          <cell r="E393" t="str">
            <v>un</v>
          </cell>
          <cell r="F393"/>
          <cell r="G393">
            <v>4.0199999999999996</v>
          </cell>
          <cell r="H393">
            <v>0</v>
          </cell>
        </row>
        <row r="394">
          <cell r="C394" t="str">
            <v>5.3.100.6.36</v>
          </cell>
          <cell r="D394" t="str">
            <v>Montagem De Eletroduto De Pvc Rígido, Diam 3/4"X 3,00M,Com1 Luva</v>
          </cell>
          <cell r="E394" t="str">
            <v>pç</v>
          </cell>
          <cell r="F394"/>
          <cell r="G394">
            <v>4.62</v>
          </cell>
          <cell r="H394">
            <v>0</v>
          </cell>
        </row>
        <row r="395">
          <cell r="C395" t="str">
            <v>5.3.100.6.38</v>
          </cell>
          <cell r="D395" t="str">
            <v>Cubículo De Manobra De Motores E Interligação (Ebp I), Instalação Abrigada, Tipo Metal-Clad 4,16 Kv, Com Medidores, Reles, Disjuntor De Entrada, Disjuntor De Saida Ts, Disjuntores E Contatores E Barramento Saida Para 5 Motores, Conforme Diagrama Unipolar.</v>
          </cell>
          <cell r="E395" t="str">
            <v>un</v>
          </cell>
          <cell r="F395"/>
          <cell r="G395">
            <v>9154.6299999999992</v>
          </cell>
          <cell r="H395">
            <v>0</v>
          </cell>
        </row>
        <row r="396">
          <cell r="C396" t="str">
            <v>5.3.100.6.39</v>
          </cell>
          <cell r="D396" t="str">
            <v xml:space="preserve"> Cubículo Manobra De Motores (Ebp II), Instalação Abrigada, Tipo Metal-Clad 4,16 Kv, Com Medidores, Reles, Disjuntor De Entrada, Contatores, Fusíveis E Barramento, Saida Para 3 Motores, Conforme Diagrama Unipolar.</v>
          </cell>
          <cell r="E396" t="str">
            <v>un</v>
          </cell>
          <cell r="F396"/>
          <cell r="G396">
            <v>7649.57</v>
          </cell>
          <cell r="H396">
            <v>0</v>
          </cell>
        </row>
        <row r="397">
          <cell r="C397" t="str">
            <v>5.3.100.6.40</v>
          </cell>
          <cell r="D397" t="str">
            <v>Serviços Auxiliares Em Corrente Contínua</v>
          </cell>
          <cell r="E397" t="str">
            <v>un</v>
          </cell>
          <cell r="F397"/>
          <cell r="G397">
            <v>1012.58</v>
          </cell>
          <cell r="H397">
            <v>0</v>
          </cell>
        </row>
        <row r="398">
          <cell r="C398" t="str">
            <v>5.3.100.6.41</v>
          </cell>
          <cell r="D398" t="str">
            <v>Painél De Serviços Auxiliares Em Corrente Alternada</v>
          </cell>
          <cell r="E398" t="str">
            <v>un</v>
          </cell>
          <cell r="F398"/>
          <cell r="G398">
            <v>1012.58</v>
          </cell>
          <cell r="H398">
            <v>0</v>
          </cell>
        </row>
        <row r="399">
          <cell r="C399" t="str">
            <v>5.3.100.6.42</v>
          </cell>
          <cell r="D399" t="str">
            <v>Painel De Partida Para Os Motores (08 Motores) Das Válvulas Borboletas.</v>
          </cell>
          <cell r="E399" t="str">
            <v>un</v>
          </cell>
          <cell r="F399"/>
          <cell r="G399">
            <v>3134.36</v>
          </cell>
          <cell r="H399">
            <v>0</v>
          </cell>
        </row>
        <row r="400">
          <cell r="C400" t="str">
            <v>5.3.100.6.43</v>
          </cell>
          <cell r="D400" t="str">
            <v>Para-Raios Tipo Válvula 6 Kv, 5 Ka Com Desligador Automático, Instalação Ao Tempo, Fornecido Com Terminais Adequados Para Cabos De Cobre Nú 95 Mm2 (Pos 03). Ref.: Tipo Hv Hitachi Ou Similar.</v>
          </cell>
          <cell r="E400" t="str">
            <v>un</v>
          </cell>
          <cell r="F400"/>
          <cell r="G400">
            <v>300.69</v>
          </cell>
          <cell r="H400">
            <v>0</v>
          </cell>
        </row>
        <row r="401">
          <cell r="C401" t="str">
            <v>5.3.100.6.44</v>
          </cell>
          <cell r="D401" t="str">
            <v>Botoeira Liga/(Desliga Com Bloqueio), Para 10 A, 500 V, Montada Em Caixa De Alumínio Fundido À Prova De Tempo, Unidade, Gases, Vapores, E Pós (Nec-Classes Ii E Iii) Entrada Rosqueada 3/4" Bsp. (Pos 33) Ref.: Tipo R-80 Peterco Ou Similar.</v>
          </cell>
          <cell r="E401" t="str">
            <v>un</v>
          </cell>
          <cell r="F401"/>
          <cell r="G401">
            <v>17.55</v>
          </cell>
          <cell r="H401">
            <v>0</v>
          </cell>
        </row>
        <row r="402">
          <cell r="C402" t="str">
            <v>5.3.100.6.45</v>
          </cell>
          <cell r="D402" t="str">
            <v>Aparelho De Iluminação, Pescoço De Alumínio Fundido, Refletor Estampado Em Chapa De Alumínio, Para Lâmpada Led 100 W, 220 V. Ref.: Peterco X-21/5 Ou Similar.</v>
          </cell>
          <cell r="E402" t="str">
            <v>un</v>
          </cell>
          <cell r="F402"/>
          <cell r="G402">
            <v>10.53</v>
          </cell>
          <cell r="H402">
            <v>0</v>
          </cell>
        </row>
        <row r="403">
          <cell r="C403" t="str">
            <v>5.3.100.6.46</v>
          </cell>
          <cell r="D403" t="str">
            <v>Luminária De Sobrepor Para 2 Lâmpadas Fluorescentes Tubulares De 32W. Corpo/Refletor Em Chapa De Aço Tratada Com Acabamento Em Pintura Eletrostática Epóxi-Pó Na Cor Branca. Alojamento Do Reator No Próprio Corpo. Equipada Com Porta-Lâmpada Antivibratório Em Policarbonato, Com Trava De Segurança E Proteção Contra Aquecimento Nos Contatos. Pertencente Ao Circuito "X", Acionado Pelo Interruptor "A".</v>
          </cell>
          <cell r="E403" t="str">
            <v>un</v>
          </cell>
          <cell r="F403"/>
          <cell r="G403">
            <v>12.28</v>
          </cell>
          <cell r="H403">
            <v>0</v>
          </cell>
        </row>
        <row r="404">
          <cell r="C404" t="str">
            <v>5.3.100.6.47</v>
          </cell>
          <cell r="D404" t="str">
            <v>Aparelho Para Iluminação, Corpo Em Chapa De Aço Esmaltado A Fogo Para Duas Lâmpadas Fluorescente De 26 W, 220 V, Com Lâmpadas E Reator Duplo De Partida Rápida, Alto Fator De Potência E Soquetes Antivibratório.</v>
          </cell>
          <cell r="E404" t="str">
            <v>un</v>
          </cell>
          <cell r="F404"/>
          <cell r="G404">
            <v>10.53</v>
          </cell>
          <cell r="H404">
            <v>0</v>
          </cell>
        </row>
        <row r="405">
          <cell r="C405" t="str">
            <v>5.3.100.6.48</v>
          </cell>
          <cell r="D405" t="str">
            <v>Prateleira Ou Eletrocalha Para Cabo Dimensões 100X100X3000 Mm. (Pos 79) Ref.: Tipo Srs-500-3 Da Sisa Ou Similar Com Acessórios (2 Talas; 16 Parafusos, Porca, Arruela Lisa E Arruela De Pressão).</v>
          </cell>
          <cell r="E405" t="str">
            <v>un</v>
          </cell>
          <cell r="F405"/>
          <cell r="G405">
            <v>36.450000000000003</v>
          </cell>
          <cell r="H405">
            <v>0</v>
          </cell>
        </row>
        <row r="406">
          <cell r="C406" t="str">
            <v>5.3.100.6.49</v>
          </cell>
          <cell r="D406" t="str">
            <v>Prateleira Ou Eletrocalha Para Cabo Dimensões 200X100X3000 Mm. (Pos 79) Ref.: Tipo Srs-500-3 Da Sisa Ou Similar Com Acessórios (2 Talas; 16 Parafusos, Porca, Arruela Lisa E Arruela De Pressão).</v>
          </cell>
          <cell r="E406" t="str">
            <v>un</v>
          </cell>
          <cell r="F406"/>
          <cell r="G406">
            <v>37.15</v>
          </cell>
          <cell r="H406">
            <v>0</v>
          </cell>
        </row>
        <row r="407">
          <cell r="C407" t="str">
            <v>5.3.100.6.50</v>
          </cell>
          <cell r="D407" t="str">
            <v>Serviços De Rejuvenescimento E Manutenção Preventiva Dos Motores De 1.000 Cv</v>
          </cell>
          <cell r="E407" t="str">
            <v>un</v>
          </cell>
          <cell r="F407"/>
          <cell r="G407">
            <v>29847.5</v>
          </cell>
          <cell r="H407">
            <v>0</v>
          </cell>
        </row>
        <row r="408">
          <cell r="C408" t="str">
            <v>5.3.100.6.51</v>
          </cell>
          <cell r="D408" t="str">
            <v>Serviços de manutenção corretiva da ponte rolante</v>
          </cell>
          <cell r="E408" t="str">
            <v>un</v>
          </cell>
          <cell r="F408"/>
          <cell r="G408">
            <v>8037.0581300879921</v>
          </cell>
          <cell r="H408">
            <v>0</v>
          </cell>
        </row>
        <row r="409">
          <cell r="C409" t="str">
            <v>5.3.100.6.52</v>
          </cell>
          <cell r="D409" t="str">
            <v>Montagem De Quadro Geral De Baixa Tensão</v>
          </cell>
          <cell r="E409" t="str">
            <v>cj</v>
          </cell>
          <cell r="F409"/>
          <cell r="G409">
            <v>36890.93</v>
          </cell>
          <cell r="H409">
            <v>0</v>
          </cell>
        </row>
        <row r="410">
          <cell r="C410" t="str">
            <v>5.3.100.6.53</v>
          </cell>
          <cell r="D410" t="str">
            <v xml:space="preserve">Cubículo de proteção e medição em média tensão, dos transformadores, TR3 e TR4, classe de isolamento 36KV,  instalação abrigada, sobre base, c/ transf. instrumentação, disjuntor, reles e medidores. </v>
          </cell>
          <cell r="E410" t="str">
            <v>un</v>
          </cell>
          <cell r="F410"/>
          <cell r="G410">
            <v>9495.39</v>
          </cell>
          <cell r="H410">
            <v>0</v>
          </cell>
        </row>
        <row r="411">
          <cell r="C411" t="str">
            <v>5.3.100.6.54</v>
          </cell>
          <cell r="D411" t="str">
            <v>Cubículo para proteção e seccionamento, em média tensão, classe de isolamento 36KV, instalação abrigada, sobre base, com/ transformadores de instrumentação, fusíveis e seccionadoras.</v>
          </cell>
          <cell r="E411" t="str">
            <v>un</v>
          </cell>
          <cell r="F411"/>
          <cell r="G411">
            <v>9495.39</v>
          </cell>
          <cell r="H411">
            <v>0</v>
          </cell>
        </row>
        <row r="412">
          <cell r="C412" t="str">
            <v>5.3.100.6.55</v>
          </cell>
          <cell r="D412" t="str">
            <v>Poste De Concreto Armado, Seção Duplo "T", 12 / 1000</v>
          </cell>
          <cell r="E412" t="str">
            <v>un</v>
          </cell>
          <cell r="F412"/>
          <cell r="G412">
            <v>477.8</v>
          </cell>
          <cell r="H412">
            <v>0</v>
          </cell>
        </row>
        <row r="413">
          <cell r="C413" t="str">
            <v>5.3.100.6.56</v>
          </cell>
          <cell r="D413" t="str">
            <v>Fita metálica perfurada, L=*18*mm, rolo de 30m, carga recomendada= *30*KGF</v>
          </cell>
          <cell r="E413" t="str">
            <v>un</v>
          </cell>
          <cell r="F413"/>
          <cell r="G413">
            <v>2.75</v>
          </cell>
          <cell r="H413">
            <v>0</v>
          </cell>
        </row>
        <row r="414">
          <cell r="C414" t="str">
            <v>5.3.100.6.57</v>
          </cell>
          <cell r="D414" t="str">
            <v xml:space="preserve">Conector estribo de alumínio 1/0-4/0AWG (70mm2) </v>
          </cell>
          <cell r="E414" t="str">
            <v>un</v>
          </cell>
          <cell r="F414"/>
          <cell r="G414">
            <v>6.27</v>
          </cell>
          <cell r="H414">
            <v>0</v>
          </cell>
        </row>
        <row r="415">
          <cell r="C415" t="str">
            <v>5.3.100.6.58</v>
          </cell>
          <cell r="D415" t="str">
            <v>Grampo De Linha Viva Para Cabo de 35mm²</v>
          </cell>
          <cell r="E415" t="str">
            <v>un</v>
          </cell>
          <cell r="F415"/>
          <cell r="G415">
            <v>6.27</v>
          </cell>
          <cell r="H415">
            <v>0</v>
          </cell>
        </row>
        <row r="416">
          <cell r="C416" t="str">
            <v>5.3.100.6.59</v>
          </cell>
          <cell r="D416" t="str">
            <v>Chave Fusível Unipolar Distribuição Porcelana 36,2Kv 100 A 10 KA com ferragem</v>
          </cell>
          <cell r="E416" t="str">
            <v>un</v>
          </cell>
          <cell r="F416"/>
          <cell r="G416">
            <v>320.87</v>
          </cell>
          <cell r="H416">
            <v>0</v>
          </cell>
        </row>
        <row r="417">
          <cell r="C417" t="str">
            <v>5.3.100.6.60</v>
          </cell>
          <cell r="D417" t="str">
            <v xml:space="preserve">Elo Fusível Corrente nominal: 25 A. Curva tipo K. Comprimento: 500 mm. Capacidade de interrupção máxima: 5kA assimétrica/3,6 kA simétrica. </v>
          </cell>
          <cell r="E417" t="str">
            <v>un</v>
          </cell>
          <cell r="F417"/>
          <cell r="G417">
            <v>6.27</v>
          </cell>
          <cell r="H417">
            <v>0</v>
          </cell>
        </row>
        <row r="418">
          <cell r="C418" t="str">
            <v>5.3.100.6.61</v>
          </cell>
          <cell r="D418" t="str">
            <v>Para-Raios De Distribuição - Zno 36Kv; 31,5Ka</v>
          </cell>
          <cell r="E418" t="str">
            <v>un</v>
          </cell>
          <cell r="F418"/>
          <cell r="G418">
            <v>347.1</v>
          </cell>
          <cell r="H418">
            <v>0</v>
          </cell>
        </row>
        <row r="419">
          <cell r="C419" t="str">
            <v>5.3.100.6.62</v>
          </cell>
          <cell r="D419" t="str">
            <v>Mufla Externa Para cabos de 70 mm²</v>
          </cell>
          <cell r="E419" t="str">
            <v>un</v>
          </cell>
          <cell r="F419"/>
          <cell r="G419">
            <v>74.64</v>
          </cell>
          <cell r="H419">
            <v>0</v>
          </cell>
        </row>
        <row r="420">
          <cell r="C420" t="str">
            <v>5.3.100.6.63</v>
          </cell>
          <cell r="D420" t="str">
            <v>Cruzeta De Concreto Tipo "T", 1.900 Mm</v>
          </cell>
          <cell r="E420" t="str">
            <v>un</v>
          </cell>
          <cell r="F420"/>
          <cell r="G420">
            <v>180.49</v>
          </cell>
          <cell r="H420">
            <v>0</v>
          </cell>
        </row>
        <row r="421">
          <cell r="C421" t="str">
            <v>5.3.100.6.64</v>
          </cell>
          <cell r="D421" t="str">
            <v>Isolador de ancoragem e suspensão tensão nominal 35kV NBR-6323</v>
          </cell>
          <cell r="E421" t="str">
            <v>un</v>
          </cell>
          <cell r="F421"/>
          <cell r="G421">
            <v>88.24</v>
          </cell>
          <cell r="H421">
            <v>0</v>
          </cell>
        </row>
        <row r="422">
          <cell r="C422" t="str">
            <v>5.3.100.6.65</v>
          </cell>
          <cell r="D422" t="str">
            <v>Manilha Sapatilha Em Aço Zincado A Quente</v>
          </cell>
          <cell r="E422" t="str">
            <v>un</v>
          </cell>
          <cell r="F422"/>
          <cell r="G422">
            <v>1.05</v>
          </cell>
          <cell r="H422">
            <v>0</v>
          </cell>
        </row>
        <row r="423">
          <cell r="C423" t="str">
            <v>5.3.100.6.66</v>
          </cell>
          <cell r="D423" t="str">
            <v xml:space="preserve">Gancho Olhal Galvanizado </v>
          </cell>
          <cell r="E423" t="str">
            <v>un</v>
          </cell>
          <cell r="F423"/>
          <cell r="G423">
            <v>5.35</v>
          </cell>
          <cell r="H423">
            <v>0</v>
          </cell>
        </row>
        <row r="424">
          <cell r="C424" t="str">
            <v>5.3.100.6.67</v>
          </cell>
          <cell r="D424" t="str">
            <v>Olhal Para Parafuso M16 Em Aço Zincado A Quente, Carga De Ruptura 5000 Dan</v>
          </cell>
          <cell r="E424" t="str">
            <v>pç</v>
          </cell>
          <cell r="F424"/>
          <cell r="G424">
            <v>0.52</v>
          </cell>
          <cell r="H424">
            <v>0</v>
          </cell>
        </row>
        <row r="425">
          <cell r="C425" t="str">
            <v>5.3.100.6.68</v>
          </cell>
          <cell r="D425" t="str">
            <v>Parafuso De Máquina, Cabeça Quadrada, Em Aço Zincado, Rosca M16 X 2, Comprimento Total A = 400, Parte Rosqueada B = 320 Mm, Completo Com Duas Porcas Quadrada</v>
          </cell>
          <cell r="E425" t="str">
            <v>pç</v>
          </cell>
          <cell r="F425"/>
          <cell r="G425">
            <v>2.8</v>
          </cell>
          <cell r="H425">
            <v>0</v>
          </cell>
        </row>
        <row r="426">
          <cell r="C426" t="str">
            <v>5.3.100.6.69</v>
          </cell>
          <cell r="D426" t="str">
            <v>Parafuso De Máquina, Cabeça Quadrada, Em Aço Zincado, Rosca M16 X 2, Comprimento Total A = 300, Parte Rosqueada B = 220 Mm, Completo Com Duas Porcas Quadrada</v>
          </cell>
          <cell r="E426" t="str">
            <v>pç</v>
          </cell>
          <cell r="F426"/>
          <cell r="G426">
            <v>2.4500000000000002</v>
          </cell>
          <cell r="H426">
            <v>0</v>
          </cell>
        </row>
        <row r="427">
          <cell r="C427" t="str">
            <v>5.3.100.6.70</v>
          </cell>
          <cell r="D427" t="str">
            <v>Alça pré-formada distribuição Para cabo de aluminio CAA 4/0 AWG</v>
          </cell>
          <cell r="E427" t="str">
            <v>un</v>
          </cell>
          <cell r="F427"/>
          <cell r="G427">
            <v>20.05</v>
          </cell>
          <cell r="H427">
            <v>0</v>
          </cell>
        </row>
        <row r="428">
          <cell r="C428" t="str">
            <v>5.3.100.6.71</v>
          </cell>
          <cell r="D428" t="str">
            <v>Conectores Para Haste De Aterramento</v>
          </cell>
          <cell r="E428" t="str">
            <v>un</v>
          </cell>
          <cell r="F428"/>
          <cell r="G428">
            <v>1.05</v>
          </cell>
          <cell r="H428">
            <v>0</v>
          </cell>
        </row>
        <row r="429">
          <cell r="C429" t="str">
            <v>5.3.100.6.72</v>
          </cell>
          <cell r="D429" t="str">
            <v>Pino autotravante M16</v>
          </cell>
          <cell r="E429" t="str">
            <v>un</v>
          </cell>
          <cell r="F429"/>
          <cell r="G429">
            <v>6.68</v>
          </cell>
          <cell r="H429">
            <v>0</v>
          </cell>
        </row>
        <row r="430">
          <cell r="C430" t="str">
            <v>5.4</v>
          </cell>
          <cell r="D430" t="str">
            <v>FORNECIMENTO (O BDI do item 5.4 foi reduzido de 40% para 37,2%).</v>
          </cell>
          <cell r="E430"/>
          <cell r="F430"/>
          <cell r="G430"/>
          <cell r="H430">
            <v>0</v>
          </cell>
        </row>
        <row r="431">
          <cell r="C431" t="str">
            <v>5.4.1</v>
          </cell>
          <cell r="D431" t="str">
            <v xml:space="preserve">Conjuntos Moto-Bombas </v>
          </cell>
          <cell r="E431"/>
          <cell r="F431"/>
          <cell r="G431">
            <v>0</v>
          </cell>
          <cell r="H431">
            <v>0</v>
          </cell>
        </row>
        <row r="432">
          <cell r="C432" t="str">
            <v>5.4.1.1</v>
          </cell>
          <cell r="D432" t="str">
            <v>Conjunto Moto-Bomba Vertical, Motor Indução,Trifásico, 4,16 Kv, 1000 Cv, Instalação Abrigada (Pos 1)</v>
          </cell>
          <cell r="E432" t="str">
            <v>un</v>
          </cell>
          <cell r="F432"/>
          <cell r="G432">
            <v>1158531.93</v>
          </cell>
          <cell r="H432">
            <v>0</v>
          </cell>
        </row>
        <row r="433">
          <cell r="C433" t="str">
            <v>5.4.1.2</v>
          </cell>
          <cell r="D433" t="str">
            <v>Conjunto Moto-Bomba Vertical, Motor Indução,Trifásico, 4,16 Kv, 1000 Cv, Instalação Abrigada (Pos 1)</v>
          </cell>
          <cell r="E433" t="str">
            <v>un</v>
          </cell>
          <cell r="F433"/>
          <cell r="G433">
            <v>1158531.93</v>
          </cell>
          <cell r="H433">
            <v>0</v>
          </cell>
        </row>
        <row r="434">
          <cell r="C434" t="str">
            <v>5.4.1.3</v>
          </cell>
          <cell r="D434" t="str">
            <v>Conjunto Moto-Bomba Tipo Submersa Para Drenagem Com 1/3 Cv (Pos 2)</v>
          </cell>
          <cell r="E434" t="str">
            <v>un</v>
          </cell>
          <cell r="F434"/>
          <cell r="G434">
            <v>1009.1</v>
          </cell>
          <cell r="H434">
            <v>0</v>
          </cell>
        </row>
        <row r="435">
          <cell r="C435" t="str">
            <v>5.4.1.4</v>
          </cell>
          <cell r="D435" t="str">
            <v xml:space="preserve">Conjunto Moto-Bomba Submerso P/ Drenagem Poços Sucção Enchimento Da Adutora, 30 Cv (Pos 3) </v>
          </cell>
          <cell r="E435" t="str">
            <v>un</v>
          </cell>
          <cell r="F435"/>
          <cell r="G435">
            <v>5331.07</v>
          </cell>
          <cell r="H435">
            <v>0</v>
          </cell>
        </row>
        <row r="436">
          <cell r="C436" t="str">
            <v>5.4.1.5</v>
          </cell>
          <cell r="D436" t="str">
            <v>Detectores De Temperatura Tipo Mancais - Conjunto Moto-Bomba Vertical 1.000 Cv</v>
          </cell>
          <cell r="E436" t="str">
            <v>un</v>
          </cell>
          <cell r="F436"/>
          <cell r="G436">
            <v>11814.38</v>
          </cell>
          <cell r="H436">
            <v>0</v>
          </cell>
        </row>
        <row r="437">
          <cell r="C437" t="str">
            <v>5.4.1.6</v>
          </cell>
          <cell r="D437" t="str">
            <v xml:space="preserve">Curva 26,52º Com Extremidade Biseladas Para Soldagem, Aço Carbono, Dn=1500 Mm, Esp. = 3/8" - L = 3,32 M. </v>
          </cell>
          <cell r="E437" t="str">
            <v>un</v>
          </cell>
          <cell r="F437"/>
          <cell r="G437">
            <v>6281.53</v>
          </cell>
          <cell r="H437">
            <v>0</v>
          </cell>
        </row>
        <row r="438">
          <cell r="C438" t="str">
            <v>5.4.2</v>
          </cell>
          <cell r="D438" t="str">
            <v>Equipamentos De Manuseio, Grades E Stop-Log'S</v>
          </cell>
          <cell r="E438"/>
          <cell r="F438"/>
          <cell r="G438">
            <v>0</v>
          </cell>
          <cell r="H438">
            <v>0</v>
          </cell>
        </row>
        <row r="439">
          <cell r="C439" t="str">
            <v>5.4.2.1</v>
          </cell>
          <cell r="D439" t="str">
            <v>Ponte Rolante Da Eb, Para Montagem E Manutenção, Acionasmento Elétrico, 14 Ton, 8,40M De Vão Altura De Içamento  18 M ( Pos 5 )</v>
          </cell>
          <cell r="E439" t="str">
            <v>un</v>
          </cell>
          <cell r="F439"/>
          <cell r="G439">
            <v>171927.36</v>
          </cell>
          <cell r="H439">
            <v>0</v>
          </cell>
        </row>
        <row r="440">
          <cell r="C440" t="str">
            <v>5.4.2.2</v>
          </cell>
          <cell r="D440" t="str">
            <v>Comporta Ensecadeira, Aço Com Vedação De Borracha De 2,5M X 1,5M (Pos 18)</v>
          </cell>
          <cell r="E440" t="str">
            <v>un</v>
          </cell>
          <cell r="F440"/>
          <cell r="G440">
            <v>17802</v>
          </cell>
          <cell r="H440">
            <v>0</v>
          </cell>
        </row>
        <row r="441">
          <cell r="C441" t="str">
            <v>5.4.2.3</v>
          </cell>
          <cell r="D441" t="str">
            <v>Guias Para Comporta Ensecadeira Em Aço ( Pos 19 )</v>
          </cell>
          <cell r="E441" t="str">
            <v>un</v>
          </cell>
          <cell r="F441"/>
          <cell r="G441">
            <v>5331.07</v>
          </cell>
          <cell r="H441">
            <v>0</v>
          </cell>
        </row>
        <row r="442">
          <cell r="C442" t="str">
            <v>5.4.2.4</v>
          </cell>
          <cell r="D442" t="str">
            <v>Guias Em Aço Inoxidável Para As Grades ( Pos 21 )</v>
          </cell>
          <cell r="E442" t="str">
            <v>un</v>
          </cell>
          <cell r="F442"/>
          <cell r="G442">
            <v>7615.83</v>
          </cell>
          <cell r="H442">
            <v>0</v>
          </cell>
        </row>
        <row r="443">
          <cell r="C443" t="str">
            <v>5.4.2.5</v>
          </cell>
          <cell r="D443" t="str">
            <v>Viga Pescadora Para A Manobra Das Grades E Da Comporta Pos 22)</v>
          </cell>
          <cell r="E443" t="str">
            <v>un</v>
          </cell>
          <cell r="F443"/>
          <cell r="G443">
            <v>4017.34</v>
          </cell>
          <cell r="H443">
            <v>0</v>
          </cell>
        </row>
        <row r="444">
          <cell r="C444" t="str">
            <v>5.4.2.6</v>
          </cell>
          <cell r="D444" t="str">
            <v>Talha Elétrica Com Capacidade De 2,0 Ton (Pos 23)</v>
          </cell>
          <cell r="E444" t="str">
            <v>un</v>
          </cell>
          <cell r="F444"/>
          <cell r="G444">
            <v>10115.73</v>
          </cell>
          <cell r="H444">
            <v>0</v>
          </cell>
        </row>
        <row r="445">
          <cell r="C445" t="str">
            <v>5.4.2.7</v>
          </cell>
          <cell r="D445" t="str">
            <v>Talha Elétrica Com Capacidade De 1,0 Ton (Pos 24)</v>
          </cell>
          <cell r="E445" t="str">
            <v>un</v>
          </cell>
          <cell r="F445"/>
          <cell r="G445">
            <v>7351.01</v>
          </cell>
          <cell r="H445">
            <v>0</v>
          </cell>
        </row>
        <row r="446">
          <cell r="C446" t="str">
            <v>5.4.2.8</v>
          </cell>
          <cell r="D446" t="str">
            <v>Grade Metálica, 2,50 M X 1,60 M (Pos 20)</v>
          </cell>
          <cell r="E446" t="str">
            <v>un</v>
          </cell>
          <cell r="F446"/>
          <cell r="G446">
            <v>1142.3699999999999</v>
          </cell>
          <cell r="H446">
            <v>0</v>
          </cell>
        </row>
        <row r="447">
          <cell r="C447" t="str">
            <v>5.4.2.9</v>
          </cell>
          <cell r="D447" t="str">
            <v>Monovia</v>
          </cell>
          <cell r="E447" t="str">
            <v>m</v>
          </cell>
          <cell r="F447"/>
          <cell r="G447">
            <v>207.72</v>
          </cell>
          <cell r="H447">
            <v>0</v>
          </cell>
        </row>
        <row r="448">
          <cell r="C448" t="str">
            <v>5.4.3</v>
          </cell>
          <cell r="D448" t="str">
            <v>Materiais E Equipamentos Elétricos</v>
          </cell>
          <cell r="E448"/>
          <cell r="F448"/>
          <cell r="G448">
            <v>0</v>
          </cell>
          <cell r="H448">
            <v>0</v>
          </cell>
        </row>
        <row r="449">
          <cell r="C449" t="str">
            <v>5.4.3.1</v>
          </cell>
          <cell r="D449" t="str">
            <v>Transformador De Força, Trifásico, 13,8/4,16 Kv, Com Ventilação Forçada Primária Em Delta, Secubdária Em Estrela, Montado Sobre Trilhos, Potência 5000Kva</v>
          </cell>
          <cell r="E449" t="str">
            <v>un</v>
          </cell>
          <cell r="F449"/>
          <cell r="G449">
            <v>391420.15999999997</v>
          </cell>
          <cell r="H449">
            <v>0</v>
          </cell>
        </row>
        <row r="450">
          <cell r="C450" t="str">
            <v>5.4.3.2</v>
          </cell>
          <cell r="D450" t="str">
            <v>Transformador De Força, Trifásico, 13,8/4,16 Kv, Com Ventilação Forçada Primária Em Delta, Secubdária Em Estrela, Montado Sobre Trilhos, Potência 5000Kva</v>
          </cell>
          <cell r="E450" t="str">
            <v>un</v>
          </cell>
          <cell r="F450"/>
          <cell r="G450">
            <v>391420.15999999997</v>
          </cell>
          <cell r="H450">
            <v>0</v>
          </cell>
        </row>
        <row r="451">
          <cell r="C451" t="str">
            <v>5.4.3.3</v>
          </cell>
          <cell r="D451" t="str">
            <v>Transformador De Força, Trifásico, 13800/380-220 V, Com Ventilação Forçada Primária Em Delta, Secubdária Em Estrela, Montado Sobre Trilhos, Potência 75Kva</v>
          </cell>
          <cell r="E451" t="str">
            <v>un</v>
          </cell>
          <cell r="F451"/>
          <cell r="G451">
            <v>7615.83</v>
          </cell>
          <cell r="H451">
            <v>0</v>
          </cell>
        </row>
        <row r="452">
          <cell r="C452" t="str">
            <v>5.4.3.4</v>
          </cell>
          <cell r="D452" t="str">
            <v>Cubículo De Proteção E Medição Em Alta Tensão Padrão Cepisa,  Inst. Tempo, Sobre Base, C/ Transf. Instrumentação, Disjuntor, Reles E Medidores.</v>
          </cell>
          <cell r="E452" t="str">
            <v>un</v>
          </cell>
          <cell r="F452"/>
          <cell r="G452">
            <v>34076.559999999998</v>
          </cell>
          <cell r="H452">
            <v>0</v>
          </cell>
        </row>
        <row r="453">
          <cell r="C453" t="str">
            <v>5.4.3.5</v>
          </cell>
          <cell r="D453" t="str">
            <v>Cubículo De Manobra De Motores (Ebp Ii), Instalação Abrigada, Tipo  Metal-Clad. 4,16 Kv C/ Medidor Reles, Disj. Fusíveis E Barramento, Para 3 Motores, Conforme Diagrama Unipolar.C259:C276</v>
          </cell>
          <cell r="E453" t="str">
            <v>un</v>
          </cell>
          <cell r="F453"/>
          <cell r="G453">
            <v>24406.2</v>
          </cell>
          <cell r="H453">
            <v>0</v>
          </cell>
        </row>
        <row r="454">
          <cell r="C454" t="str">
            <v>5.4.3.6</v>
          </cell>
          <cell r="D454" t="str">
            <v xml:space="preserve">Cubículo De Manobra De Motores E Interligação (Ebp I), Instalação Abrigada, Tipo Metal-Clad 4,16 Kv, Com Medidores, Reles, Disjuntor </v>
          </cell>
          <cell r="E454" t="str">
            <v>un</v>
          </cell>
          <cell r="F454"/>
          <cell r="G454">
            <v>380791.51</v>
          </cell>
          <cell r="H454">
            <v>0</v>
          </cell>
        </row>
        <row r="455">
          <cell r="C455" t="str">
            <v>5.4.3.7</v>
          </cell>
          <cell r="D455" t="str">
            <v>Cubículo De Interligação, Contatores E Barramento, Para 3 Motores, Conforme Diagrama</v>
          </cell>
          <cell r="E455" t="str">
            <v>un</v>
          </cell>
          <cell r="F455"/>
          <cell r="G455">
            <v>28090.15</v>
          </cell>
          <cell r="H455">
            <v>0</v>
          </cell>
        </row>
        <row r="456">
          <cell r="C456" t="str">
            <v>5.4.3.8</v>
          </cell>
          <cell r="D456" t="str">
            <v>Painel De Serviços Auxiliares, Para C.A E C.C Com Disjuntores Termomagneticos, Conforme Diagrama Unipolar.</v>
          </cell>
          <cell r="E456" t="str">
            <v>un</v>
          </cell>
          <cell r="F456"/>
          <cell r="G456">
            <v>4296.42</v>
          </cell>
          <cell r="H456">
            <v>0</v>
          </cell>
        </row>
        <row r="457">
          <cell r="C457" t="str">
            <v>5.4.3.9</v>
          </cell>
          <cell r="D457" t="str">
            <v>Painel De Partida Para Os Motores (03 Motores) Das Válvulas Boeboletas</v>
          </cell>
          <cell r="E457" t="str">
            <v>un</v>
          </cell>
          <cell r="F457"/>
          <cell r="G457">
            <v>2855.92</v>
          </cell>
          <cell r="H457">
            <v>0</v>
          </cell>
        </row>
        <row r="458">
          <cell r="C458" t="str">
            <v>5.4.3.10</v>
          </cell>
          <cell r="D458" t="str">
            <v>Painel De Iluminação Conforme Quadro De Carga E Diagrama De Distribuição De Circuíto</v>
          </cell>
          <cell r="E458" t="str">
            <v>un</v>
          </cell>
          <cell r="F458"/>
          <cell r="G458">
            <v>10591.36</v>
          </cell>
          <cell r="H458">
            <v>0</v>
          </cell>
        </row>
        <row r="459">
          <cell r="C459" t="str">
            <v>5.4.3.11</v>
          </cell>
          <cell r="D459" t="str">
            <v>Resistor De Aterramento Montado Sobre Base, 2400 V, 400 A,  10 Segundos</v>
          </cell>
          <cell r="E459" t="str">
            <v>un</v>
          </cell>
          <cell r="F459"/>
          <cell r="G459">
            <v>15094.99</v>
          </cell>
          <cell r="H459">
            <v>0</v>
          </cell>
        </row>
        <row r="460">
          <cell r="C460" t="str">
            <v>5.4.3.12</v>
          </cell>
          <cell r="D460" t="str">
            <v>Chave Fusível De Distribuição 15 Kv, 100 A Monofásico, Tipo 2 H, Sistema De Expulsão De Gás Simples, Fornecida Com Terminais Adequados Para Cabo De Cobre Nú 95 Mm2 (Pos 1) Ref.: Tipo Lmo Hitachi Ou Similar.</v>
          </cell>
          <cell r="E460" t="str">
            <v>un</v>
          </cell>
          <cell r="F460"/>
          <cell r="G460">
            <v>728.84</v>
          </cell>
          <cell r="H460">
            <v>0</v>
          </cell>
        </row>
        <row r="461">
          <cell r="C461" t="str">
            <v>5.4.3.14</v>
          </cell>
          <cell r="D461" t="str">
            <v>Chave Seccionadora Unipolar, Uso Externo Classe Subestação 600 A, 165 Kv, 60 Hz Abertura Por Vara De Manobra Fornecida Com Terminais Adequados Para Cabo Cobre (Pos 2) Ref.: Tipo Ev Hubbell Ou Similar.</v>
          </cell>
          <cell r="E461" t="str">
            <v>un</v>
          </cell>
          <cell r="F461"/>
          <cell r="G461">
            <v>353.75</v>
          </cell>
          <cell r="H461">
            <v>0</v>
          </cell>
        </row>
        <row r="462">
          <cell r="C462" t="str">
            <v>5.4.3.15</v>
          </cell>
          <cell r="D462" t="str">
            <v>Para-Raios Tipo Válvula 12 Kv, 5 Ka Com Desligador Automático,  Instalado Ao Tempo, Com Terminais Adequados Para Cabos De Cobre Nú 95 Mm2 (Pos 03). Ref.: Tipo Hv Hitachi Ou Similar.</v>
          </cell>
          <cell r="E462" t="str">
            <v>un</v>
          </cell>
          <cell r="F462"/>
          <cell r="G462">
            <v>348.12</v>
          </cell>
          <cell r="H462">
            <v>0</v>
          </cell>
        </row>
        <row r="463">
          <cell r="C463" t="str">
            <v>5.4.3.16</v>
          </cell>
          <cell r="D463" t="str">
            <v>Poste De Concreto Armado, Seção Duplo Tê Comprimento Total 11 M, Diâmetro Externo No Topo 110 X 140 Mm E Na Base 330 X 448 Mm, Carga Nominal 400 Kg, De Acordo Com A Norma Abnt (Pos 4) Ref.: Tipo "B" Cavan Ou Similar.</v>
          </cell>
          <cell r="E463" t="str">
            <v>un</v>
          </cell>
          <cell r="F463"/>
          <cell r="G463">
            <v>1789.26</v>
          </cell>
          <cell r="H463">
            <v>0</v>
          </cell>
        </row>
        <row r="464">
          <cell r="C464" t="str">
            <v>5.4.3.17</v>
          </cell>
          <cell r="D464" t="str">
            <v>Isolador De Porcelana Tipo Pino Para 25 Kv. (Pos 05) Ref.: Cerâmica Santana Ou Similar.</v>
          </cell>
          <cell r="E464" t="str">
            <v>un</v>
          </cell>
          <cell r="F464"/>
          <cell r="G464">
            <v>44.59</v>
          </cell>
          <cell r="H464">
            <v>0</v>
          </cell>
        </row>
        <row r="465">
          <cell r="C465" t="str">
            <v>5.4.3.18</v>
          </cell>
          <cell r="D465" t="str">
            <v>Isolador De Disco Para 15 Kv Em Vidro Temperado Tipo Garfo E Olhal Fi-176 X 140 Mm Com Contra Pino De Latão. (Pos 06) Ref.; Código 910.062 Cerâmica Santana Ou Similar.</v>
          </cell>
          <cell r="E465" t="str">
            <v>un</v>
          </cell>
          <cell r="F465"/>
          <cell r="G465">
            <v>175.72</v>
          </cell>
          <cell r="H465">
            <v>0</v>
          </cell>
        </row>
        <row r="466">
          <cell r="C466" t="str">
            <v>5.4.3.19</v>
          </cell>
          <cell r="D466" t="str">
            <v>Olhal Para Parafuso Em Aço Forjado Normalizado, Galvanizado A Fogo, Rosca Diâmetro 16 Mm (5/8"). (Pos 07), Sade Ou Similar</v>
          </cell>
          <cell r="E466" t="str">
            <v>un</v>
          </cell>
          <cell r="F466"/>
          <cell r="G466">
            <v>26.17</v>
          </cell>
          <cell r="H466">
            <v>0</v>
          </cell>
        </row>
        <row r="467">
          <cell r="C467" t="str">
            <v>5.4.3.20</v>
          </cell>
          <cell r="D467" t="str">
            <v>Cinta Completa De Aço Galvanizado Retangular De 370 X 250 Mm, Com 2 Parafusos Tipo Francês Diâmetro 16 X 65Mm (Min E Porcas Quadradas) - Pos 8 - Ref.: Tipo J-25L Jumil Ou Similar</v>
          </cell>
          <cell r="E467" t="str">
            <v>un</v>
          </cell>
          <cell r="F467"/>
          <cell r="G467">
            <v>33.06</v>
          </cell>
          <cell r="H467">
            <v>0</v>
          </cell>
        </row>
        <row r="468">
          <cell r="C468" t="str">
            <v>5.4.3.21</v>
          </cell>
          <cell r="D468" t="str">
            <v>Cruzeta De Concreto Armado Com 1800 Mm. (Pos 09) Ref.: Cavan Ou Similar</v>
          </cell>
          <cell r="E468" t="str">
            <v>un</v>
          </cell>
          <cell r="F468"/>
          <cell r="G468">
            <v>280.12</v>
          </cell>
          <cell r="H468">
            <v>0</v>
          </cell>
        </row>
        <row r="469">
          <cell r="C469" t="str">
            <v>5.4.3.22</v>
          </cell>
          <cell r="D469" t="str">
            <v>Torre Treliçada Para Suporte De Para-Raios, Em Estrutura Metálica Galvanizada Auto-Suportada Com 15 M De Altura. (Pos 10) Ref.: Nortec Ou Similar</v>
          </cell>
          <cell r="E469" t="str">
            <v>un</v>
          </cell>
          <cell r="F469"/>
          <cell r="G469">
            <v>6631.1</v>
          </cell>
          <cell r="H469">
            <v>0</v>
          </cell>
        </row>
        <row r="470">
          <cell r="C470" t="str">
            <v>5.4.3.23</v>
          </cell>
          <cell r="D470" t="str">
            <v>Para-Raios Contra Descarga Atmosférica Tipo Ionizante, Raio De Ação 40 M, Área Protegida Em Círculo 5.000 M2. (Pos 11) Ref.: Tipo "Prmc - 1" Da Nortec Ou Similar.</v>
          </cell>
          <cell r="E470" t="str">
            <v>un</v>
          </cell>
          <cell r="F470"/>
          <cell r="G470">
            <v>1314.8</v>
          </cell>
          <cell r="H470">
            <v>0</v>
          </cell>
        </row>
        <row r="471">
          <cell r="C471" t="str">
            <v>5.4.3.24</v>
          </cell>
          <cell r="D471" t="str">
            <v>Suporte Simples Galvanizado Com Roldana Para Suporte Do Cabo De Descida, Para Cabo Até 70 Mm2, Contorno Det. "H" Do Des. Nº Rgu-024-216. (Pos 12) Ref.; Tipo "Gt-P2" Da Nortec Ou Similar.</v>
          </cell>
          <cell r="E471" t="str">
            <v>un</v>
          </cell>
          <cell r="F471"/>
          <cell r="G471">
            <v>95.19</v>
          </cell>
          <cell r="H471">
            <v>0</v>
          </cell>
        </row>
        <row r="472">
          <cell r="C472" t="str">
            <v>5.4.3.25</v>
          </cell>
          <cell r="D472" t="str">
            <v>Braçadeira Galvanizada C/Rosca Mecânica Para Tubo De Pvc 2" Conforme Det. "G" Do Des. Nº Rgu-024-216. (Pos 13) Ref.: Tipo "Gt-P4" Da Nortec Ou Similar.</v>
          </cell>
          <cell r="E472" t="str">
            <v>un</v>
          </cell>
          <cell r="F472"/>
          <cell r="G472">
            <v>9.51</v>
          </cell>
          <cell r="H472">
            <v>0</v>
          </cell>
        </row>
        <row r="473">
          <cell r="C473" t="str">
            <v>5.4.3.26</v>
          </cell>
          <cell r="D473" t="str">
            <v>Tubo De Pvc 2" C/Parede Reforçada, Para Descida De Cabo Terra (Pos 14)</v>
          </cell>
          <cell r="E473" t="str">
            <v>m</v>
          </cell>
          <cell r="F473"/>
          <cell r="G473">
            <v>7.19</v>
          </cell>
          <cell r="H473">
            <v>0</v>
          </cell>
        </row>
        <row r="474">
          <cell r="C474" t="str">
            <v>5.4.3.27</v>
          </cell>
          <cell r="D474" t="str">
            <v>Grampo Paralelo Bimetálico P/Condutor De Cobre. (Pos 15) Ref.: Tipo Gp-3B Sade Ou Similar.</v>
          </cell>
          <cell r="E474" t="str">
            <v>un</v>
          </cell>
          <cell r="F474"/>
          <cell r="G474">
            <v>26.3</v>
          </cell>
          <cell r="H474">
            <v>0</v>
          </cell>
        </row>
        <row r="475">
          <cell r="C475" t="str">
            <v>5.4.3.28</v>
          </cell>
          <cell r="D475" t="str">
            <v>Conector Tipo Split-Bolt De Bronze Estanhado, Para Cabos De Cobre Ou De Alumínio De 70 A 95 Mm2. (Pos 16) Ref.: Tipo Servit Ksu-Burndy Ou Similar.</v>
          </cell>
          <cell r="E475" t="str">
            <v>un</v>
          </cell>
          <cell r="F475"/>
          <cell r="G475">
            <v>9.51</v>
          </cell>
          <cell r="H475">
            <v>0</v>
          </cell>
        </row>
        <row r="476">
          <cell r="C476" t="str">
            <v>5.4.3.29</v>
          </cell>
          <cell r="D476" t="str">
            <v>Eletroduto Rígido De Aço Galvanizado Com Costura, 4" Em Varas De 3 Metros, Rosca Bsp. (Pos 17) Ref.: Apolo Ou Similar.</v>
          </cell>
          <cell r="E476" t="str">
            <v>vara</v>
          </cell>
          <cell r="F476"/>
          <cell r="G476">
            <v>118.99</v>
          </cell>
          <cell r="H476">
            <v>0</v>
          </cell>
        </row>
        <row r="477">
          <cell r="C477" t="str">
            <v>5.4.3.30</v>
          </cell>
          <cell r="D477" t="str">
            <v>Eletroduto Rígido De Aço Galvanizado Com Costura 1.1/2" Em Varas De 3 Metros, Rosca Bsp. (Pos 18) . Ref.: Apolo Ou Similar</v>
          </cell>
          <cell r="E477" t="str">
            <v>vara</v>
          </cell>
          <cell r="F477"/>
          <cell r="G477">
            <v>31.42</v>
          </cell>
          <cell r="H477">
            <v>0</v>
          </cell>
        </row>
        <row r="478">
          <cell r="C478" t="str">
            <v>5.4.3.31</v>
          </cell>
          <cell r="D478" t="str">
            <v>Eletroduto Rígido De Aço Galvanizado Com Costura, 3" Em Varas De 3  Metros, Rosca Bsp. (Pos 19) Ref.: Apolo Ou Similar.</v>
          </cell>
          <cell r="E478" t="str">
            <v>vara</v>
          </cell>
          <cell r="F478"/>
          <cell r="G478">
            <v>95.19</v>
          </cell>
          <cell r="H478">
            <v>0</v>
          </cell>
        </row>
        <row r="479">
          <cell r="C479" t="str">
            <v>5.4.3.32</v>
          </cell>
          <cell r="D479" t="str">
            <v>União Macho E Fêmea, Em Ferro Nodular, Para Fixação De Eletroduto 3". (Pos 20) Ref.: Blinda Cat. Nº 5008 Ou Similar.</v>
          </cell>
          <cell r="E479" t="str">
            <v>un</v>
          </cell>
          <cell r="F479"/>
          <cell r="G479">
            <v>123.76</v>
          </cell>
          <cell r="H479">
            <v>0</v>
          </cell>
        </row>
        <row r="480">
          <cell r="C480" t="str">
            <v>5.4.3.33</v>
          </cell>
          <cell r="D480" t="str">
            <v>União Macho E Fêmea, Em Ferro Nodular, Para Fixação De Eletroduto 3/4". (Pos 21) Ref.: Blinda Cat. Nº 5002 Ou Similar.</v>
          </cell>
          <cell r="E480" t="str">
            <v>un</v>
          </cell>
          <cell r="F480"/>
          <cell r="G480">
            <v>52.88</v>
          </cell>
          <cell r="H480">
            <v>0</v>
          </cell>
        </row>
        <row r="481">
          <cell r="C481" t="str">
            <v>5.4.3.34</v>
          </cell>
          <cell r="D481" t="str">
            <v>Bucha De Redução Em Ferro Ondular Com Roscas Bsp Para Eletrodutos 1.1/2" X 3/4". (Pos 22) Ref.: Blinda Cat. Nº 6070/52 Ou Similar.</v>
          </cell>
          <cell r="E481" t="str">
            <v>un</v>
          </cell>
          <cell r="F481"/>
          <cell r="G481">
            <v>12.37</v>
          </cell>
          <cell r="H481">
            <v>0</v>
          </cell>
        </row>
        <row r="482">
          <cell r="C482" t="str">
            <v>5.4.3.35</v>
          </cell>
          <cell r="D482" t="str">
            <v>Condulete Tipo "T", Alumínio À Prova De Tempo, Gases, Vapores E Pó Para Entrada De Eletroduto 1.1/2" Rosca Bsp. (Pos 23) Ref.: Blinda Cat. Nº T-50 Ou Similar.</v>
          </cell>
          <cell r="E482" t="str">
            <v>un</v>
          </cell>
          <cell r="F482"/>
          <cell r="G482">
            <v>22.85</v>
          </cell>
          <cell r="H482">
            <v>0</v>
          </cell>
        </row>
        <row r="483">
          <cell r="C483" t="str">
            <v>5.4.3.36</v>
          </cell>
          <cell r="D483" t="str">
            <v>Eletroduto Flexível A Prova De Tempo Em Tubo Metálico Flexível Revestido De Polivinyl Clorídrico, Extremidades Com Terminais De Latão Rosca Bsp Para Eletroduto 3" (L = 1,00 M). (Pos 24) Ref.: Blinda Cat. Nº 7000 Mm-6 Ou Similar</v>
          </cell>
          <cell r="E483" t="str">
            <v>un</v>
          </cell>
          <cell r="F483"/>
          <cell r="G483">
            <v>84.72</v>
          </cell>
          <cell r="H483">
            <v>0</v>
          </cell>
        </row>
        <row r="484">
          <cell r="C484" t="str">
            <v>5.4.3.37</v>
          </cell>
          <cell r="D484" t="str">
            <v>Eletroduto Flexível A Prova De Tempo Em Tubo Metálico Flexível Revestido De Polivinyl Clorídrico, Extremidades Com Terminais De Latão Rosca Bsp Para Eletroduto 3/4" (L = 1,00 M). (Pos 25)Ref.: Blinda Cat. Nº 7000 Mm-2 Ou Similar</v>
          </cell>
          <cell r="E484" t="str">
            <v>un</v>
          </cell>
          <cell r="F484"/>
          <cell r="G484">
            <v>15.81</v>
          </cell>
          <cell r="H484">
            <v>0</v>
          </cell>
        </row>
        <row r="485">
          <cell r="C485" t="str">
            <v>5.4.3.38</v>
          </cell>
          <cell r="D485" t="str">
            <v>Arruela Oitavada Em Ferro Galvanizado Rosca Bsp Para Eletroduto 3" - Pos 26 Ref.: Blinda Cat. Nº 4616 Ou Similar</v>
          </cell>
          <cell r="E485" t="str">
            <v>un</v>
          </cell>
          <cell r="F485"/>
          <cell r="G485">
            <v>4.38</v>
          </cell>
          <cell r="H485">
            <v>0</v>
          </cell>
        </row>
        <row r="486">
          <cell r="C486" t="str">
            <v>5.4.3.39</v>
          </cell>
          <cell r="D486" t="str">
            <v>Arruela Sextavada Em Ferro Galvanizado Rosca Bsp Para Eletroduto 2/4 Pol - Pos 27 Ref.: Blinda Cat. Nº 4612 Ou Similar</v>
          </cell>
          <cell r="E486" t="str">
            <v>un</v>
          </cell>
          <cell r="F486"/>
          <cell r="G486">
            <v>3.62</v>
          </cell>
          <cell r="H486">
            <v>0</v>
          </cell>
        </row>
        <row r="487">
          <cell r="C487" t="str">
            <v>5.4.3.40</v>
          </cell>
          <cell r="D487" t="str">
            <v>Bucha De Baquelite Oitavada Para Eletroduto 3" Rosca Bsp. Ref.: Blinda Cat. Nº 4706 Ou Similar.</v>
          </cell>
          <cell r="E487" t="str">
            <v>un</v>
          </cell>
          <cell r="F487"/>
          <cell r="G487">
            <v>4.38</v>
          </cell>
          <cell r="H487">
            <v>0</v>
          </cell>
        </row>
        <row r="488">
          <cell r="C488" t="str">
            <v>5.4.3.41</v>
          </cell>
          <cell r="D488" t="str">
            <v>Bucha De Baquelite Oitavada Para Eletroduto 3/4" Rosca Bsp. Ref.: Blinda Cat. Nº 4702 Ou Similar.</v>
          </cell>
          <cell r="E488" t="str">
            <v>un</v>
          </cell>
          <cell r="F488"/>
          <cell r="G488">
            <v>0.95</v>
          </cell>
          <cell r="H488">
            <v>0</v>
          </cell>
        </row>
        <row r="489">
          <cell r="C489" t="str">
            <v>5.4.3.42</v>
          </cell>
          <cell r="D489" t="str">
            <v>Luva De Ferro Galvanizado Para Eletroduto 3" Roscas Internas Ref.: Blinda Cat. Nº 4888 Ou Similar.</v>
          </cell>
          <cell r="E489" t="str">
            <v>un</v>
          </cell>
          <cell r="F489"/>
          <cell r="G489">
            <v>9.6999999999999993</v>
          </cell>
          <cell r="H489">
            <v>0</v>
          </cell>
        </row>
        <row r="490">
          <cell r="C490" t="str">
            <v>5.4.3.43</v>
          </cell>
          <cell r="D490" t="str">
            <v>Suporte Metálico Para Montagem De Botoeira De Comando Das Bombas Conforme Detalhe "G" Do Des. (Pos 31)</v>
          </cell>
          <cell r="E490" t="str">
            <v>un</v>
          </cell>
          <cell r="F490"/>
          <cell r="G490">
            <v>28.57</v>
          </cell>
          <cell r="H490">
            <v>0</v>
          </cell>
        </row>
        <row r="491">
          <cell r="C491" t="str">
            <v>5.4.3.44</v>
          </cell>
          <cell r="D491" t="str">
            <v>Parafuso De Aço Carbono Diâmetro 6 X 30 Mm Com Cabeça Sextavada Rosca Bsp Total, Porca E Arruela Lisa. (Pos 32)</v>
          </cell>
          <cell r="E491" t="str">
            <v>un</v>
          </cell>
          <cell r="F491"/>
          <cell r="G491">
            <v>6.85</v>
          </cell>
          <cell r="H491">
            <v>0</v>
          </cell>
        </row>
        <row r="492">
          <cell r="C492" t="str">
            <v>5.4.3.45</v>
          </cell>
          <cell r="D492" t="str">
            <v>Botoeira Liga/Desliga, Para 10 A, 500 V, Montada Em Caixa De Alumínio Fundido À Prova De Tempo, Unidade, Gases, Vapores, E Pós (Nec-Classes Ii E Iii) Entrada Rosqueada 3/4" Bsp. (Pos 33) Ref.: Tipo R-80 Peterco Ou Similar.</v>
          </cell>
          <cell r="E492" t="str">
            <v>un</v>
          </cell>
          <cell r="F492"/>
          <cell r="G492">
            <v>156.12</v>
          </cell>
          <cell r="H492">
            <v>0</v>
          </cell>
        </row>
        <row r="493">
          <cell r="C493" t="str">
            <v>5.4.3.46</v>
          </cell>
          <cell r="D493" t="str">
            <v>Arame De Aço Galvanizado Nº 12 Bwg. (Pos 34)</v>
          </cell>
          <cell r="E493" t="str">
            <v>m</v>
          </cell>
          <cell r="F493"/>
          <cell r="G493">
            <v>0.06</v>
          </cell>
          <cell r="H493">
            <v>0</v>
          </cell>
        </row>
        <row r="494">
          <cell r="C494" t="str">
            <v>5.4.3.47</v>
          </cell>
          <cell r="D494" t="str">
            <v>Curva 90º De Aço Galvanizado Sem Costura, Raio Longo, Para Ligação Em Eletroduto 4" Rosca Bsp. (Pos 35) Ref.: Blinda Ou Similar</v>
          </cell>
          <cell r="E494" t="str">
            <v>un</v>
          </cell>
          <cell r="F494"/>
          <cell r="G494">
            <v>79.959999999999994</v>
          </cell>
          <cell r="H494">
            <v>0</v>
          </cell>
        </row>
        <row r="495">
          <cell r="C495" t="str">
            <v>5.4.3.48</v>
          </cell>
          <cell r="D495" t="str">
            <v>Curva 90º De Aço Galvanizado Sem Costura, Raio Longo, Para Ligação Em Eletroduto 2" Rosca Bsp. (Pos 36) Ref.: Blinda Cat. Nº 4826 Ou Similar</v>
          </cell>
          <cell r="E495" t="str">
            <v>un</v>
          </cell>
          <cell r="F495"/>
          <cell r="G495">
            <v>55.78</v>
          </cell>
          <cell r="H495">
            <v>0</v>
          </cell>
        </row>
        <row r="496">
          <cell r="C496" t="str">
            <v>5.4.3.49</v>
          </cell>
          <cell r="D496" t="str">
            <v>Bucha Terminal Aterrada Em Ferro Galvanizado, Oitavada Para Eletroduto 4"- Pos 37 Ref.: Blinda Ou Similar.</v>
          </cell>
          <cell r="E496" t="str">
            <v>un</v>
          </cell>
          <cell r="F496"/>
          <cell r="G496">
            <v>7.23</v>
          </cell>
          <cell r="H496">
            <v>0</v>
          </cell>
        </row>
        <row r="497">
          <cell r="C497" t="str">
            <v>5.4.3.50</v>
          </cell>
          <cell r="D497" t="str">
            <v>Bucha Terminal Aterrada Em Ferro Galvanizado, Oitavada Para Eletroduto 2"- Pos 38 Ref.: Blinda Cat. Nº 4736 Ou Similar.</v>
          </cell>
          <cell r="E497" t="str">
            <v>un</v>
          </cell>
          <cell r="F497"/>
          <cell r="G497">
            <v>5.52</v>
          </cell>
          <cell r="H497">
            <v>0</v>
          </cell>
        </row>
        <row r="498">
          <cell r="C498" t="str">
            <v>5.4.3.51</v>
          </cell>
          <cell r="D498" t="str">
            <v>Bucha Terminal Aterrada Em Ferro Galvanizado, Oitavada Para Eletroduto 1/2"- Pos 39 Ref.: Blinda Cat. Nº 4745 Ou Similar.</v>
          </cell>
          <cell r="E498" t="str">
            <v>un</v>
          </cell>
          <cell r="F498"/>
          <cell r="G498">
            <v>0.56999999999999995</v>
          </cell>
          <cell r="H498">
            <v>0</v>
          </cell>
        </row>
        <row r="499">
          <cell r="C499" t="str">
            <v>5.4.3.52</v>
          </cell>
          <cell r="D499" t="str">
            <v>Luva Em Ferro Galvanizado Para Eletroduto 3" Rosca Bsp, (Pos 40) Ref.; Blinda Ou Similar</v>
          </cell>
          <cell r="E499" t="str">
            <v>un</v>
          </cell>
          <cell r="F499"/>
          <cell r="G499">
            <v>9.14</v>
          </cell>
          <cell r="H499">
            <v>0</v>
          </cell>
        </row>
        <row r="500">
          <cell r="C500" t="str">
            <v>5.4.3.53</v>
          </cell>
          <cell r="D500" t="str">
            <v>Luva Em Ferro Galvanizado Para Eletroduto 1.1/2" Rosca Bsp. (Pos 41) Ref.; Blinda Cat. Nº 4885 Ou Similar</v>
          </cell>
          <cell r="E500" t="str">
            <v>un</v>
          </cell>
          <cell r="F500"/>
          <cell r="G500">
            <v>5.32</v>
          </cell>
          <cell r="H500">
            <v>0</v>
          </cell>
        </row>
        <row r="501">
          <cell r="C501" t="str">
            <v>5.4.3.54</v>
          </cell>
          <cell r="D501" t="str">
            <v>Bucha De Baquelite Oitavado Para Eletroduto 3", Rosca Bsp. (Pos 42) Ref.: Blinda Cat. Nº 4708 Ou Similar.</v>
          </cell>
          <cell r="E501" t="str">
            <v>un</v>
          </cell>
          <cell r="F501"/>
          <cell r="G501">
            <v>18.260000000000002</v>
          </cell>
          <cell r="H501">
            <v>0</v>
          </cell>
        </row>
        <row r="502">
          <cell r="C502" t="str">
            <v>5.4.3.55</v>
          </cell>
          <cell r="D502" t="str">
            <v>Tirante De Aço Galvanizado A Fogo 5/8" X 500 Mm, Com 150 Mm De Rosca "Ww" Nas Extremidades, 2 Porcas Maq., 2 Sext. E 4 Arruelas Lisas (Pos 43) Ref.: Sisa Tipo Srs-510-6 Ou Similar.</v>
          </cell>
          <cell r="E502" t="str">
            <v>un</v>
          </cell>
          <cell r="F502"/>
          <cell r="G502">
            <v>28.57</v>
          </cell>
          <cell r="H502">
            <v>0</v>
          </cell>
        </row>
        <row r="503">
          <cell r="C503" t="str">
            <v>5.4.3.56</v>
          </cell>
          <cell r="D503" t="str">
            <v>Haste De Aterramento, C/Núcleo De Aço Carbono Sae 1045 Revestido De Cobre Eletrolítico 3/4" E 3 M Comprimento. (Pos 44) Ref.: Burndy Cat. Nº Gcwr 19L30 Ou Similar.</v>
          </cell>
          <cell r="E503" t="str">
            <v>un</v>
          </cell>
          <cell r="F503"/>
          <cell r="G503">
            <v>71.69</v>
          </cell>
          <cell r="H503">
            <v>0</v>
          </cell>
        </row>
        <row r="504">
          <cell r="C504" t="str">
            <v>5.4.3.57</v>
          </cell>
          <cell r="D504" t="str">
            <v>Braçadeira Reforçada Em Ferro Galvanizado Para Fixação De Eletroduto 2"(Pos 45) Ref.: Peterco Cat. Nº Cp-17/66 Ou Similar</v>
          </cell>
          <cell r="E504" t="str">
            <v>un</v>
          </cell>
          <cell r="F504"/>
          <cell r="G504">
            <v>11.98</v>
          </cell>
          <cell r="H504">
            <v>0</v>
          </cell>
        </row>
        <row r="505">
          <cell r="C505" t="str">
            <v>5.4.3.58</v>
          </cell>
          <cell r="D505" t="str">
            <v>Parafuso De Aço Galvanizado 3/8" X 1" Cabeça Sextavada, Rosca W Total, Porca E Arruela (Pos 46) Ref.: Mannesman Ou Similar.</v>
          </cell>
          <cell r="E505" t="str">
            <v>un</v>
          </cell>
          <cell r="F505"/>
          <cell r="G505">
            <v>2.1</v>
          </cell>
          <cell r="H505">
            <v>0</v>
          </cell>
        </row>
        <row r="506">
          <cell r="C506" t="str">
            <v>5.4.3.59</v>
          </cell>
          <cell r="D506" t="str">
            <v>Manilha De Barro Vidrado, Tipo Ponta E Bolsa De Comprimento Total 600Mm E 300Mm P/Proteção Haste</v>
          </cell>
          <cell r="E506" t="str">
            <v>un</v>
          </cell>
          <cell r="F506"/>
          <cell r="G506">
            <v>238</v>
          </cell>
          <cell r="H506">
            <v>0</v>
          </cell>
        </row>
        <row r="507">
          <cell r="C507" t="str">
            <v>5.4.3.60</v>
          </cell>
          <cell r="D507" t="str">
            <v>Conector Terminal De Bronze Estanhado Com 1 Furo Nema Para Cabo De Cobre 25 Mm2, Fornecido Com Parafuso Porca E Arruela Para Fixação Em Superfície Plana De 1/4" De Espessura, Aço Galvanizado (Pos 50)</v>
          </cell>
          <cell r="E507" t="str">
            <v>un</v>
          </cell>
          <cell r="F507"/>
          <cell r="G507">
            <v>1.9</v>
          </cell>
          <cell r="H507">
            <v>0</v>
          </cell>
        </row>
        <row r="508">
          <cell r="C508" t="str">
            <v>5.4.3.61</v>
          </cell>
          <cell r="D508" t="str">
            <v>Molde De Grafite, Tipo Padrão Para Conexão Soldada Em "T" De  Cabos De Cobre Nú 70 Mm2 Na Passagem E Derivação. (Pos 51) Ref.: Cadweld Cat. Nº Tac  Y4Y4 Ou Similar.</v>
          </cell>
          <cell r="E508" t="str">
            <v>un</v>
          </cell>
          <cell r="F508"/>
          <cell r="G508">
            <v>158.59</v>
          </cell>
          <cell r="H508">
            <v>0</v>
          </cell>
        </row>
        <row r="509">
          <cell r="C509" t="str">
            <v>5.4.3.62</v>
          </cell>
          <cell r="D509" t="str">
            <v>Molde De Grafite, Tipo Padrão Para Conexão Soldada Em "T" De Cabos De Cobre Nú 70 Mm2 Na Passagem, 25 Mm2 Na Derivação. (Pos 52) Ref.: Cadweld Cat. Nº Tab  Y4Y1 Ou Similar.</v>
          </cell>
          <cell r="E509" t="str">
            <v>un</v>
          </cell>
          <cell r="F509"/>
          <cell r="G509">
            <v>88.15</v>
          </cell>
          <cell r="H509">
            <v>0</v>
          </cell>
        </row>
        <row r="510">
          <cell r="C510" t="str">
            <v>5.4.3.63</v>
          </cell>
          <cell r="D510" t="str">
            <v>Conector Paralelo, Aparafusado Liga De Cobre Para Conexão De Dois Cabos De Cobre Nú 70 Mm2. (Pos 53) Ref.: Burndy Cat. Nº Ks28 Ou Similar.</v>
          </cell>
          <cell r="E510" t="str">
            <v>un</v>
          </cell>
          <cell r="F510"/>
          <cell r="G510">
            <v>7.99</v>
          </cell>
          <cell r="H510">
            <v>0</v>
          </cell>
        </row>
        <row r="511">
          <cell r="C511" t="str">
            <v>5.4.3.64</v>
          </cell>
          <cell r="D511" t="str">
            <v>Conector Paralelo, Aparafusado Liga De Cobre Para Conexão Dois Cabos De Cobre Nú 25 Mm2. (Pos 53) Ref.: Burndy Cat. Nº Ks22 Ou Similar.</v>
          </cell>
          <cell r="E511" t="str">
            <v>un</v>
          </cell>
          <cell r="F511"/>
          <cell r="G511">
            <v>3.62</v>
          </cell>
          <cell r="H511">
            <v>0</v>
          </cell>
        </row>
        <row r="512">
          <cell r="C512" t="str">
            <v>5.4.3.65</v>
          </cell>
          <cell r="D512" t="str">
            <v>Conector Paralelo, Aparafusado Liga De Cobre, Para Ligar Dois Cabos De Cobre Nú 70 Mm2 Na Passagem E 25 Mm2 Na  Derivação. (Pos 55) Ref.; Burndy Ks25 Ou Similar</v>
          </cell>
          <cell r="E512" t="str">
            <v>un</v>
          </cell>
          <cell r="F512"/>
          <cell r="G512">
            <v>7.99</v>
          </cell>
          <cell r="H512">
            <v>0</v>
          </cell>
        </row>
        <row r="513">
          <cell r="C513" t="str">
            <v>5.4.3.67</v>
          </cell>
          <cell r="D513" t="str">
            <v>Gancho Com Bola, Aço Forjado Galvanizado A Fogo Carga De Ruptura 6000 Kg. (Pos 56) Ref.; Sade.</v>
          </cell>
          <cell r="E513" t="str">
            <v>un</v>
          </cell>
          <cell r="F513"/>
          <cell r="G513">
            <v>43.78</v>
          </cell>
          <cell r="H513">
            <v>0</v>
          </cell>
        </row>
        <row r="514">
          <cell r="C514" t="str">
            <v>5.4.3.68</v>
          </cell>
          <cell r="D514" t="str">
            <v>Eletroduto Rígido De Aço Galvanizado, Com Costura, Classe Pesada, Rosca Bsp 2", Em Varas De 3 Metros, Com Uma Luva Em Uma Das Extremidades E Um Protetor Para Rosca Na Outra.  (Pos 68) Ref.: Apolo Ou Similar.</v>
          </cell>
          <cell r="E514" t="str">
            <v>vara</v>
          </cell>
          <cell r="F514"/>
          <cell r="G514">
            <v>50.07</v>
          </cell>
          <cell r="H514">
            <v>0</v>
          </cell>
        </row>
        <row r="515">
          <cell r="C515" t="str">
            <v>5.4.3.69</v>
          </cell>
          <cell r="D515" t="str">
            <v>Terminal Enfaixado 15 Kv. (Pos 69) Ref.: Tipo Tx-20.150 E Da Pirelli Ou Similar.</v>
          </cell>
          <cell r="E515" t="str">
            <v>un</v>
          </cell>
          <cell r="F515"/>
          <cell r="G515">
            <v>54.44</v>
          </cell>
          <cell r="H515">
            <v>0</v>
          </cell>
        </row>
        <row r="516">
          <cell r="C516" t="str">
            <v>5.4.3.70</v>
          </cell>
          <cell r="D516" t="str">
            <v>Cantoneira 2"/2" X 280 Mm De Aço Galvanizado. (Pos 70) Ref.: Siderúrgica Nacional Ou Similar.</v>
          </cell>
          <cell r="E516" t="str">
            <v>un</v>
          </cell>
          <cell r="F516"/>
          <cell r="G516">
            <v>11.43</v>
          </cell>
          <cell r="H516">
            <v>0</v>
          </cell>
        </row>
        <row r="517">
          <cell r="C517" t="str">
            <v>5.4.3.71</v>
          </cell>
          <cell r="D517" t="str">
            <v>Tirante De Aço Galvanizado A Fogo 1/2" X 240 Mm, Com 40 Mm De Rosca Ww Nas Extremidades, Com 4 Porcas Sextavadas E 2 Arruelas Lisas. (Pos 71) Ref.: Sisa Tipo Srs 5/10-5 Ou Similar.</v>
          </cell>
          <cell r="E517" t="str">
            <v>un</v>
          </cell>
          <cell r="F517"/>
          <cell r="G517">
            <v>22.86</v>
          </cell>
          <cell r="H517">
            <v>0</v>
          </cell>
        </row>
        <row r="518">
          <cell r="C518" t="str">
            <v>5.4.3.72</v>
          </cell>
          <cell r="D518" t="str">
            <v>Parafuso Cabeça Sext. 1/2" X 2", Aço Galvanizado, Rosca "Ww" Total, Com Porca Sext. E Arruela Lisa. (Pos 72) Ref.: Sisa Tipo Srs-579-92 Ou Similar</v>
          </cell>
          <cell r="E518" t="str">
            <v>un</v>
          </cell>
          <cell r="F518"/>
          <cell r="G518">
            <v>10.08</v>
          </cell>
          <cell r="H518">
            <v>0</v>
          </cell>
        </row>
        <row r="519">
          <cell r="C519" t="str">
            <v>5.4.3.73</v>
          </cell>
          <cell r="D519" t="str">
            <v>Parafuso De Máquina, Aço Galvanizado Sae-1020 A Fogo 5/8" X 350 Mm Com Rosca Ww De 150 Mm, Porca E 2 Arruelas. (Pos 73)Ref.: Sade Tipo Pm-24 Ou Similar.</v>
          </cell>
          <cell r="E519" t="str">
            <v>un</v>
          </cell>
          <cell r="F519"/>
          <cell r="G519">
            <v>10.08</v>
          </cell>
          <cell r="H519">
            <v>0</v>
          </cell>
        </row>
        <row r="520">
          <cell r="C520" t="str">
            <v>5.4.3.74</v>
          </cell>
          <cell r="D520" t="str">
            <v>Cartucho De Polietileno Com Carga, Para Conexão Soldada Tamanho Nº 90. (Pos 74) Ref.: Cadweld Ou Similar.</v>
          </cell>
          <cell r="E520" t="str">
            <v>un</v>
          </cell>
          <cell r="F520"/>
          <cell r="G520">
            <v>11.98</v>
          </cell>
          <cell r="H520">
            <v>0</v>
          </cell>
        </row>
        <row r="521">
          <cell r="C521" t="str">
            <v>5.4.3.75</v>
          </cell>
          <cell r="D521" t="str">
            <v>Cartucho De Polietileno Com Carga, Para Conexão Soldada Tamanho 32 (Pos 75) Ref.: Cadweld Ou Similar.</v>
          </cell>
          <cell r="E521" t="str">
            <v>un</v>
          </cell>
          <cell r="F521"/>
          <cell r="G521">
            <v>11.98</v>
          </cell>
          <cell r="H521">
            <v>0</v>
          </cell>
        </row>
        <row r="522">
          <cell r="C522" t="str">
            <v>5.4.3.76</v>
          </cell>
          <cell r="D522" t="str">
            <v>Caixa Com Conjunto De Ferramentas Para Conexões Soldadas. Ref.: Cadweld Tipo T-315 Ou Similar. (Pos 76)</v>
          </cell>
          <cell r="E522" t="str">
            <v>cx</v>
          </cell>
          <cell r="F522"/>
          <cell r="G522">
            <v>495.02</v>
          </cell>
          <cell r="H522">
            <v>0</v>
          </cell>
        </row>
        <row r="523">
          <cell r="C523" t="str">
            <v>5.4.3.77</v>
          </cell>
          <cell r="D523" t="str">
            <v>Alicate Para Abrir E Fechar Os Moldes E Grampo Fixador. (Pos 77) Ref.: Cadweld Tipos E-Z, T-160, T-320-A, T-321, T-318, T-317, Ou Similar</v>
          </cell>
          <cell r="E523" t="str">
            <v>un</v>
          </cell>
          <cell r="F523"/>
          <cell r="G523">
            <v>291.29000000000002</v>
          </cell>
          <cell r="H523">
            <v>0</v>
          </cell>
        </row>
        <row r="524">
          <cell r="C524" t="str">
            <v>5.4.3.78</v>
          </cell>
          <cell r="D524" t="str">
            <v>Terminal Enfaixado 15 Kv. (Pos 78) Ref.: Tipo Tx 20.70 E Da Pirelli Ou Similar.</v>
          </cell>
          <cell r="E524" t="str">
            <v>un</v>
          </cell>
          <cell r="F524"/>
          <cell r="G524">
            <v>1142.3699999999999</v>
          </cell>
          <cell r="H524">
            <v>0</v>
          </cell>
        </row>
        <row r="525">
          <cell r="C525" t="str">
            <v>5.4.3.79</v>
          </cell>
          <cell r="D525" t="str">
            <v>Prateleira Para Cabos Comprimento Por Peça De 3,0 M. (Pos 79) Ref.: Tipo Srs-500-3 Da Sisa Ou Similar.</v>
          </cell>
          <cell r="E525" t="str">
            <v>un</v>
          </cell>
          <cell r="F525"/>
          <cell r="G525">
            <v>666.38</v>
          </cell>
          <cell r="H525">
            <v>0</v>
          </cell>
        </row>
        <row r="526">
          <cell r="C526" t="str">
            <v>5.4.3.80</v>
          </cell>
          <cell r="D526" t="str">
            <v>Curva Vertical Externa 90º. (Pos 80) Ref.: Tipo Srs-508-3 Da Sisa Ou Similar.</v>
          </cell>
          <cell r="E526" t="str">
            <v>un</v>
          </cell>
          <cell r="F526"/>
          <cell r="G526">
            <v>43.4</v>
          </cell>
          <cell r="H526">
            <v>0</v>
          </cell>
        </row>
        <row r="527">
          <cell r="C527" t="str">
            <v>5.4.3.81</v>
          </cell>
          <cell r="D527" t="str">
            <v>Curva Vertical Interna 90º. (Pos 81) Ref.: Srs-514-3 Da Sisa Ou Similar.</v>
          </cell>
          <cell r="E527" t="str">
            <v>un</v>
          </cell>
          <cell r="F527"/>
          <cell r="G527">
            <v>40.549999999999997</v>
          </cell>
          <cell r="H527">
            <v>0</v>
          </cell>
        </row>
        <row r="528">
          <cell r="C528" t="str">
            <v>5.4.3.82</v>
          </cell>
          <cell r="D528" t="str">
            <v>Junção Simples .(Pos 82) Ref.: Tipo Srs 326 Da Sisa Ou Similar.</v>
          </cell>
          <cell r="E528" t="str">
            <v>un</v>
          </cell>
          <cell r="F528"/>
          <cell r="G528">
            <v>35.979999999999997</v>
          </cell>
          <cell r="H528">
            <v>0</v>
          </cell>
        </row>
        <row r="529">
          <cell r="C529" t="str">
            <v>5.4.3.83</v>
          </cell>
          <cell r="D529" t="str">
            <v>Junção 90º. (Pos 83)Ref.: Srs-327 Da Sisa Ou Similar.</v>
          </cell>
          <cell r="E529" t="str">
            <v>un</v>
          </cell>
          <cell r="F529"/>
          <cell r="G529">
            <v>34.840000000000003</v>
          </cell>
          <cell r="H529">
            <v>0</v>
          </cell>
        </row>
        <row r="530">
          <cell r="C530" t="str">
            <v>5.4.3.84</v>
          </cell>
          <cell r="D530" t="str">
            <v>Mensula  Simples. (Pos 84) Ref.: Srs-553 Da Sisa Ou Similar.</v>
          </cell>
          <cell r="E530" t="str">
            <v>un</v>
          </cell>
          <cell r="F530"/>
          <cell r="G530">
            <v>47.59</v>
          </cell>
          <cell r="H530">
            <v>0</v>
          </cell>
        </row>
        <row r="531">
          <cell r="C531" t="str">
            <v>5.4.3.85</v>
          </cell>
          <cell r="D531" t="str">
            <v>Poste Telescópico Curvo, Fornecido Com Base Para Fixação E Furo 25" Mm E Com Comprimento Nominal De 10,00 M. Ref.: Peterco K-98/100 Ou Similar.</v>
          </cell>
          <cell r="E531" t="str">
            <v>un</v>
          </cell>
          <cell r="F531"/>
          <cell r="G531">
            <v>1066.21</v>
          </cell>
          <cell r="H531">
            <v>0</v>
          </cell>
        </row>
        <row r="532">
          <cell r="C532" t="str">
            <v>5.4.3.86</v>
          </cell>
          <cell r="D532" t="str">
            <v>Aparelho De Iluminação, Pescoço De Alumínio Fundido, Refletor Estampado Em Chapa De Alumínio, Para Lâmpada Mista De 500 W, 220 V. Ref.: Peterco X-21/5 Ou Similar.</v>
          </cell>
          <cell r="E532" t="str">
            <v>un</v>
          </cell>
          <cell r="F532"/>
          <cell r="G532">
            <v>120.33</v>
          </cell>
          <cell r="H532">
            <v>0</v>
          </cell>
        </row>
        <row r="533">
          <cell r="C533" t="str">
            <v>5.4.3.87</v>
          </cell>
          <cell r="D533" t="str">
            <v>Lâmpada Mista, Base E-40, 500 W, 220 V. Ref.: Phillips Ou Similar.</v>
          </cell>
          <cell r="E533" t="str">
            <v>un</v>
          </cell>
          <cell r="F533"/>
          <cell r="G533">
            <v>45.3</v>
          </cell>
          <cell r="H533">
            <v>0</v>
          </cell>
        </row>
        <row r="534">
          <cell r="C534" t="str">
            <v>5.4.3.88</v>
          </cell>
          <cell r="D534" t="str">
            <v>Base Aberta Tipo 5Sf 102 Com Fusível 6A, 500 V. Ref.: Siemens Tipo 5Sb 231 Ou Similar.</v>
          </cell>
          <cell r="E534" t="str">
            <v>un</v>
          </cell>
          <cell r="F534"/>
          <cell r="G534">
            <v>49.51</v>
          </cell>
          <cell r="H534">
            <v>0</v>
          </cell>
        </row>
        <row r="535">
          <cell r="C535" t="str">
            <v>5.4.3.89</v>
          </cell>
          <cell r="D535" t="str">
            <v>Eletroduto Rígido, Aço Galvanizado Com Costura Classe Pesada, Rosca Bsp, 3/4", Fornecido Em Varas No Comprimento De 3 (Três) M Com Uma Luva Em Uma Das Extremidades E Um Protetor Para Rosca Na Outra. Ref.: Apolo Ou Similar.</v>
          </cell>
          <cell r="E535" t="str">
            <v>un</v>
          </cell>
          <cell r="F535"/>
          <cell r="G535">
            <v>15.81</v>
          </cell>
          <cell r="H535">
            <v>0</v>
          </cell>
        </row>
        <row r="536">
          <cell r="C536" t="str">
            <v>5.4.3.90</v>
          </cell>
          <cell r="D536" t="str">
            <v>Eletroduto Rígido, Aço Galvanizado Com Costura Classe Pesada, Rosca Bsp, 1", Fornecido Em Varas No Comprimento De 3 (Três) M Com Uma Luva Em Uma Das Extremidades E Um Protetor Para Rosca Na Outra. Ref.: Apolo Ou Similar.</v>
          </cell>
          <cell r="E536" t="str">
            <v>un</v>
          </cell>
          <cell r="F536"/>
          <cell r="G536">
            <v>21.13</v>
          </cell>
          <cell r="H536">
            <v>0</v>
          </cell>
        </row>
        <row r="537">
          <cell r="C537" t="str">
            <v>5.4.3.91</v>
          </cell>
          <cell r="D537" t="str">
            <v>Bucha Terminal Sextavada, Ferro Galvanizado, Com Terminal De Terra Para Eletroduto 3/4", Rosca Bsp. Ref.: Blinda Cat. Nº 4732 Tipo Bu/T Ou Similar.</v>
          </cell>
          <cell r="E537" t="str">
            <v>un</v>
          </cell>
          <cell r="F537"/>
          <cell r="G537">
            <v>0.47</v>
          </cell>
          <cell r="H537">
            <v>0</v>
          </cell>
        </row>
        <row r="538">
          <cell r="C538" t="str">
            <v>5.4.3.92</v>
          </cell>
          <cell r="D538" t="str">
            <v>Bucha Terminal Sextavada, Ferro Galvanizado, Com Terminal De Terra Para Eletroduto 1", Rosca Bsp. Ref.: Blinda Cat. Nº 4733 Ou Similar.</v>
          </cell>
          <cell r="E538" t="str">
            <v>un</v>
          </cell>
          <cell r="F538"/>
          <cell r="G538">
            <v>0.56999999999999995</v>
          </cell>
          <cell r="H538">
            <v>0</v>
          </cell>
        </row>
        <row r="539">
          <cell r="C539" t="str">
            <v>5.4.3.93</v>
          </cell>
          <cell r="D539" t="str">
            <v>Relé Fotoelétrico-Magnético, 220 V, Estabilizador Contra As Radiações Ultravioletas, Resistentes Às Intempéries, Choques Térmicos E Mecânicos. Ref.; Tecnowatt Rm-10 Ou Similar.</v>
          </cell>
          <cell r="E539" t="str">
            <v>un</v>
          </cell>
          <cell r="F539"/>
          <cell r="G539">
            <v>36.729999999999997</v>
          </cell>
          <cell r="H539">
            <v>0</v>
          </cell>
        </row>
        <row r="540">
          <cell r="C540" t="str">
            <v>5.4.3.94</v>
          </cell>
          <cell r="D540" t="str">
            <v>Barra Chata De Cobre Eletrolítico, Estanhado De 2" X 1/4" X 23 Cm, Conforme Detalhe "C" Do Desenho Rgu-024-218. Ref.: Burndy Ou Similar.</v>
          </cell>
          <cell r="E540" t="str">
            <v>un</v>
          </cell>
          <cell r="F540"/>
          <cell r="G540">
            <v>289.39999999999998</v>
          </cell>
          <cell r="H540">
            <v>0</v>
          </cell>
        </row>
        <row r="541">
          <cell r="C541" t="str">
            <v>5.4.3.95</v>
          </cell>
          <cell r="D541" t="str">
            <v>Parafuso Latão, Cabeça Redonda, Rosca Soberba 1/4" X 45 Mm. Ref.: Sisa Tipo Srs-520-8 Ou Similar.</v>
          </cell>
          <cell r="E541" t="str">
            <v>un</v>
          </cell>
          <cell r="F541"/>
          <cell r="G541">
            <v>2.4700000000000002</v>
          </cell>
          <cell r="H541">
            <v>0</v>
          </cell>
        </row>
        <row r="542">
          <cell r="C542" t="str">
            <v>5.4.3.96</v>
          </cell>
          <cell r="D542" t="str">
            <v>Bucha De Expansão Para Parafuso, Rosca Soberba 1/4" X 45 Mm. Ref.: Sisa Tipo S-8 Código 590-8 Ou Similar.</v>
          </cell>
          <cell r="E542" t="str">
            <v>un</v>
          </cell>
          <cell r="F542"/>
          <cell r="G542">
            <v>4.38</v>
          </cell>
          <cell r="H542">
            <v>0</v>
          </cell>
        </row>
        <row r="543">
          <cell r="C543" t="str">
            <v>5.4.3.97</v>
          </cell>
          <cell r="D543" t="str">
            <v>Arruela Lisa De Latão Para Parafuso, Rosca Soberba 1/4". Ref.: Sisa Cat. Srs-575-3-Lt Ou Similar.</v>
          </cell>
          <cell r="E543" t="str">
            <v>un</v>
          </cell>
          <cell r="F543"/>
          <cell r="G543">
            <v>0.37</v>
          </cell>
          <cell r="H543">
            <v>0</v>
          </cell>
        </row>
        <row r="544">
          <cell r="C544" t="str">
            <v>5.4.3.98</v>
          </cell>
          <cell r="D544" t="str">
            <v>Conector Terminal De Bronze Estampado Para Cabo De Cobre 16 Mm2, Fornecido Com Parafuso, Porca E Arruela Para Fixação Em Superfície Plana De 1/4". Ref.: Burndy Cat. Nº Qa4C-B Ou Similar.</v>
          </cell>
          <cell r="E544" t="str">
            <v>un</v>
          </cell>
          <cell r="F544"/>
          <cell r="G544">
            <v>3.72</v>
          </cell>
          <cell r="H544">
            <v>0</v>
          </cell>
        </row>
        <row r="545">
          <cell r="C545" t="str">
            <v>5.4.3.99</v>
          </cell>
          <cell r="D545" t="str">
            <v>Conector Terminal Para Cabo De Cobre 16 Mm2. Ref.: Burndy Hylug Yav14-T2 Ou Similar.</v>
          </cell>
          <cell r="E545" t="str">
            <v>un</v>
          </cell>
          <cell r="F545"/>
          <cell r="G545">
            <v>3.72</v>
          </cell>
          <cell r="H545">
            <v>0</v>
          </cell>
        </row>
        <row r="546">
          <cell r="C546" t="str">
            <v>5.4.3.100</v>
          </cell>
          <cell r="D546" t="str">
            <v>Conector Paralelo, Aparafusado, Liga De Cobre 16 Mm2 Na Passagem E 10 Mm2 Na Derivação. Ref.: Burndy Cat. Nº Ks20 Ou Similar.</v>
          </cell>
          <cell r="E546" t="str">
            <v>un</v>
          </cell>
          <cell r="F546"/>
          <cell r="G546">
            <v>6.85</v>
          </cell>
          <cell r="H546">
            <v>0</v>
          </cell>
        </row>
        <row r="547">
          <cell r="C547" t="str">
            <v>5.4.3.101</v>
          </cell>
          <cell r="D547" t="str">
            <v>Conector De Bronze Para Ligar Um Cabo De Cobre16 Mm2 E Haste De Terra 3/4".Ref.: Burndy Gar 144C Ou Similar.</v>
          </cell>
          <cell r="E547" t="str">
            <v>un</v>
          </cell>
          <cell r="F547"/>
          <cell r="G547">
            <v>18.09</v>
          </cell>
          <cell r="H547">
            <v>0</v>
          </cell>
        </row>
        <row r="548">
          <cell r="C548" t="str">
            <v>5.4.3.102</v>
          </cell>
          <cell r="D548" t="str">
            <v>Haste De Aterramento, Com Núcleo De Aço Carbono Sae 1045, 'Revestido De Cobre Eletrolítico De Diâmetro 3/4" E 3,0 M De Comprimento. Ref.; Burndy Cat. Nº Gcwr-19L30 Ou Similar.</v>
          </cell>
          <cell r="E548" t="str">
            <v>un</v>
          </cell>
          <cell r="F548"/>
          <cell r="G548">
            <v>84.35</v>
          </cell>
          <cell r="H548">
            <v>0</v>
          </cell>
        </row>
        <row r="549">
          <cell r="C549" t="str">
            <v>5.4.3.103</v>
          </cell>
          <cell r="D549" t="str">
            <v>Manilha De Barro Vidrado, Tipo Ponta E Bolsa, De Comprimento Total 600 Mm E Diâmetro 300 Mm Para Proteção Da Haste De Aterramento. Ref.: Sano Ou Similar.</v>
          </cell>
          <cell r="E549" t="str">
            <v>un</v>
          </cell>
          <cell r="F549"/>
          <cell r="G549">
            <v>106.62</v>
          </cell>
          <cell r="H549">
            <v>0</v>
          </cell>
        </row>
        <row r="550">
          <cell r="C550" t="str">
            <v>5.4.3.104</v>
          </cell>
          <cell r="D550" t="str">
            <v>Abraçadeira Em Ferro Galvanizado Com Furo De 5/16".</v>
          </cell>
          <cell r="E550" t="str">
            <v>un</v>
          </cell>
          <cell r="F550"/>
          <cell r="G550">
            <v>4.75</v>
          </cell>
          <cell r="H550">
            <v>0</v>
          </cell>
        </row>
        <row r="551">
          <cell r="C551" t="str">
            <v>5.4.3.105</v>
          </cell>
          <cell r="D551" t="str">
            <v>Caixa De Ligação Tipo Condulete, A Prova De Tempo, Gases, Vapores E Pó, Em Liga De Alumínio Fundido Com Tampa Estampada De Alumínio, Fixada Por Parafusos, Com Vedação De Junta De Borracha, Nos Seguintes Tipos E Diâmetros:</v>
          </cell>
          <cell r="E551"/>
          <cell r="F551"/>
          <cell r="G551">
            <v>0</v>
          </cell>
          <cell r="H551">
            <v>0</v>
          </cell>
        </row>
        <row r="552">
          <cell r="C552" t="str">
            <v>5.4.3.105.1</v>
          </cell>
          <cell r="D552" t="str">
            <v>Lr - 1.1/2"</v>
          </cell>
          <cell r="E552" t="str">
            <v>un</v>
          </cell>
          <cell r="F552"/>
          <cell r="G552">
            <v>22.85</v>
          </cell>
          <cell r="H552">
            <v>0</v>
          </cell>
        </row>
        <row r="553">
          <cell r="C553" t="str">
            <v>5.4.3.105.2</v>
          </cell>
          <cell r="D553" t="str">
            <v>Ll - 1.1/2"</v>
          </cell>
          <cell r="E553" t="str">
            <v>un</v>
          </cell>
          <cell r="F553"/>
          <cell r="G553">
            <v>22.85</v>
          </cell>
          <cell r="H553">
            <v>0</v>
          </cell>
        </row>
        <row r="554">
          <cell r="C554" t="str">
            <v>5.4.3.105.3</v>
          </cell>
          <cell r="D554" t="str">
            <v>T - 1.1/2"</v>
          </cell>
          <cell r="E554" t="str">
            <v>un</v>
          </cell>
          <cell r="F554"/>
          <cell r="G554">
            <v>22.85</v>
          </cell>
          <cell r="H554">
            <v>0</v>
          </cell>
        </row>
        <row r="555">
          <cell r="C555" t="str">
            <v>5.4.3.105.4</v>
          </cell>
          <cell r="D555" t="str">
            <v>X - 1.1/2"</v>
          </cell>
          <cell r="E555" t="str">
            <v>un</v>
          </cell>
          <cell r="F555"/>
          <cell r="G555">
            <v>22.85</v>
          </cell>
          <cell r="H555">
            <v>0</v>
          </cell>
        </row>
        <row r="556">
          <cell r="C556" t="str">
            <v>5.4.3.105.5</v>
          </cell>
          <cell r="D556" t="str">
            <v>T - 1"</v>
          </cell>
          <cell r="E556" t="str">
            <v>un</v>
          </cell>
          <cell r="F556"/>
          <cell r="G556">
            <v>16.940000000000001</v>
          </cell>
          <cell r="H556">
            <v>0</v>
          </cell>
        </row>
        <row r="557">
          <cell r="C557" t="str">
            <v>5.4.3.105.6</v>
          </cell>
          <cell r="D557" t="str">
            <v>X - 1"</v>
          </cell>
          <cell r="E557" t="str">
            <v>un</v>
          </cell>
          <cell r="F557"/>
          <cell r="G557">
            <v>16.940000000000001</v>
          </cell>
          <cell r="H557">
            <v>0</v>
          </cell>
        </row>
        <row r="558">
          <cell r="C558" t="str">
            <v>5.4.3.105.7</v>
          </cell>
          <cell r="D558" t="str">
            <v>Lr - 3/4"</v>
          </cell>
          <cell r="E558" t="str">
            <v>un</v>
          </cell>
          <cell r="F558"/>
          <cell r="G558">
            <v>11.41</v>
          </cell>
          <cell r="H558">
            <v>0</v>
          </cell>
        </row>
        <row r="559">
          <cell r="C559" t="str">
            <v>5.4.3.105.8</v>
          </cell>
          <cell r="D559" t="str">
            <v>Ll - 3/4"</v>
          </cell>
          <cell r="E559" t="str">
            <v>un</v>
          </cell>
          <cell r="F559"/>
          <cell r="G559">
            <v>11.41</v>
          </cell>
          <cell r="H559">
            <v>0</v>
          </cell>
        </row>
        <row r="560">
          <cell r="C560" t="str">
            <v>5.4.3.105.9</v>
          </cell>
          <cell r="D560" t="str">
            <v>T - 3/4"</v>
          </cell>
          <cell r="E560" t="str">
            <v>un</v>
          </cell>
          <cell r="F560"/>
          <cell r="G560">
            <v>11.41</v>
          </cell>
          <cell r="H560">
            <v>0</v>
          </cell>
        </row>
        <row r="561">
          <cell r="C561" t="str">
            <v>5.4.3.105.10</v>
          </cell>
          <cell r="D561" t="str">
            <v>X - 3/4"</v>
          </cell>
          <cell r="E561" t="str">
            <v>un</v>
          </cell>
          <cell r="F561"/>
          <cell r="G561">
            <v>11.41</v>
          </cell>
          <cell r="H561">
            <v>0</v>
          </cell>
        </row>
        <row r="562">
          <cell r="C562" t="str">
            <v>5.4.3.106</v>
          </cell>
          <cell r="D562" t="str">
            <v>Tampa Para Equipamento Montada Em Petrolet Tipo R 15 - E 22, Com Os Seguintes Equipamentos.</v>
          </cell>
          <cell r="E562" t="str">
            <v>un</v>
          </cell>
          <cell r="F562"/>
          <cell r="G562">
            <v>10.85</v>
          </cell>
          <cell r="H562">
            <v>0</v>
          </cell>
        </row>
        <row r="563">
          <cell r="C563" t="str">
            <v>5.4.3.106.1</v>
          </cell>
          <cell r="D563" t="str">
            <v>1 Interruptor E 1 Tomada 2 Polos 10 A</v>
          </cell>
          <cell r="E563" t="str">
            <v>un</v>
          </cell>
          <cell r="F563"/>
          <cell r="G563">
            <v>26.46</v>
          </cell>
          <cell r="H563">
            <v>0</v>
          </cell>
        </row>
        <row r="564">
          <cell r="C564" t="str">
            <v>5.4.3.106.2</v>
          </cell>
          <cell r="D564" t="str">
            <v>1 Tomada 2 Polos 10 A</v>
          </cell>
          <cell r="E564" t="str">
            <v>un</v>
          </cell>
          <cell r="F564"/>
          <cell r="G564">
            <v>24.41</v>
          </cell>
          <cell r="H564">
            <v>0</v>
          </cell>
        </row>
        <row r="565">
          <cell r="C565" t="str">
            <v>5.4.3.106.2.</v>
          </cell>
          <cell r="D565" t="str">
            <v>Tomada Trifásica, 4 Polos Tipo R -20Tr/430 Montada Em Caixa De Alumínio Fundido, A Prova De Tempo, Da Peterco Ou Similar</v>
          </cell>
          <cell r="E565" t="str">
            <v>un</v>
          </cell>
          <cell r="F565"/>
          <cell r="G565">
            <v>257.8</v>
          </cell>
          <cell r="H565">
            <v>0</v>
          </cell>
        </row>
        <row r="566">
          <cell r="C566" t="str">
            <v>5.4.3.107</v>
          </cell>
          <cell r="D566" t="str">
            <v>Aparelho Para Iluminação, Corpo Em Chapa De Aço Esmaltado A Fogo Para Duas Lâmpadas Fluorescente De 40 W, 220 V, Com Lâmpadas E Reator Duplo De Partida Rápida, Alto Fator De Potência E Soquetes Antivibratórios.</v>
          </cell>
          <cell r="E566" t="str">
            <v>un</v>
          </cell>
          <cell r="F566"/>
          <cell r="G566">
            <v>82.63</v>
          </cell>
          <cell r="H566">
            <v>0</v>
          </cell>
        </row>
        <row r="567">
          <cell r="C567" t="str">
            <v>5.4.3.108</v>
          </cell>
          <cell r="D567" t="str">
            <v>Aparelho Para Iluminação, Corpo Em Chapa De Aço Esmaltado A Fogo Para Duas Lâmpadas Fluorescente De 20 W, 220 V, Com Lâmpadas E Reator Duplo De Partida Rápida, Alto Fator De Potência E Soquetes Antivibratório.</v>
          </cell>
          <cell r="E567" t="str">
            <v>un</v>
          </cell>
          <cell r="F567"/>
          <cell r="G567">
            <v>76.540000000000006</v>
          </cell>
          <cell r="H567">
            <v>0</v>
          </cell>
        </row>
        <row r="568">
          <cell r="C568" t="str">
            <v>5.4.3.109</v>
          </cell>
          <cell r="D568" t="str">
            <v>Aparelho Para Iluminação Tipo Projetor, Corpo Refletor Em Chapa De Alumínio, Lente Abaulada Transparente, Sem Base E Fixada Em Caixa R-10 P_T22, Com Tampa Especial E Prensa Cabo. Ref.: 2 - 30/3 Da Peterco Ou Similar, Com Lâmpada De 200 W, Incandescente, 220 V.</v>
          </cell>
          <cell r="E568" t="str">
            <v>un</v>
          </cell>
          <cell r="F568"/>
          <cell r="G568">
            <v>39.979999999999997</v>
          </cell>
          <cell r="H568">
            <v>0</v>
          </cell>
        </row>
        <row r="569">
          <cell r="C569" t="str">
            <v>5.4.3.110</v>
          </cell>
          <cell r="D569" t="str">
            <v>Aparelho Para Iluminação, Tipo Refletor, Estampado Em Chapa De Aço, Soqueteria De Alumínio Fundido, Para Lâmpada Mista 250 W, 220 V Com Entrada 3/4" (Com Lâmpada).</v>
          </cell>
          <cell r="E569" t="str">
            <v>un</v>
          </cell>
          <cell r="F569"/>
          <cell r="G569">
            <v>77.680000000000007</v>
          </cell>
          <cell r="H569">
            <v>0</v>
          </cell>
        </row>
        <row r="570">
          <cell r="C570" t="str">
            <v>5.4.3.111</v>
          </cell>
          <cell r="D570" t="str">
            <v>Suporte Em Ferro Galvanizado Tipo Cp - 17 Da Peterco Ou Similares Nos Seguintes Diâmetros:</v>
          </cell>
          <cell r="E570"/>
          <cell r="F570"/>
          <cell r="G570">
            <v>0</v>
          </cell>
          <cell r="H570">
            <v>0</v>
          </cell>
        </row>
        <row r="571">
          <cell r="C571" t="str">
            <v>5.4.3.111.1</v>
          </cell>
          <cell r="D571" t="str">
            <v>1.1/2"</v>
          </cell>
          <cell r="E571" t="str">
            <v>un</v>
          </cell>
          <cell r="F571"/>
          <cell r="G571">
            <v>173.26</v>
          </cell>
          <cell r="H571">
            <v>0</v>
          </cell>
        </row>
        <row r="572">
          <cell r="C572" t="str">
            <v>5.4.3.111.2</v>
          </cell>
          <cell r="D572" t="str">
            <v>1"</v>
          </cell>
          <cell r="E572" t="str">
            <v>un</v>
          </cell>
          <cell r="F572"/>
          <cell r="G572">
            <v>159.93</v>
          </cell>
          <cell r="H572">
            <v>0</v>
          </cell>
        </row>
        <row r="573">
          <cell r="C573" t="str">
            <v>5.4.3.111.3</v>
          </cell>
          <cell r="D573" t="str">
            <v>3/4"</v>
          </cell>
          <cell r="E573" t="str">
            <v>un</v>
          </cell>
          <cell r="F573"/>
          <cell r="G573">
            <v>142.79</v>
          </cell>
          <cell r="H573">
            <v>0</v>
          </cell>
        </row>
        <row r="574">
          <cell r="C574" t="str">
            <v>5.4.3.112</v>
          </cell>
          <cell r="D574" t="str">
            <v>Suporte E Base (Cp-17 A E Cp-17 S) Em Ferro Galvanizado, Da Peterco Ou Similares Nos Seguintes Diâmetros:</v>
          </cell>
          <cell r="E574"/>
          <cell r="F574"/>
          <cell r="G574">
            <v>0</v>
          </cell>
          <cell r="H574">
            <v>0</v>
          </cell>
        </row>
        <row r="575">
          <cell r="C575" t="str">
            <v>5.4.3.112.1</v>
          </cell>
          <cell r="D575" t="str">
            <v>1.1/2"</v>
          </cell>
          <cell r="E575" t="str">
            <v>un</v>
          </cell>
          <cell r="F575"/>
          <cell r="G575">
            <v>308.43</v>
          </cell>
          <cell r="H575">
            <v>0</v>
          </cell>
        </row>
        <row r="576">
          <cell r="C576" t="str">
            <v>5.4.3.112.2</v>
          </cell>
          <cell r="D576" t="str">
            <v>1"</v>
          </cell>
          <cell r="E576" t="str">
            <v>un</v>
          </cell>
          <cell r="F576"/>
          <cell r="G576">
            <v>270.36</v>
          </cell>
          <cell r="H576">
            <v>0</v>
          </cell>
        </row>
        <row r="577">
          <cell r="C577" t="str">
            <v>5.4.3.112.3</v>
          </cell>
          <cell r="D577" t="str">
            <v>3/4"</v>
          </cell>
          <cell r="E577" t="str">
            <v>un</v>
          </cell>
          <cell r="F577"/>
          <cell r="G577">
            <v>190.38</v>
          </cell>
          <cell r="H577">
            <v>0</v>
          </cell>
        </row>
        <row r="578">
          <cell r="C578" t="str">
            <v>5.4.3.113</v>
          </cell>
          <cell r="D578" t="str">
            <v>Luva De Ferro Galvanizado, Roscas Internas, Para Eletrodutos De Seguintes Diâmentros:</v>
          </cell>
          <cell r="E578"/>
          <cell r="F578"/>
          <cell r="G578">
            <v>0</v>
          </cell>
          <cell r="H578">
            <v>0</v>
          </cell>
        </row>
        <row r="579">
          <cell r="C579" t="str">
            <v>5.4.3.113.1</v>
          </cell>
          <cell r="D579" t="str">
            <v>1.1/2"</v>
          </cell>
          <cell r="E579" t="str">
            <v>un</v>
          </cell>
          <cell r="F579"/>
          <cell r="G579">
            <v>2.2799999999999998</v>
          </cell>
          <cell r="H579">
            <v>0</v>
          </cell>
        </row>
        <row r="580">
          <cell r="C580" t="str">
            <v>5.4.3.113.2</v>
          </cell>
          <cell r="D580" t="str">
            <v>1"</v>
          </cell>
          <cell r="E580" t="str">
            <v>un</v>
          </cell>
          <cell r="F580"/>
          <cell r="G580">
            <v>1.52</v>
          </cell>
          <cell r="H580">
            <v>0</v>
          </cell>
        </row>
        <row r="581">
          <cell r="C581" t="str">
            <v>5.4.3.113.3</v>
          </cell>
          <cell r="D581" t="str">
            <v>3/4"</v>
          </cell>
          <cell r="E581" t="str">
            <v>un</v>
          </cell>
          <cell r="F581"/>
          <cell r="G581">
            <v>0.95</v>
          </cell>
          <cell r="H581">
            <v>0</v>
          </cell>
        </row>
        <row r="582">
          <cell r="C582" t="str">
            <v>5.4.3.114</v>
          </cell>
          <cell r="D582" t="str">
            <v>Parafuso Cabeça Sextavada, Rosca Soberba, Aço Galvanizado, 3/8", L = 60 Mm Tipo Srs - 519-12 Da  Sisa Ou Similar.</v>
          </cell>
          <cell r="E582" t="str">
            <v>un</v>
          </cell>
          <cell r="F582"/>
          <cell r="G582">
            <v>1.62</v>
          </cell>
          <cell r="H582">
            <v>0</v>
          </cell>
        </row>
        <row r="583">
          <cell r="C583" t="str">
            <v>5.4.3.115</v>
          </cell>
          <cell r="D583" t="str">
            <v>Bucha De Expansão Para Parafuso 3/8" X 60 Mm, Da Sisa Ou Similar.</v>
          </cell>
          <cell r="E583" t="str">
            <v>un</v>
          </cell>
          <cell r="F583"/>
          <cell r="G583">
            <v>9.51</v>
          </cell>
          <cell r="H583">
            <v>0</v>
          </cell>
        </row>
        <row r="584">
          <cell r="C584" t="str">
            <v>5.4.3.116</v>
          </cell>
          <cell r="D584" t="str">
            <v>Arruela Lisa De Aço Galvanizado Para Parafuso 3/8" Tipo Srs-587 Da  Sisa Ou Similar.</v>
          </cell>
          <cell r="E584" t="str">
            <v>un</v>
          </cell>
          <cell r="F584"/>
          <cell r="G584">
            <v>0.37</v>
          </cell>
          <cell r="H584">
            <v>0</v>
          </cell>
        </row>
        <row r="585">
          <cell r="C585" t="str">
            <v>5.4.3.117</v>
          </cell>
          <cell r="D585" t="str">
            <v>Bucha De Redução, Em Alumínio Fundido, Com Uma Rosca Interna E Outra Externa, Tipo Wp 15 Da Peterco Ou Similar Nos Seguintes Diâmetros:</v>
          </cell>
          <cell r="E585"/>
          <cell r="F585"/>
          <cell r="G585">
            <v>0</v>
          </cell>
          <cell r="H585">
            <v>0</v>
          </cell>
        </row>
        <row r="586">
          <cell r="C586" t="str">
            <v>5.4.3.117.1</v>
          </cell>
          <cell r="D586" t="str">
            <v>1.1/2" X 1"</v>
          </cell>
          <cell r="E586" t="str">
            <v>un</v>
          </cell>
          <cell r="F586"/>
          <cell r="G586">
            <v>12.94</v>
          </cell>
          <cell r="H586">
            <v>0</v>
          </cell>
        </row>
        <row r="587">
          <cell r="C587" t="str">
            <v>5.4.3.117.2</v>
          </cell>
          <cell r="D587" t="str">
            <v>1.1/2" X 3/4"</v>
          </cell>
          <cell r="E587" t="str">
            <v>un</v>
          </cell>
          <cell r="F587"/>
          <cell r="G587">
            <v>12.94</v>
          </cell>
          <cell r="H587">
            <v>0</v>
          </cell>
        </row>
        <row r="588">
          <cell r="C588" t="str">
            <v>5.4.3.117.3</v>
          </cell>
          <cell r="D588" t="str">
            <v>1" X 3/4"</v>
          </cell>
          <cell r="E588" t="str">
            <v>un</v>
          </cell>
          <cell r="F588"/>
          <cell r="G588">
            <v>10.66</v>
          </cell>
          <cell r="H588">
            <v>0</v>
          </cell>
        </row>
        <row r="589">
          <cell r="C589" t="str">
            <v>5.4.3.117.4</v>
          </cell>
          <cell r="D589" t="str">
            <v>1" X 1/2"</v>
          </cell>
          <cell r="E589" t="str">
            <v>un</v>
          </cell>
          <cell r="F589"/>
          <cell r="G589">
            <v>10.66</v>
          </cell>
          <cell r="H589">
            <v>0</v>
          </cell>
        </row>
        <row r="590">
          <cell r="C590" t="str">
            <v>5.4.3.117.5</v>
          </cell>
          <cell r="D590" t="str">
            <v>3/4" X 1/2"</v>
          </cell>
          <cell r="E590" t="str">
            <v>un</v>
          </cell>
          <cell r="F590"/>
          <cell r="G590">
            <v>8.56</v>
          </cell>
          <cell r="H590">
            <v>0</v>
          </cell>
        </row>
        <row r="591">
          <cell r="C591" t="str">
            <v>5.4.3.118</v>
          </cell>
          <cell r="D591" t="str">
            <v>Tubo Flexível Sealtite, De Fita De Aço E Revestido Externamente Com Polivinil Cloridrico, Terminais Externos( Machos) Tipo Cp-10B/22, Da Peterco Ou Similar, Com Comprimento De 1,5 M.</v>
          </cell>
          <cell r="E591" t="str">
            <v>un</v>
          </cell>
          <cell r="F591"/>
          <cell r="G591">
            <v>180.87</v>
          </cell>
          <cell r="H591">
            <v>0</v>
          </cell>
        </row>
        <row r="592">
          <cell r="C592" t="str">
            <v>5.4.3.119</v>
          </cell>
          <cell r="D592" t="str">
            <v>Bucha E Arruela De Alumínio Fundido, Para Eletroduto Do Seguintes Diâmetros:</v>
          </cell>
          <cell r="E592"/>
          <cell r="F592"/>
          <cell r="G592">
            <v>0</v>
          </cell>
          <cell r="H592">
            <v>0</v>
          </cell>
        </row>
        <row r="593">
          <cell r="C593" t="str">
            <v>5.4.3.119.1</v>
          </cell>
          <cell r="D593" t="str">
            <v>1.1/2"</v>
          </cell>
          <cell r="E593" t="str">
            <v>un</v>
          </cell>
          <cell r="F593"/>
          <cell r="G593">
            <v>2.85</v>
          </cell>
          <cell r="H593">
            <v>0</v>
          </cell>
        </row>
        <row r="594">
          <cell r="C594" t="str">
            <v>5.4.3.119.2</v>
          </cell>
          <cell r="D594" t="str">
            <v>1"</v>
          </cell>
          <cell r="E594" t="str">
            <v>un</v>
          </cell>
          <cell r="F594"/>
          <cell r="G594">
            <v>1.71</v>
          </cell>
          <cell r="H594">
            <v>0</v>
          </cell>
        </row>
        <row r="595">
          <cell r="C595" t="str">
            <v>5.4.3.120</v>
          </cell>
          <cell r="D595" t="str">
            <v>Cabo  De Cobre, Unipolar, Com Isolamento Termoplástico Para 600 V, Anti-Chama, 70º Na Cor Preta, Nas Seguintes Bitolas:</v>
          </cell>
          <cell r="E595"/>
          <cell r="F595"/>
          <cell r="G595">
            <v>0</v>
          </cell>
          <cell r="H595">
            <v>0</v>
          </cell>
        </row>
        <row r="596">
          <cell r="C596" t="str">
            <v>5.4.3.120.1</v>
          </cell>
          <cell r="D596" t="str">
            <v>16 Mm2</v>
          </cell>
          <cell r="E596" t="str">
            <v>m</v>
          </cell>
          <cell r="F596"/>
          <cell r="G596">
            <v>6.08</v>
          </cell>
          <cell r="H596">
            <v>0</v>
          </cell>
        </row>
        <row r="597">
          <cell r="C597" t="str">
            <v>5.4.3.120.2</v>
          </cell>
          <cell r="D597" t="str">
            <v>10 Mm2</v>
          </cell>
          <cell r="E597" t="str">
            <v>m</v>
          </cell>
          <cell r="F597"/>
          <cell r="G597">
            <v>4.55</v>
          </cell>
          <cell r="H597">
            <v>0</v>
          </cell>
        </row>
        <row r="598">
          <cell r="C598" t="str">
            <v>5.4.3.120.3</v>
          </cell>
          <cell r="D598" t="str">
            <v>6 Mm2</v>
          </cell>
          <cell r="E598" t="str">
            <v>m</v>
          </cell>
          <cell r="F598"/>
          <cell r="G598">
            <v>2.65</v>
          </cell>
          <cell r="H598">
            <v>0</v>
          </cell>
        </row>
        <row r="599">
          <cell r="C599" t="str">
            <v>5.4.3.120.4</v>
          </cell>
          <cell r="D599" t="str">
            <v>4 Mm2</v>
          </cell>
          <cell r="E599" t="str">
            <v>m</v>
          </cell>
          <cell r="F599"/>
          <cell r="G599">
            <v>1.9</v>
          </cell>
          <cell r="H599">
            <v>0</v>
          </cell>
        </row>
        <row r="600">
          <cell r="C600" t="str">
            <v>5.4.3.121</v>
          </cell>
          <cell r="D600" t="str">
            <v>Eletroduto Rígido, De Ferro Galvanizado, Pesado, Com Costura, Rosca Na Extremidades Nos Seguintes Diâmetros, Em Vara De  3 M:</v>
          </cell>
          <cell r="E600"/>
          <cell r="F600"/>
          <cell r="G600">
            <v>0</v>
          </cell>
          <cell r="H600">
            <v>0</v>
          </cell>
        </row>
        <row r="601">
          <cell r="C601" t="str">
            <v>5.4.3.121.1</v>
          </cell>
          <cell r="D601" t="str">
            <v>1.1/2"</v>
          </cell>
          <cell r="E601" t="str">
            <v>vara</v>
          </cell>
          <cell r="F601"/>
          <cell r="G601">
            <v>32.94</v>
          </cell>
          <cell r="H601">
            <v>0</v>
          </cell>
        </row>
        <row r="602">
          <cell r="C602" t="str">
            <v>5.4.3.121.2</v>
          </cell>
          <cell r="D602" t="str">
            <v>1"</v>
          </cell>
          <cell r="E602" t="str">
            <v>vara</v>
          </cell>
          <cell r="F602"/>
          <cell r="G602">
            <v>21.13</v>
          </cell>
          <cell r="H602">
            <v>0</v>
          </cell>
        </row>
        <row r="603">
          <cell r="C603" t="str">
            <v>5.4.3.121.3</v>
          </cell>
          <cell r="D603" t="str">
            <v>3/4"</v>
          </cell>
          <cell r="E603" t="str">
            <v>vara</v>
          </cell>
          <cell r="F603"/>
          <cell r="G603">
            <v>15.81</v>
          </cell>
          <cell r="H603">
            <v>0</v>
          </cell>
        </row>
        <row r="604">
          <cell r="C604" t="str">
            <v>5.4.3.121.4</v>
          </cell>
          <cell r="D604" t="str">
            <v>1/2"</v>
          </cell>
          <cell r="E604" t="str">
            <v>vara</v>
          </cell>
          <cell r="F604"/>
          <cell r="G604">
            <v>15.04</v>
          </cell>
          <cell r="H604">
            <v>0</v>
          </cell>
        </row>
        <row r="605">
          <cell r="C605" t="str">
            <v>5.4.3.122</v>
          </cell>
          <cell r="D605" t="str">
            <v>Niple Duplo De Ferro Galvanizado, Roscas Externas, Nos Seguintes Diâmetros:</v>
          </cell>
          <cell r="E605"/>
          <cell r="F605"/>
          <cell r="G605">
            <v>0</v>
          </cell>
          <cell r="H605">
            <v>0</v>
          </cell>
        </row>
        <row r="606">
          <cell r="C606" t="str">
            <v>5.4.3.122.1</v>
          </cell>
          <cell r="D606" t="str">
            <v>3/4"</v>
          </cell>
          <cell r="E606" t="str">
            <v>un</v>
          </cell>
          <cell r="F606"/>
          <cell r="G606">
            <v>9.51</v>
          </cell>
          <cell r="H606">
            <v>0</v>
          </cell>
        </row>
        <row r="607">
          <cell r="C607" t="str">
            <v>5.4.3.122.2</v>
          </cell>
          <cell r="D607" t="str">
            <v>1/2"</v>
          </cell>
          <cell r="E607" t="str">
            <v>un</v>
          </cell>
          <cell r="F607"/>
          <cell r="G607">
            <v>8.56</v>
          </cell>
          <cell r="H607">
            <v>0</v>
          </cell>
        </row>
        <row r="608">
          <cell r="C608" t="str">
            <v>5.4.3.123</v>
          </cell>
          <cell r="D608" t="str">
            <v>Cabo De Cobre Nú, Meio Duro, Seção 70Mm2, Formação 19 Fios, (Pos 48) Ref.: Pirelli Ou Similar</v>
          </cell>
          <cell r="E608" t="str">
            <v>m</v>
          </cell>
          <cell r="F608"/>
          <cell r="G608">
            <v>14.84</v>
          </cell>
          <cell r="H608">
            <v>0</v>
          </cell>
        </row>
        <row r="609">
          <cell r="C609" t="str">
            <v>5.4.3.124</v>
          </cell>
          <cell r="D609" t="str">
            <v>Cabo De Cobre Nú, Tempera Meio Dura, Bitola 25 Mm2, Formação 7 Fios (Pos 49) Ref.: Pirelli Ou Similar.</v>
          </cell>
          <cell r="E609" t="str">
            <v>m</v>
          </cell>
          <cell r="F609"/>
          <cell r="G609">
            <v>5.32</v>
          </cell>
          <cell r="H609">
            <v>0</v>
          </cell>
        </row>
        <row r="610">
          <cell r="C610" t="str">
            <v>5.4.3.125</v>
          </cell>
          <cell r="D610" t="str">
            <v>Cabo De Cobre Nú, Têmpera Meio Dura, Bitola 95 Mm2, Formação 7 Fios (Pos 57) Ref.: Pirelli Ou Similar.</v>
          </cell>
          <cell r="E610" t="str">
            <v>m</v>
          </cell>
          <cell r="F610"/>
          <cell r="G610">
            <v>19.989999999999998</v>
          </cell>
          <cell r="H610">
            <v>0</v>
          </cell>
        </row>
        <row r="611">
          <cell r="C611" t="str">
            <v>5.4.3.126</v>
          </cell>
          <cell r="D611" t="str">
            <v>Cabo Elétrico De Força, 15 Kv, 1 Condutor De Cobre Nú, Têmpera Mole Concêntrico Redondo, Seção Nominal 95 Mm2 Com Blindagem Semicondutora, Isolamento De Polietileno Reticulado,Blindagem Com Fita De Cobre, Capa De Pvc Anti-Chama Na Cor Preta (Pos 58)Ref.: Voltalene Da Pirelli Ou Similar.</v>
          </cell>
          <cell r="E611" t="str">
            <v>m</v>
          </cell>
          <cell r="F611"/>
          <cell r="G611">
            <v>85.68</v>
          </cell>
          <cell r="H611">
            <v>0</v>
          </cell>
        </row>
        <row r="612">
          <cell r="C612" t="str">
            <v>5.4.3.127</v>
          </cell>
          <cell r="D612" t="str">
            <v>Cabo Elétrico De Força, 3,6/6 Kv, 1 Condutor De Cobre Nú, Têmpera Mole, Concêntrico Redondo, Seção Nominal 150 Mm2, Com Blindagem Semicondutora, Isolamento De Polietileno Reticulado, Blindagem Com Fita De Cobre, Capa De Pvc Anti-Chama, Na Cor Preta. (Pos  59)Ref.: Voltalene Da Pirelli Ou Similar.</v>
          </cell>
          <cell r="E612" t="str">
            <v>m</v>
          </cell>
          <cell r="F612"/>
          <cell r="G612">
            <v>108.52</v>
          </cell>
          <cell r="H612">
            <v>0</v>
          </cell>
        </row>
        <row r="613">
          <cell r="C613" t="str">
            <v>5.4.3.128</v>
          </cell>
          <cell r="D613" t="str">
            <v>Cabo Elétrico De Força, 3,6/6 Kv, 1 Condutor De Cobre Nú, Têmpera Mole, Concêntrico Redondo, Seção Nominal 70 Mm2, Com Blindagem Semicondutora, Isolamento De Polietileno Reticulado, Blindagem Com Fita De Cobre, Capa De Pvc Anti-Chama, Na Cor Preta. (Pos  60)Ref.: Voltalene Da Pirelli Ou Similar.</v>
          </cell>
          <cell r="E613" t="str">
            <v>m</v>
          </cell>
          <cell r="F613"/>
          <cell r="G613">
            <v>66.63</v>
          </cell>
          <cell r="H613">
            <v>0</v>
          </cell>
        </row>
        <row r="614">
          <cell r="C614" t="str">
            <v>5.4.3.129</v>
          </cell>
          <cell r="D614" t="str">
            <v>Cabo Elétrico De Força, 3,6/6 Kv, 1 Condutor De Cobre Nú, Têmpera Mole, Concêntrico Redondo, Seção Nominal 16 Mm2, Com Blindagem Semicondutora, Isolamento De Polietileno Reticulado, Blindagem Com Fita De Cobre, Capa De Pvc Anti-Chama, Na Cor Preta. (Pos  61) Ref.: Voltalene Da Pirelli Ou Similar.</v>
          </cell>
          <cell r="E614" t="str">
            <v>m</v>
          </cell>
          <cell r="F614"/>
          <cell r="G614">
            <v>34.46</v>
          </cell>
          <cell r="H614">
            <v>0</v>
          </cell>
        </row>
        <row r="615">
          <cell r="C615" t="str">
            <v>5.4.3.130</v>
          </cell>
          <cell r="D615" t="str">
            <v>Cabo Elétrico De Força, 0,6/1 Kv, 1 Condutor De Cobre Nú, Têmpera Mole, Concêntrico Redondo, Seção Nominal 50 Mm2, Com Blindagem Semicondutora, Isolamento Em Pvc, Capa De Pvc Anti-Chama,  Na Cor Preta. (Pos 62) Ref.: Sintenax Da Pirelli Ou Similar.</v>
          </cell>
          <cell r="E615" t="str">
            <v>m</v>
          </cell>
          <cell r="F615"/>
          <cell r="G615">
            <v>21.7</v>
          </cell>
          <cell r="H615">
            <v>0</v>
          </cell>
        </row>
        <row r="616">
          <cell r="C616" t="str">
            <v>5.4.3.131</v>
          </cell>
          <cell r="D616" t="str">
            <v>Cabo Elétrico De Controle, 19 Condutores, Cobre, Têmpera Mole, Seção Nominal, 1,5 Mm2, Formação 7 Fios, Isolamento De Pvc, Capa De Pvc Anti-Chama, Cor Preta, 0,6/1 Kv, Blindado. (Pos 63) Ref.: Sintenax Da Pirelli Ou Similar.</v>
          </cell>
          <cell r="E616" t="str">
            <v>m</v>
          </cell>
          <cell r="F616"/>
          <cell r="G616">
            <v>14.66</v>
          </cell>
          <cell r="H616">
            <v>0</v>
          </cell>
        </row>
        <row r="617">
          <cell r="C617" t="str">
            <v>5.4.3.132</v>
          </cell>
          <cell r="D617" t="str">
            <v>Cabo Elétrico De Controle, 7 Condutores, Cobre, Têmpera Mole, Seção Nominal, 4,0 Mm2, Formação 7 Fios, Isolamento De Pvc, Capa De Pvc Anti-Chama, Cor Preta, 0,6/1 Kv, Blindado. (Pos 64) Ref.: Sintenax Da Pirelli Ou Similar.</v>
          </cell>
          <cell r="E617" t="str">
            <v>m</v>
          </cell>
          <cell r="F617"/>
          <cell r="G617">
            <v>14.28</v>
          </cell>
          <cell r="H617">
            <v>0</v>
          </cell>
        </row>
        <row r="618">
          <cell r="C618" t="str">
            <v>5.4.3.133</v>
          </cell>
          <cell r="D618" t="str">
            <v>Cabo Elétrico De Controle, 4 Condutores, Cobre, Têmpera Mole, Seção Nominal, 4,0 Mm2, Formação 7 Fios, Isolamento De Pvc, Capa De Pvc Anti-Chama, Cor Preta, 0,6/1 Kv, Blindado. (Pos 65) Ref.: Sintenax Da Pirelli Ou Similar.</v>
          </cell>
          <cell r="E618" t="str">
            <v>m</v>
          </cell>
          <cell r="F618"/>
          <cell r="G618">
            <v>7.99</v>
          </cell>
          <cell r="H618">
            <v>0</v>
          </cell>
        </row>
        <row r="619">
          <cell r="C619" t="str">
            <v>5.4.3.134</v>
          </cell>
          <cell r="D619" t="str">
            <v>Cabo Elétrico De Controle, 4 Condutores, Cobre, Têmpera Mole,Seção Nominal, 1,5 Mm2, Formação 7 Fios, Isolamento De Pvc, Capa De Pvc Anti-Chama, Cor Preta, 0,6/1 Kv, Blindado. (Pos 66) Ref.: Sintenax Da Pirelli Ou Similar.</v>
          </cell>
          <cell r="E619" t="str">
            <v>m</v>
          </cell>
          <cell r="F619"/>
          <cell r="G619">
            <v>4.9400000000000004</v>
          </cell>
          <cell r="H619">
            <v>0</v>
          </cell>
        </row>
        <row r="620">
          <cell r="C620" t="str">
            <v>5.4.3.135</v>
          </cell>
          <cell r="D620" t="str">
            <v>Cabo Elétrico De Controle, 3 Condutores, Cobre, Têmpera Mole, Seção Nominal, 1,5 Mm2, Formação 7 Fios, Isolamento De Pvc, Capa De Pvc Anti-Chama, Cor Preta, 0,6/1 Kv, Blindado. (Pos 67) Ref.: Sintenax Da Pirelli Ou Similar.</v>
          </cell>
          <cell r="E620" t="str">
            <v>m</v>
          </cell>
          <cell r="F620"/>
          <cell r="G620">
            <v>3.13</v>
          </cell>
          <cell r="H620">
            <v>0</v>
          </cell>
        </row>
        <row r="621">
          <cell r="C621" t="str">
            <v>5.4.3.136</v>
          </cell>
          <cell r="D621" t="str">
            <v>Eletroduto Rígido De Aço Galvanizado, Com Costura, Classe Pesada, Rosca Bsp 2", Em Varas De 3 Metros, Com Uma Luva Em Uma Das Extremidades E Um Protetor Para Rosca Na Outra. Ref.: Apolo Ou Similar</v>
          </cell>
          <cell r="E621" t="str">
            <v>vara</v>
          </cell>
          <cell r="F621"/>
          <cell r="G621">
            <v>44.55</v>
          </cell>
          <cell r="H621">
            <v>0</v>
          </cell>
        </row>
        <row r="622">
          <cell r="C622" t="str">
            <v>5.4.3.137</v>
          </cell>
          <cell r="D622" t="str">
            <v>Cabo De Cobre Nú Meio Duro, Seção 16 Mm2, Formação 7 Fios, Ref.: Pirelli Ou Similar.</v>
          </cell>
          <cell r="E622" t="str">
            <v>m</v>
          </cell>
          <cell r="F622"/>
          <cell r="G622">
            <v>3.62</v>
          </cell>
          <cell r="H622">
            <v>0</v>
          </cell>
        </row>
        <row r="623">
          <cell r="C623" t="str">
            <v>5.4.3.138</v>
          </cell>
          <cell r="D623" t="str">
            <v>Cabo De Cobre Nú Meio Duro, Seção 10 Mm2, Formação 7 Fios, Ref.: Pirelli Ou Similar.</v>
          </cell>
          <cell r="E623" t="str">
            <v>m</v>
          </cell>
          <cell r="F623"/>
          <cell r="G623">
            <v>2.4700000000000002</v>
          </cell>
          <cell r="H623">
            <v>0</v>
          </cell>
        </row>
        <row r="624">
          <cell r="C624" t="str">
            <v>5.4.3.139</v>
          </cell>
          <cell r="D624" t="str">
            <v>Cabo De Cobre Nú Meio Duro, Seção 4 Mm2, Formação 7 Fios, Ref.: Sintenax Da Pirelli Ou Similar.</v>
          </cell>
          <cell r="E624" t="str">
            <v>m</v>
          </cell>
          <cell r="F624"/>
          <cell r="G624">
            <v>1.23</v>
          </cell>
          <cell r="H624">
            <v>0</v>
          </cell>
        </row>
        <row r="625">
          <cell r="C625" t="str">
            <v>5.4.3.140</v>
          </cell>
          <cell r="D625" t="str">
            <v>Cabo De Cobre Nú Meio Duro, Seção 6 Mm2, Formação 7 Fios, Ref.: Sintenax Da Pirelli Ou Similar.</v>
          </cell>
          <cell r="E625" t="str">
            <v>m</v>
          </cell>
          <cell r="F625"/>
          <cell r="G625">
            <v>1.52</v>
          </cell>
          <cell r="H625">
            <v>0</v>
          </cell>
        </row>
        <row r="626">
          <cell r="C626" t="str">
            <v>5.4.3.141</v>
          </cell>
          <cell r="D626" t="str">
            <v>Cabo  De Cobre, Unipolar, Com Isolamento Termoplástico Para 600 V, Anti-Chama, 70º Na Cor Preta, Nas Seguintes Bitolas:</v>
          </cell>
          <cell r="E626"/>
          <cell r="F626"/>
          <cell r="G626">
            <v>0</v>
          </cell>
          <cell r="H626">
            <v>0</v>
          </cell>
        </row>
        <row r="627">
          <cell r="C627" t="str">
            <v>5.4.3.141.1</v>
          </cell>
          <cell r="D627" t="str">
            <v>16 Mm2</v>
          </cell>
          <cell r="E627" t="str">
            <v>m</v>
          </cell>
          <cell r="F627"/>
          <cell r="G627">
            <v>6.08</v>
          </cell>
          <cell r="H627">
            <v>0</v>
          </cell>
        </row>
        <row r="628">
          <cell r="C628" t="str">
            <v>5.4.3.141.2</v>
          </cell>
          <cell r="D628" t="str">
            <v>10 Mm2</v>
          </cell>
          <cell r="E628" t="str">
            <v>m</v>
          </cell>
          <cell r="F628"/>
          <cell r="G628">
            <v>4.55</v>
          </cell>
          <cell r="H628">
            <v>0</v>
          </cell>
        </row>
        <row r="629">
          <cell r="C629" t="str">
            <v>5.4.3.141.3</v>
          </cell>
          <cell r="D629" t="str">
            <v>6 Mm2</v>
          </cell>
          <cell r="E629" t="str">
            <v>m</v>
          </cell>
          <cell r="F629"/>
          <cell r="G629">
            <v>2.65</v>
          </cell>
          <cell r="H629">
            <v>0</v>
          </cell>
        </row>
        <row r="630">
          <cell r="C630" t="str">
            <v>5.4.3.141.4</v>
          </cell>
          <cell r="D630" t="str">
            <v>4 Mm2</v>
          </cell>
          <cell r="E630" t="str">
            <v>m</v>
          </cell>
          <cell r="F630"/>
          <cell r="G630">
            <v>1.9</v>
          </cell>
          <cell r="H630">
            <v>0</v>
          </cell>
        </row>
        <row r="631">
          <cell r="C631" t="str">
            <v>5.4.3.142</v>
          </cell>
          <cell r="D631" t="str">
            <v>Grupo Gerador Diesel De Emergência 50 Kva, 380/220 V, 60Hz, Partida Normal, Completo Com Bateria E Acessórios</v>
          </cell>
          <cell r="E631" t="str">
            <v>un</v>
          </cell>
          <cell r="F631"/>
          <cell r="G631">
            <v>114237.45</v>
          </cell>
          <cell r="H631">
            <v>0</v>
          </cell>
        </row>
        <row r="632">
          <cell r="C632" t="str">
            <v>5.4.3.144</v>
          </cell>
          <cell r="D632" t="str">
            <v>Cabo De Cobre Nú,Tempera Meio Dura, Seção De 35Mm2</v>
          </cell>
          <cell r="E632" t="str">
            <v>m</v>
          </cell>
          <cell r="F632"/>
          <cell r="G632">
            <v>10.28</v>
          </cell>
          <cell r="H632">
            <v>0</v>
          </cell>
        </row>
        <row r="633">
          <cell r="C633" t="str">
            <v>5.4.3.149</v>
          </cell>
          <cell r="D633" t="str">
            <v>Terminal Aereo Em Aço Galvanizado Com Base De Fixaçao H - 30Cm</v>
          </cell>
          <cell r="E633" t="str">
            <v>un</v>
          </cell>
          <cell r="F633"/>
          <cell r="G633">
            <v>4.13</v>
          </cell>
          <cell r="H633">
            <v>0</v>
          </cell>
        </row>
        <row r="634">
          <cell r="C634" t="str">
            <v>5.4.3.150</v>
          </cell>
          <cell r="D634" t="str">
            <v>Terminal A Compressao Em Cobre Estanhado P/ Cabo 35Mm2</v>
          </cell>
          <cell r="E634" t="str">
            <v>un</v>
          </cell>
          <cell r="F634"/>
          <cell r="G634">
            <v>0.53</v>
          </cell>
          <cell r="H634">
            <v>0</v>
          </cell>
        </row>
        <row r="635">
          <cell r="C635" t="str">
            <v>5.4.3.151</v>
          </cell>
          <cell r="D635" t="str">
            <v>Terminal Ou Conector De Pressão Para Cabo De 35Mm2</v>
          </cell>
          <cell r="E635" t="str">
            <v>un</v>
          </cell>
          <cell r="F635"/>
          <cell r="G635">
            <v>2.65</v>
          </cell>
          <cell r="H635">
            <v>0</v>
          </cell>
        </row>
        <row r="636">
          <cell r="C636" t="str">
            <v>5.4.3.152</v>
          </cell>
          <cell r="D636" t="str">
            <v>Caixa De Equalização De Terra Embutir Com 9 Terminais</v>
          </cell>
          <cell r="E636" t="str">
            <v>un</v>
          </cell>
          <cell r="F636"/>
          <cell r="G636">
            <v>197.84</v>
          </cell>
          <cell r="H636">
            <v>0</v>
          </cell>
        </row>
        <row r="637">
          <cell r="C637" t="str">
            <v>5.4.3.153</v>
          </cell>
          <cell r="D637" t="str">
            <v>Carregador / Retificador De Baterias Equipado Com Duas Unidades Retificadoras Trifásicas 380 V, 60Hz, Corrente De Saída De 25 A, Tensão De Saída 125 Vcc, Com Comando Automático, Com Os Seguintes Acessórios: Estrutura Autoportante Para Instalação Sobre Canaleta, Entrada E Saída De Cabos Pela Parte Inferior; Conector De Aterramento Em Liga De Cobre Para Cabo De Cobre 70 A 95 Mm²; Relé De Subtensão  E Sobretensão (27,59); Voltímetro.</v>
          </cell>
          <cell r="E637" t="str">
            <v>un</v>
          </cell>
          <cell r="F637"/>
          <cell r="G637">
            <v>12696.35</v>
          </cell>
          <cell r="H637">
            <v>0</v>
          </cell>
        </row>
        <row r="638">
          <cell r="C638" t="str">
            <v>5.4.3.154</v>
          </cell>
          <cell r="D638" t="str">
            <v>Bateria  De Acumuladores Estacionária, Tipo Chumbo-Ácida, Ciclo De Emergência 10Horas Com Ausência Total De Corrente Alternada, Tensão Nominal Do Sistema 125 Vcc, Capacidade 100 Ah, Composta De 60 Elementos, Tensão Final Miníma De 1,75 V/Elemento, Com Os Seguintes Acessórios: Estante Métalica Com Acabamento Em Epóxi Eletrostático, Para Montagen Dos Elementos Em Desnível (Referência 2N4F); Recepientes Plásticos; Caixa Blindada Com 2 Saídas Para Eletrodutos 1.1/2" Na Face Inferior, Completa Com Fusíveis Nh, Adequadamente Dimensionados.</v>
          </cell>
          <cell r="E638" t="str">
            <v>un</v>
          </cell>
          <cell r="F638"/>
          <cell r="G638">
            <v>14867.96</v>
          </cell>
          <cell r="H638">
            <v>0</v>
          </cell>
        </row>
        <row r="639">
          <cell r="C639" t="str">
            <v>5.4.3.156</v>
          </cell>
          <cell r="D639" t="str">
            <v>Cabos</v>
          </cell>
          <cell r="E639"/>
          <cell r="F639"/>
          <cell r="G639">
            <v>0</v>
          </cell>
          <cell r="H639">
            <v>0</v>
          </cell>
        </row>
        <row r="640">
          <cell r="C640" t="str">
            <v>5.4.3.156.1</v>
          </cell>
          <cell r="D640" t="str">
            <v>Cabo Elétrico Unipolar,Isolado, De Cobre, Especificação Padrão Abnt Nbr-6880, Com Blindagem Semicondutora, Isolação Epr, Abnt Nbr-7286, Com Blindagem Semicondutora, Cobertura Pvc, Temperatura De Operação 105°C, Tensão De Isolação De 6/10Kv.  Seção : 185Mm²</v>
          </cell>
          <cell r="E640" t="str">
            <v>m</v>
          </cell>
          <cell r="F640"/>
          <cell r="G640">
            <v>57.76</v>
          </cell>
          <cell r="H640">
            <v>0</v>
          </cell>
        </row>
        <row r="641">
          <cell r="C641" t="str">
            <v>5.4.3.156.2</v>
          </cell>
          <cell r="D641" t="str">
            <v>Cabo Elétrico Unipolar,Isolado, De Cobre, Especificação Padrão Abnt Nbr-6880, Com Blindagem Semicondutora, Isolação Epr, Abnt Nbr-7286, Com Blindagem Semicondutora, Cobertura Pvc Na Cor Verde, Temperatura De Operação 105°C, Tensão De Isolação De 6/10Kv.  Seção : 95Mm²</v>
          </cell>
          <cell r="E641" t="str">
            <v>m</v>
          </cell>
          <cell r="F641"/>
          <cell r="G641">
            <v>45.92</v>
          </cell>
          <cell r="H641">
            <v>0</v>
          </cell>
        </row>
        <row r="642">
          <cell r="C642" t="str">
            <v>5.4.3.156.5</v>
          </cell>
          <cell r="D642" t="str">
            <v>Mufla Terminal Primaria Unipolar Uso Externo, Termocontratil, Para Cabo 185Mm2 Isol. 6/10Kv Em Epr - Borracha De Silicone</v>
          </cell>
          <cell r="E642" t="str">
            <v>un</v>
          </cell>
          <cell r="F642"/>
          <cell r="G642">
            <v>56.9</v>
          </cell>
          <cell r="H642">
            <v>0</v>
          </cell>
        </row>
        <row r="643">
          <cell r="C643" t="str">
            <v>5.4.3.156.6</v>
          </cell>
          <cell r="D643" t="str">
            <v>Mufla Terminal Primaria Unipolar Uso Externo, Termocontratil, Para Cabo 95Mm2 Isol. 6/10Kv Em Epr - Borracha De Silicone</v>
          </cell>
          <cell r="E643" t="str">
            <v>un</v>
          </cell>
          <cell r="F643"/>
          <cell r="G643">
            <v>139.78</v>
          </cell>
          <cell r="H643">
            <v>0</v>
          </cell>
        </row>
        <row r="644">
          <cell r="C644" t="str">
            <v>5.4.3.156.7</v>
          </cell>
          <cell r="D644" t="str">
            <v>Mufla Terminal Primaria Unipolar Uso Externo, Termocontratil, Para Cabo 25Mm2 Isol. 6/10Kv Em Epr - Borracha De Silicone</v>
          </cell>
          <cell r="E644" t="str">
            <v>un</v>
          </cell>
          <cell r="F644"/>
          <cell r="G644">
            <v>108.33</v>
          </cell>
          <cell r="H644">
            <v>0</v>
          </cell>
        </row>
        <row r="645">
          <cell r="C645" t="str">
            <v>5.4.3.157</v>
          </cell>
          <cell r="D645" t="str">
            <v>Proteção Secundária De Média Tensão - Interligação Ao Aterramento</v>
          </cell>
          <cell r="E645"/>
          <cell r="F645"/>
          <cell r="G645">
            <v>0</v>
          </cell>
          <cell r="H645">
            <v>0</v>
          </cell>
        </row>
        <row r="646">
          <cell r="C646" t="str">
            <v>5.4.3.157.1</v>
          </cell>
          <cell r="D646" t="str">
            <v>Cabo De Cobre Nú Tempera Meio Dura  #25Mm² - 7 Fios X Ø1,7Mm - Nbr 6524 - Referência: Termotécnica Ou Equivalente</v>
          </cell>
          <cell r="E646" t="str">
            <v>m</v>
          </cell>
          <cell r="F646"/>
          <cell r="G646">
            <v>5.32</v>
          </cell>
          <cell r="H646">
            <v>0</v>
          </cell>
        </row>
        <row r="647">
          <cell r="C647" t="str">
            <v>5.4.3.157.2</v>
          </cell>
          <cell r="D647" t="str">
            <v>Terminal A Compressao Em Cobre Estanhado P/ Cabo 25Mm2</v>
          </cell>
          <cell r="E647" t="str">
            <v>un</v>
          </cell>
          <cell r="F647"/>
          <cell r="G647">
            <v>1.9</v>
          </cell>
          <cell r="H647">
            <v>0</v>
          </cell>
        </row>
        <row r="648">
          <cell r="C648" t="str">
            <v>5.4.3.158</v>
          </cell>
          <cell r="D648" t="str">
            <v>Cabos De Interligação</v>
          </cell>
          <cell r="E648"/>
          <cell r="F648"/>
          <cell r="G648">
            <v>0</v>
          </cell>
          <cell r="H648">
            <v>0</v>
          </cell>
        </row>
        <row r="649">
          <cell r="C649" t="str">
            <v>5.4.3.158.1</v>
          </cell>
          <cell r="D649" t="str">
            <v>Cabo Elétrico Unipolar,Isolado, De Cobre, Especificação Padrão Abnt Nbr-6880, Com Blindagem Semicondutora, Isolação Epr, Abnt Nbr-7286, Com Blindagem Semicondutora, Cobertura Pvc, Temperatura De Operação 105°C, Tensão De Isolação De 6/10Kv.  Seção : 185Mm²</v>
          </cell>
          <cell r="E649" t="str">
            <v>m</v>
          </cell>
          <cell r="F649"/>
          <cell r="G649">
            <v>57.76</v>
          </cell>
          <cell r="H649">
            <v>0</v>
          </cell>
        </row>
        <row r="650">
          <cell r="C650" t="str">
            <v>5.4.3.158.2</v>
          </cell>
          <cell r="D650" t="str">
            <v>Cabo Elétrico Unipolar,Isolado, De Cobre, Especificação Padrão Abnt Nbr-6880, Com Blindagem Semicondutora, Isolação Epr, Abnt Nbr-7286, Com Blindagem Semicondutora, Cobertura Pvc Na Cor Preto, Temperatura De Operação 105°C, Tensão De Isolação De 6/10Kv.  Seção : 95Mm²</v>
          </cell>
          <cell r="E650" t="str">
            <v>m</v>
          </cell>
          <cell r="F650"/>
          <cell r="G650">
            <v>45.92</v>
          </cell>
          <cell r="H650">
            <v>0</v>
          </cell>
        </row>
        <row r="651">
          <cell r="C651" t="str">
            <v>5.4.3.158.3</v>
          </cell>
          <cell r="D651" t="str">
            <v>Cabo Elétrico Unipolar,Isolado, De Cobre, Especificação Padrão Abnt Nbr-6880, Com Blindagem Semicondutora, Isolação Epr, Abnt Nbr-7286, Com Blindagem Semicondutora, Cobertura Pvc, Temperatura De Operação 105°C, Tensão De Isolação De 6/10Kv.  Seção : 25Mm²</v>
          </cell>
          <cell r="E651" t="str">
            <v>m</v>
          </cell>
          <cell r="F651"/>
          <cell r="G651">
            <v>18.54</v>
          </cell>
          <cell r="H651">
            <v>0</v>
          </cell>
        </row>
        <row r="652">
          <cell r="C652" t="str">
            <v>5.4.3.158.4</v>
          </cell>
          <cell r="D652" t="str">
            <v>Cabo Elétrico De Força, 0,6/1 Kv, 1 Condutor De Cobre Nú, Têmpera Mole, Concêntrico Redondo, Seção Nominal 240 Mm2, Com Blindagem Semincondutora, Isolamento De Polietileno Reticulado, Blindagem Com Fita De Cobre,  Capa Pvc Anti-Chama Preta. Ref.: Sintenax Da Pirelli Ou Similar.</v>
          </cell>
          <cell r="E652" t="str">
            <v>m</v>
          </cell>
          <cell r="F652"/>
          <cell r="G652">
            <v>73.67</v>
          </cell>
          <cell r="H652">
            <v>0</v>
          </cell>
        </row>
        <row r="653">
          <cell r="C653" t="str">
            <v>5.4.3.158.5</v>
          </cell>
          <cell r="D653" t="str">
            <v>Cabo Elétrico De Força, 0,6/1 Kv, 1 Condutor De Cobre Nú, Têmpera Mole, Concêntrico Redondo, Seção Nominal 120 Mm2, Com Blindagem Semincondutora, Isolamento De Polietileno Reticulado, Blindagem Com Fita De Cobre,  Capa Pvc Anti-Chama Preta. Ref.: Sintenax Da Pirelli Ou Similar.</v>
          </cell>
          <cell r="E653" t="str">
            <v>m</v>
          </cell>
          <cell r="F653"/>
          <cell r="G653">
            <v>36.83</v>
          </cell>
          <cell r="H653">
            <v>0</v>
          </cell>
        </row>
        <row r="654">
          <cell r="C654" t="str">
            <v>5.4.3.158.6</v>
          </cell>
          <cell r="D654" t="str">
            <v>Cabo Elétrico De Força, 0,6/1 Kv, 1 Condutor De Cobre Nú, Têmpera Mole, Concêntrico Redondo, Seção Nominal 95 Mm2, Com Blindagem Semincondutora, Isolamento De Polietileno Reticulado, Blindagem Com Fita De Cobre,  Capa Pvc Anti-Chama Preta. Ref.: Sintenax Da Pirelli Ou Similar.</v>
          </cell>
          <cell r="E654" t="str">
            <v>m</v>
          </cell>
          <cell r="F654"/>
          <cell r="G654">
            <v>28.29</v>
          </cell>
          <cell r="H654">
            <v>0</v>
          </cell>
        </row>
        <row r="655">
          <cell r="C655" t="str">
            <v>5.4.3.158.7</v>
          </cell>
          <cell r="D655" t="str">
            <v>Cabo Elétrico De Força, 0,6/1 Kv, 1 Condutor De Cobre Nú, Têmpera Mole, Concêntrico Redondo, Seção Nominal 50 Mm2, Com Blindagem Semincondutora, Isolamento De Polietileno Reticulado, Blindagem Com Fita De Cobre,  Capa Pvc Anti-Chama Preta. Ref.: Sintenax Da Pirelli Ou Similar.</v>
          </cell>
          <cell r="E655" t="str">
            <v>m</v>
          </cell>
          <cell r="F655"/>
          <cell r="G655">
            <v>15.37</v>
          </cell>
          <cell r="H655">
            <v>0</v>
          </cell>
        </row>
        <row r="656">
          <cell r="C656" t="str">
            <v>5.4.3.158.8</v>
          </cell>
          <cell r="D656" t="str">
            <v>Cabo Elétrico De Força, 0,6/1 Kv, 1 Condutor De Cobre Nú, Têmpera Mole, Concêntrico Redondo, Seção Nominal 35 Mm2, Com Blindagem Semincondutora, Isolamento De Polietileno Reticulado, Blindagem Com Fita De Cobre,  Capa Pvc Anti-Chama Preta. Ref.: Sintenax Da Pirelli Ou Similar.</v>
          </cell>
          <cell r="E656" t="str">
            <v>m</v>
          </cell>
          <cell r="F656"/>
          <cell r="G656">
            <v>10.79</v>
          </cell>
          <cell r="H656">
            <v>0</v>
          </cell>
        </row>
        <row r="657">
          <cell r="C657" t="str">
            <v>5.4.3.158.9</v>
          </cell>
          <cell r="D657" t="str">
            <v>Cabo Elétrico De Força, 0,6/1 Kv, 1 Condutor De Cobre Nú, Têmpera Mole, Concêntrico Redondo, Seção Nominal 25 Mm2, Com Blindagem Semincondutora, Isolamento De Polietileno Reticulado, Blindagem Com Fita De Cobre,  Capa Pvc Anti-Chama Preta. Ref.: Sintenax Da Pirelli Ou Similar.</v>
          </cell>
          <cell r="E657" t="str">
            <v>m</v>
          </cell>
          <cell r="F657"/>
          <cell r="G657">
            <v>7.82</v>
          </cell>
          <cell r="H657">
            <v>0</v>
          </cell>
        </row>
        <row r="658">
          <cell r="C658" t="str">
            <v>5.4.3.158.10</v>
          </cell>
          <cell r="D658" t="str">
            <v>Cabo De Controle, Condutores De Cobre Estanhados, Tentos Coloridos, Com Blindagem, Isolamento Epr, 750V, Seção 4 X 1,5 Mm²</v>
          </cell>
          <cell r="E658" t="str">
            <v>m</v>
          </cell>
          <cell r="F658"/>
          <cell r="G658">
            <v>2.16</v>
          </cell>
          <cell r="H658">
            <v>0</v>
          </cell>
        </row>
        <row r="659">
          <cell r="C659" t="str">
            <v>5.4.3.158.11</v>
          </cell>
          <cell r="D659" t="str">
            <v>Cabo De Cobre Isolado XLPE 20/35 KV #35 Mm²</v>
          </cell>
          <cell r="E659" t="str">
            <v>m</v>
          </cell>
          <cell r="F659"/>
          <cell r="G659">
            <v>31.24</v>
          </cell>
          <cell r="H659">
            <v>0</v>
          </cell>
        </row>
        <row r="660">
          <cell r="C660" t="str">
            <v>5.4.3.158.12</v>
          </cell>
          <cell r="D660" t="str">
            <v>Cabo De Cobre Isolado XLPE 20/35 KV #70 Mm²</v>
          </cell>
          <cell r="E660" t="str">
            <v>m</v>
          </cell>
          <cell r="F660"/>
          <cell r="G660">
            <v>53.17</v>
          </cell>
          <cell r="H660">
            <v>0</v>
          </cell>
        </row>
        <row r="661">
          <cell r="C661" t="str">
            <v>5.4.3.159</v>
          </cell>
          <cell r="D661" t="str">
            <v>Interligação Ao Aterramento</v>
          </cell>
          <cell r="E661"/>
          <cell r="F661"/>
          <cell r="G661">
            <v>0</v>
          </cell>
          <cell r="H661">
            <v>0</v>
          </cell>
        </row>
        <row r="662">
          <cell r="C662" t="str">
            <v>5.4.3.159.1</v>
          </cell>
          <cell r="D662" t="str">
            <v>Cabo De Cobre Nú Tempera Meio Dura  #25Mm² - 7 Fios X Ø1,7Mm - Nbr 6524 - Referência: Termotécnica Ou Equivalente</v>
          </cell>
          <cell r="E662" t="str">
            <v>m</v>
          </cell>
          <cell r="F662"/>
          <cell r="G662">
            <v>5.32</v>
          </cell>
          <cell r="H662">
            <v>0</v>
          </cell>
        </row>
        <row r="663">
          <cell r="C663" t="str">
            <v>5.4.3.159.2</v>
          </cell>
          <cell r="D663" t="str">
            <v>Terminal A Compressao Em Cobre Estanhado P/ Cabo 35Mm2</v>
          </cell>
          <cell r="E663" t="str">
            <v>un</v>
          </cell>
          <cell r="F663"/>
          <cell r="G663">
            <v>0.53</v>
          </cell>
          <cell r="H663">
            <v>0</v>
          </cell>
        </row>
        <row r="664">
          <cell r="C664" t="str">
            <v>5.4.3.160</v>
          </cell>
          <cell r="D664" t="str">
            <v>Iluminação Interna</v>
          </cell>
          <cell r="E664"/>
          <cell r="F664"/>
          <cell r="G664">
            <v>0</v>
          </cell>
          <cell r="H664">
            <v>0</v>
          </cell>
        </row>
        <row r="665">
          <cell r="C665" t="str">
            <v>5.4.3.160.1</v>
          </cell>
          <cell r="D665" t="str">
            <v>Luminária Fluorescente Completa (2 X 32)W</v>
          </cell>
          <cell r="E665" t="str">
            <v>un</v>
          </cell>
          <cell r="F665"/>
          <cell r="G665">
            <v>60.52</v>
          </cell>
          <cell r="H665">
            <v>0</v>
          </cell>
        </row>
        <row r="666">
          <cell r="C666" t="str">
            <v>5.4.3.160.2</v>
          </cell>
          <cell r="D666" t="str">
            <v>Caixa Metalica Octogonal 4X4" Fundo Movel</v>
          </cell>
          <cell r="E666" t="str">
            <v>un</v>
          </cell>
          <cell r="F666"/>
          <cell r="G666">
            <v>1.19</v>
          </cell>
          <cell r="H666">
            <v>0</v>
          </cell>
        </row>
        <row r="667">
          <cell r="C667" t="str">
            <v>5.4.3.160.11</v>
          </cell>
          <cell r="D667" t="str">
            <v>Condulete De Aluminio Tipo Lr, Para Eletroduto Roscavel De 1", Com Tampa Cega</v>
          </cell>
          <cell r="E667" t="str">
            <v>un</v>
          </cell>
          <cell r="F667"/>
          <cell r="G667">
            <v>5.68</v>
          </cell>
          <cell r="H667">
            <v>0</v>
          </cell>
        </row>
        <row r="668">
          <cell r="C668" t="str">
            <v>5.4.3.160.12</v>
          </cell>
          <cell r="D668" t="str">
            <v>Condulete De Aluminio Tipo Lr, Para Eletroduto Roscavel De 3/4", Com Tampa Cega</v>
          </cell>
          <cell r="E668" t="str">
            <v>un</v>
          </cell>
          <cell r="F668"/>
          <cell r="G668">
            <v>3.61</v>
          </cell>
          <cell r="H668">
            <v>0</v>
          </cell>
        </row>
        <row r="669">
          <cell r="C669" t="str">
            <v>5.4.3.160.13</v>
          </cell>
          <cell r="D669" t="str">
            <v>Condulete De Aluminio Tipo Ll, Para Eletroduto Roscavel De 3/4", Com Tampa Cega</v>
          </cell>
          <cell r="E669" t="str">
            <v>un</v>
          </cell>
          <cell r="F669"/>
          <cell r="G669">
            <v>3.61</v>
          </cell>
          <cell r="H669">
            <v>0</v>
          </cell>
        </row>
        <row r="670">
          <cell r="C670" t="str">
            <v>5.4.3.160.14</v>
          </cell>
          <cell r="D670" t="str">
            <v>Condulete De Aluminio Tipo T, Para Eletroduto Roscavel De 3/4", Com Tampa Cega</v>
          </cell>
          <cell r="E670" t="str">
            <v>un</v>
          </cell>
          <cell r="F670"/>
          <cell r="G670">
            <v>4.17</v>
          </cell>
          <cell r="H670">
            <v>0</v>
          </cell>
        </row>
        <row r="671">
          <cell r="C671" t="str">
            <v>5.4.3.160.15</v>
          </cell>
          <cell r="D671" t="str">
            <v>Condulete De Aluminio Tipo X, Para Eletroduto Roscavel De 3/4", Com Tampa Cega</v>
          </cell>
          <cell r="E671" t="str">
            <v>un</v>
          </cell>
          <cell r="F671"/>
          <cell r="G671">
            <v>5.5</v>
          </cell>
          <cell r="H671">
            <v>0</v>
          </cell>
        </row>
        <row r="672">
          <cell r="C672" t="str">
            <v>5.4.3.160.16</v>
          </cell>
          <cell r="D672" t="str">
            <v>Eletroduto Rígido, Aço Galvanizado Com Costura Classe Pesada, Rosca Bsp, 3/4", Fornecido Em Varas No Comprimento De 3 (Três) M Com Uma Luva Em Uma Das Extremidades E Um Protetor Para Rosca Na Outra. Ref.: Apolo Ou Similar.</v>
          </cell>
          <cell r="E672" t="str">
            <v>pç</v>
          </cell>
          <cell r="F672"/>
          <cell r="G672">
            <v>15.81</v>
          </cell>
          <cell r="H672">
            <v>0</v>
          </cell>
        </row>
        <row r="673">
          <cell r="C673" t="str">
            <v>5.4.3.160.17</v>
          </cell>
          <cell r="D673" t="str">
            <v>Eletroduto Rígido, Aço Galvanizado Com Costura Classe Pesada, Rosca Bsp, 1", Fornecido Em Varas No Comprimento De 3 (Três) M Com Uma Luva Em Uma Das Extremidades E Um Protetor Para Rosca Na Outra. Ref.: Apolo Ou Similar.</v>
          </cell>
          <cell r="E673" t="str">
            <v>pç</v>
          </cell>
          <cell r="F673"/>
          <cell r="G673">
            <v>21.13</v>
          </cell>
          <cell r="H673">
            <v>0</v>
          </cell>
        </row>
        <row r="674">
          <cell r="C674" t="str">
            <v>5.4.3.160.18</v>
          </cell>
          <cell r="D674" t="str">
            <v>Cabo De Cobre Singelo, Isolamento Pvc,750V,70°C,Seção 2,5 Mm2</v>
          </cell>
          <cell r="E674" t="str">
            <v>m</v>
          </cell>
          <cell r="F674"/>
          <cell r="G674">
            <v>1.07</v>
          </cell>
          <cell r="H674">
            <v>0</v>
          </cell>
        </row>
        <row r="675">
          <cell r="C675" t="str">
            <v>5.4.3.160.19</v>
          </cell>
          <cell r="D675" t="str">
            <v>Cabo De Cobre ,Singelo, Isolamento De Pvc,750V,70 Oc ,Seção 4 Mm²</v>
          </cell>
          <cell r="E675" t="str">
            <v>m</v>
          </cell>
          <cell r="F675"/>
          <cell r="G675">
            <v>1.53</v>
          </cell>
          <cell r="H675">
            <v>0</v>
          </cell>
        </row>
        <row r="676">
          <cell r="C676" t="str">
            <v>5.4.3.161</v>
          </cell>
          <cell r="D676" t="str">
            <v>Iluminação Externa</v>
          </cell>
          <cell r="E676"/>
          <cell r="F676"/>
          <cell r="G676">
            <v>0</v>
          </cell>
          <cell r="H676">
            <v>0</v>
          </cell>
        </row>
        <row r="677">
          <cell r="C677" t="str">
            <v>5.4.3.161.1</v>
          </cell>
          <cell r="D677" t="str">
            <v>Luminaria Led Refletor Retangular Bivolt, Luz Branca, 10 W</v>
          </cell>
          <cell r="E677" t="str">
            <v>un</v>
          </cell>
          <cell r="F677"/>
          <cell r="G677">
            <v>37.97</v>
          </cell>
          <cell r="H677">
            <v>0</v>
          </cell>
        </row>
        <row r="678">
          <cell r="C678" t="str">
            <v>5.4.3.161.2</v>
          </cell>
          <cell r="D678" t="str">
            <v>Luminaria Led Refletor Retangular Bivolt, Luz Branca, 30 W</v>
          </cell>
          <cell r="E678" t="str">
            <v>un</v>
          </cell>
          <cell r="F678"/>
          <cell r="G678">
            <v>73.540000000000006</v>
          </cell>
          <cell r="H678">
            <v>0</v>
          </cell>
        </row>
        <row r="679">
          <cell r="C679" t="str">
            <v>5.4.3.161.3</v>
          </cell>
          <cell r="D679" t="str">
            <v>Eletroduto Rígido, Aço Galvanizado Com Costura Classe Pesada, Rosca Bsp, 3/4", Fornecido Em Varas No Comprimento De 3 (Três) M Com Uma Luva Em Uma Das Extremidades E Um Protetor Para Rosca Na Outra. Ref.: Apolo Ou Similar.</v>
          </cell>
          <cell r="E679" t="str">
            <v>pç</v>
          </cell>
          <cell r="F679"/>
          <cell r="G679">
            <v>15.81</v>
          </cell>
          <cell r="H679">
            <v>0</v>
          </cell>
        </row>
        <row r="680">
          <cell r="C680" t="str">
            <v>5.4.3.161.4</v>
          </cell>
          <cell r="D680" t="str">
            <v>Eletroduto Rígido, Aço Galvanizado Com Costura Classe Pesada, Rosca Bsp, 1", Fornecido Em Varas No Comprimento De 3 (Três) M Com Uma Luva Em Uma Das Extremidades E Um Protetor Para Rosca Na Outra. Ref.: Apolo Ou Similar.</v>
          </cell>
          <cell r="E680" t="str">
            <v>pç</v>
          </cell>
          <cell r="F680"/>
          <cell r="G680">
            <v>21.13</v>
          </cell>
          <cell r="H680">
            <v>0</v>
          </cell>
        </row>
        <row r="681">
          <cell r="C681" t="str">
            <v>5.4.3.161.5</v>
          </cell>
          <cell r="D681" t="str">
            <v>Eletroduto Rígido De Aço Galvanizado Com Costura 1.1/2" Em Varas De 3 Metros, Rosca Bsp. (Pos 18) . Ref.: Apolo Ou Similar</v>
          </cell>
          <cell r="E681" t="str">
            <v>pç</v>
          </cell>
          <cell r="F681"/>
          <cell r="G681">
            <v>31.42</v>
          </cell>
          <cell r="H681">
            <v>0</v>
          </cell>
        </row>
        <row r="682">
          <cell r="C682" t="str">
            <v>5.4.3.161.6</v>
          </cell>
          <cell r="D682" t="str">
            <v>Cabo De Cobre Singelo, Isolamento Pvc,750V,70°C,Seção 2,5 Mm2</v>
          </cell>
          <cell r="E682" t="str">
            <v>m</v>
          </cell>
          <cell r="F682"/>
          <cell r="G682">
            <v>1.02</v>
          </cell>
          <cell r="H682">
            <v>0</v>
          </cell>
        </row>
        <row r="683">
          <cell r="C683" t="str">
            <v>5.4.3.161.8</v>
          </cell>
          <cell r="D683" t="str">
            <v>Condulete De Aluminio Tipo Ll, Para Eletroduto Roscavel De 3/4", Com Tampa Cega</v>
          </cell>
          <cell r="E683" t="str">
            <v>un</v>
          </cell>
          <cell r="F683"/>
          <cell r="G683">
            <v>3.61</v>
          </cell>
          <cell r="H683">
            <v>0</v>
          </cell>
        </row>
        <row r="684">
          <cell r="C684" t="str">
            <v>5.4.3.161.9</v>
          </cell>
          <cell r="D684" t="str">
            <v>Eletroduto De Pvc Rígido Diam 3/4"X3,00M Com 1 Luva</v>
          </cell>
          <cell r="E684" t="str">
            <v>pç</v>
          </cell>
          <cell r="F684"/>
          <cell r="G684">
            <v>6.36</v>
          </cell>
          <cell r="H684">
            <v>0</v>
          </cell>
        </row>
        <row r="685">
          <cell r="C685" t="str">
            <v>5.4.3.161.10</v>
          </cell>
          <cell r="D685" t="str">
            <v>Cabo De Cobre Singelo, Isolamento Pvc,750V,70°C,Seção 2,5 Mm2</v>
          </cell>
          <cell r="E685" t="str">
            <v>m</v>
          </cell>
          <cell r="F685"/>
          <cell r="G685">
            <v>1.02</v>
          </cell>
          <cell r="H685">
            <v>0</v>
          </cell>
        </row>
        <row r="686">
          <cell r="C686" t="str">
            <v>5.4.3.161.11</v>
          </cell>
          <cell r="D686" t="str">
            <v>Transformador De Serviços Auxiliares. 112,5Kva. 4160/380/220 V. À Seco. TRANSFORMADOR DE SERVIÇOS AUXILIARES. 112,5KVA. 4160/380/220 V. À SECO. INCLUE CUBÍCULO PARA MONTAGEM DENTRO DO GRUPO DOS CCM</v>
          </cell>
          <cell r="E686" t="str">
            <v>un</v>
          </cell>
          <cell r="F686"/>
          <cell r="G686">
            <v>39180.5</v>
          </cell>
          <cell r="H686">
            <v>0</v>
          </cell>
        </row>
        <row r="687">
          <cell r="C687" t="str">
            <v>5.4.3.161.12</v>
          </cell>
          <cell r="D687" t="str">
            <v>Cubículo Manobra De Motores (Ebp I e II), Instalação Abrigada, Tipo Metal-Clad 4,16 Kv, Com Medidores, Reles, Disjuntor De Entrada, Contatores, Fusíveis E Barramento, Saida Para 8 Motores, Conforme Diagrama Unipolar.</v>
          </cell>
          <cell r="E687" t="str">
            <v>un</v>
          </cell>
          <cell r="F687"/>
          <cell r="G687">
            <v>837336.1</v>
          </cell>
          <cell r="H687">
            <v>0</v>
          </cell>
        </row>
        <row r="688">
          <cell r="C688" t="str">
            <v>5.4.3.161.15</v>
          </cell>
          <cell r="D688" t="str">
            <v>Aparelho De Iluminação, Pescoço De Alumínio Fundido, Refletor Estampado Em Chapa De Alumínio, Para Lâmpada Led 100 W, 220 V. Ref.: Peterco X-21/5 Ou Similar.</v>
          </cell>
          <cell r="E688" t="str">
            <v>un</v>
          </cell>
          <cell r="F688"/>
          <cell r="G688">
            <v>0</v>
          </cell>
          <cell r="H688">
            <v>0</v>
          </cell>
        </row>
        <row r="689">
          <cell r="C689" t="str">
            <v>5.4.3.161.16</v>
          </cell>
          <cell r="D689" t="str">
            <v>Luminária Led Pública 100W</v>
          </cell>
          <cell r="E689" t="str">
            <v>un</v>
          </cell>
          <cell r="F689"/>
          <cell r="G689">
            <v>263.64999999999998</v>
          </cell>
          <cell r="H689">
            <v>0</v>
          </cell>
        </row>
        <row r="690">
          <cell r="C690" t="str">
            <v>5.4.3.161.19</v>
          </cell>
          <cell r="D690" t="str">
            <v>Split System Completo C/ Controle Remoto - Cap. 4,00 Tr (Fornecimento E Montagem)</v>
          </cell>
          <cell r="E690" t="str">
            <v>un</v>
          </cell>
          <cell r="F690"/>
          <cell r="G690">
            <v>3377.75</v>
          </cell>
          <cell r="H690">
            <v>0</v>
          </cell>
        </row>
        <row r="691">
          <cell r="C691" t="str">
            <v>5.4.3.162</v>
          </cell>
          <cell r="D691" t="str">
            <v>Painel De Serviços Auxiliares, Para C.A Com Disjuntores Termomagneticos, Conforme Diagrama Unipolar.</v>
          </cell>
          <cell r="E691" t="str">
            <v>un</v>
          </cell>
          <cell r="F691"/>
          <cell r="G691">
            <v>2196.19</v>
          </cell>
          <cell r="H691">
            <v>0</v>
          </cell>
        </row>
        <row r="692">
          <cell r="C692" t="str">
            <v>5.4.3.163</v>
          </cell>
          <cell r="D692" t="str">
            <v>Painel De Comando De Válvulas</v>
          </cell>
          <cell r="E692" t="str">
            <v>un</v>
          </cell>
          <cell r="F692"/>
          <cell r="G692">
            <v>18053.259999999998</v>
          </cell>
          <cell r="H692">
            <v>0</v>
          </cell>
        </row>
        <row r="693">
          <cell r="C693" t="str">
            <v>5.4.4</v>
          </cell>
          <cell r="D693" t="str">
            <v>Ligação Bombas - Barrilete</v>
          </cell>
          <cell r="E693"/>
          <cell r="F693"/>
          <cell r="G693">
            <v>0</v>
          </cell>
          <cell r="H693">
            <v>0</v>
          </cell>
        </row>
        <row r="694">
          <cell r="C694" t="str">
            <v>5.4.4.1</v>
          </cell>
          <cell r="D694" t="str">
            <v>Junta De Montagem Da Bomba Diâmetro 700 Mm.( Pos 6 )</v>
          </cell>
          <cell r="E694" t="str">
            <v>un</v>
          </cell>
          <cell r="F694"/>
          <cell r="G694">
            <v>4354.3500000000004</v>
          </cell>
          <cell r="H694">
            <v>0</v>
          </cell>
        </row>
        <row r="695">
          <cell r="C695" t="str">
            <v>5.4.4.2</v>
          </cell>
          <cell r="D695" t="str">
            <v>Expansão Concentrica, Em Aço De Diâmetro 700 X 900 Mm, Com Anel De Encosto (Pos 7 )</v>
          </cell>
          <cell r="E695" t="str">
            <v>un</v>
          </cell>
          <cell r="F695"/>
          <cell r="G695">
            <v>5365.69</v>
          </cell>
          <cell r="H695">
            <v>0</v>
          </cell>
        </row>
        <row r="696">
          <cell r="C696" t="str">
            <v>5.4.4.3</v>
          </cell>
          <cell r="D696" t="str">
            <v>Válvula De Retenção De Deslocamento Axial, Com Flanges, Diâmetro 900 Mm; Pn - 10 (Pos 8 )</v>
          </cell>
          <cell r="E696" t="str">
            <v>un</v>
          </cell>
          <cell r="F696"/>
          <cell r="G696">
            <v>32367.279999999999</v>
          </cell>
          <cell r="H696">
            <v>0</v>
          </cell>
        </row>
        <row r="697">
          <cell r="C697" t="str">
            <v>5.4.4.4</v>
          </cell>
          <cell r="D697" t="str">
            <v>Junta De Montagem Tipo Dresser 3/8"; Diâmetro 900 Mm (Pos 9 )</v>
          </cell>
          <cell r="E697" t="str">
            <v>un</v>
          </cell>
          <cell r="F697"/>
          <cell r="G697">
            <v>5578.59</v>
          </cell>
          <cell r="H697">
            <v>0</v>
          </cell>
        </row>
        <row r="698">
          <cell r="C698" t="str">
            <v>5.4.4.5</v>
          </cell>
          <cell r="D698" t="str">
            <v>Peça Ponta-Flange, Aço Espessura 3/8"; Diâmetro 900 Mm ( Pos 10 )</v>
          </cell>
          <cell r="E698" t="str">
            <v>un</v>
          </cell>
          <cell r="F698"/>
          <cell r="G698">
            <v>2855.92</v>
          </cell>
          <cell r="H698">
            <v>0</v>
          </cell>
        </row>
        <row r="699">
          <cell r="C699" t="str">
            <v>5.4.4.6</v>
          </cell>
          <cell r="D699" t="str">
            <v>Peça Ponta-Flange, Aço Espessura 3/8"; Diâmetro 900 Mm ( Pos 11 )</v>
          </cell>
          <cell r="E699" t="str">
            <v>un</v>
          </cell>
          <cell r="F699"/>
          <cell r="G699">
            <v>7151.71</v>
          </cell>
          <cell r="H699">
            <v>0</v>
          </cell>
        </row>
        <row r="700">
          <cell r="C700" t="str">
            <v>5.4.4.7</v>
          </cell>
          <cell r="D700" t="str">
            <v>Válvula Borboleta Com Acionamento Por Moto-Redutor Com Flanges; Diâmetro 900 Mm; Pn - 10 ( Pos 12 )</v>
          </cell>
          <cell r="E700" t="str">
            <v>un</v>
          </cell>
          <cell r="F700"/>
          <cell r="G700">
            <v>95049.37</v>
          </cell>
          <cell r="H700">
            <v>0</v>
          </cell>
        </row>
        <row r="701">
          <cell r="C701" t="str">
            <v>5.4.4.8</v>
          </cell>
          <cell r="D701" t="str">
            <v>Peça Ponta-Flange, Aço Espessura 1/2"; Diâmetro 900 Mm Com Anel De Encosto ( Pos 13 )</v>
          </cell>
          <cell r="E701" t="str">
            <v>un</v>
          </cell>
          <cell r="F701"/>
          <cell r="G701">
            <v>7010.01</v>
          </cell>
          <cell r="H701">
            <v>0</v>
          </cell>
        </row>
        <row r="702">
          <cell r="C702" t="str">
            <v>5.4.4.9</v>
          </cell>
          <cell r="D702" t="str">
            <v>Tubo Extremidades Para Solda, Aço, Espessura 3/8", Diâmetro 900 Mm ( Pos 14 )</v>
          </cell>
          <cell r="E702" t="str">
            <v>un</v>
          </cell>
          <cell r="F702"/>
          <cell r="G702">
            <v>2994.4</v>
          </cell>
          <cell r="H702">
            <v>0</v>
          </cell>
        </row>
        <row r="703">
          <cell r="C703" t="str">
            <v>5.4.4.10</v>
          </cell>
          <cell r="D703" t="str">
            <v>Tubo Extremidades Para Solda, Aço, Espessura 3/8", Diâmetro 900 Mm ( Pos 15 )</v>
          </cell>
          <cell r="E703" t="str">
            <v>un</v>
          </cell>
          <cell r="F703"/>
          <cell r="G703">
            <v>6733.09</v>
          </cell>
          <cell r="H703">
            <v>0</v>
          </cell>
        </row>
        <row r="704">
          <cell r="C704" t="str">
            <v>5.4.4.11</v>
          </cell>
          <cell r="D704" t="str">
            <v>Curva Gomada, Diâmetro 900 Mm, Ângulo 38º, Aço, Espessura 3/8" ( Pos 16 )</v>
          </cell>
          <cell r="E704" t="str">
            <v>un</v>
          </cell>
          <cell r="F704"/>
          <cell r="G704">
            <v>3375.19</v>
          </cell>
          <cell r="H704">
            <v>0</v>
          </cell>
        </row>
        <row r="705">
          <cell r="C705" t="str">
            <v>5.4.4.12</v>
          </cell>
          <cell r="D705" t="str">
            <v>Derivação Especial, Com Três Entradas De Diâmetros 900 Mm E Uma Saída De Diâmetro 1500 Mm Aço, Espessura 3/8" Com Reforços Internos ( Pos 17 )</v>
          </cell>
          <cell r="E705" t="str">
            <v>un</v>
          </cell>
          <cell r="F705"/>
          <cell r="G705">
            <v>40640.839999999997</v>
          </cell>
          <cell r="H705">
            <v>0</v>
          </cell>
        </row>
        <row r="706">
          <cell r="C706" t="str">
            <v>5.4.4.13</v>
          </cell>
          <cell r="D706" t="str">
            <v xml:space="preserve">Conexões De Aço Para Solda De Topo, Dimensões Pela  Ansi - B 16.9 - Tubos Schd 40 Para Diâmetro 8": </v>
          </cell>
          <cell r="E706"/>
          <cell r="F706"/>
          <cell r="G706">
            <v>0</v>
          </cell>
          <cell r="H706">
            <v>0</v>
          </cell>
        </row>
        <row r="707">
          <cell r="C707" t="str">
            <v>5.4.4.13.1</v>
          </cell>
          <cell r="D707" t="str">
            <v>Curva 90º Ralo Curto ( Pos 25 )</v>
          </cell>
          <cell r="E707" t="str">
            <v>un</v>
          </cell>
          <cell r="F707"/>
          <cell r="G707">
            <v>207.7</v>
          </cell>
          <cell r="H707">
            <v>0</v>
          </cell>
        </row>
        <row r="708">
          <cell r="C708" t="str">
            <v>5.4.4.13.2</v>
          </cell>
          <cell r="D708" t="str">
            <v>Curva 90º Ralo Longo ( Pos 26 )</v>
          </cell>
          <cell r="E708" t="str">
            <v>un</v>
          </cell>
          <cell r="F708"/>
          <cell r="G708">
            <v>311.56</v>
          </cell>
          <cell r="H708">
            <v>0</v>
          </cell>
        </row>
        <row r="709">
          <cell r="C709" t="str">
            <v>5.4.4.13.3</v>
          </cell>
          <cell r="D709" t="str">
            <v>Tê Normal ( Pos 27 )</v>
          </cell>
          <cell r="E709" t="str">
            <v>un</v>
          </cell>
          <cell r="F709"/>
          <cell r="G709">
            <v>415.41</v>
          </cell>
          <cell r="H709">
            <v>0</v>
          </cell>
        </row>
        <row r="710">
          <cell r="C710" t="str">
            <v>5.4.4.13.4</v>
          </cell>
          <cell r="D710" t="str">
            <v>Tê Redução Para 2.1/2 (Pos 28 )</v>
          </cell>
          <cell r="E710" t="str">
            <v>un</v>
          </cell>
          <cell r="F710"/>
          <cell r="G710">
            <v>380.78</v>
          </cell>
          <cell r="H710">
            <v>0</v>
          </cell>
        </row>
        <row r="711">
          <cell r="C711" t="str">
            <v>5.4.4.13.5</v>
          </cell>
          <cell r="D711" t="str">
            <v>Tubo Schd 40 ( Pos 29 )</v>
          </cell>
          <cell r="E711" t="str">
            <v>kg</v>
          </cell>
          <cell r="F711"/>
          <cell r="G711">
            <v>7.62</v>
          </cell>
          <cell r="H711">
            <v>0</v>
          </cell>
        </row>
        <row r="712">
          <cell r="C712" t="str">
            <v>5.4.4.13.6</v>
          </cell>
          <cell r="D712" t="str">
            <v>Flange Sobreposto, Aço Carbono Diâmetro 8" ( Pos 30 )</v>
          </cell>
          <cell r="E712" t="str">
            <v>un</v>
          </cell>
          <cell r="F712"/>
          <cell r="G712">
            <v>276.94</v>
          </cell>
          <cell r="H712">
            <v>0</v>
          </cell>
        </row>
        <row r="713">
          <cell r="C713" t="str">
            <v>5.4.4.14</v>
          </cell>
          <cell r="D713" t="str">
            <v>Registro De Gaveta Em Aço A .216 - Wcb, Cl  / 150 Lbs, Flangeada (Pos 31) Ansi</v>
          </cell>
          <cell r="E713" t="str">
            <v>un</v>
          </cell>
          <cell r="F713"/>
          <cell r="G713">
            <v>287781.28000000003</v>
          </cell>
          <cell r="H713">
            <v>0</v>
          </cell>
        </row>
        <row r="714">
          <cell r="C714" t="str">
            <v>5.4.4.15</v>
          </cell>
          <cell r="D714" t="str">
            <v>Conexões De Aço Para Solda De Topo, Dimensões Pela  Ansi - B 16.9 - Tubos Schd 40 D=2 1/2 " :</v>
          </cell>
          <cell r="E714"/>
          <cell r="F714"/>
          <cell r="G714">
            <v>0</v>
          </cell>
          <cell r="H714">
            <v>0</v>
          </cell>
        </row>
        <row r="715">
          <cell r="C715" t="str">
            <v>5.4.4.15.1</v>
          </cell>
          <cell r="D715" t="str">
            <v>Curva 90º Raio Longo ( Pos 32 )</v>
          </cell>
          <cell r="E715" t="str">
            <v>un</v>
          </cell>
          <cell r="F715"/>
          <cell r="G715">
            <v>17.309999999999999</v>
          </cell>
          <cell r="H715">
            <v>0</v>
          </cell>
        </row>
        <row r="716">
          <cell r="C716" t="str">
            <v>5.4.4.15.2</v>
          </cell>
          <cell r="D716" t="str">
            <v>Tê Normal ( Pos 33 )</v>
          </cell>
          <cell r="E716" t="str">
            <v>un</v>
          </cell>
          <cell r="F716"/>
          <cell r="G716">
            <v>34.61</v>
          </cell>
          <cell r="H716">
            <v>0</v>
          </cell>
        </row>
        <row r="717">
          <cell r="C717" t="str">
            <v>5.4.4.15.3</v>
          </cell>
          <cell r="D717" t="str">
            <v>Tubo Schd 40 ( Pos 34 )</v>
          </cell>
          <cell r="E717" t="str">
            <v>kg</v>
          </cell>
          <cell r="F717"/>
          <cell r="G717">
            <v>501.95</v>
          </cell>
          <cell r="H717">
            <v>0</v>
          </cell>
        </row>
        <row r="718">
          <cell r="C718" t="str">
            <v>5.4.4.15.4</v>
          </cell>
          <cell r="D718" t="str">
            <v>Flange Sobreposto, Aço Carbono Diâmetro 2 1/2" ( Pos 35 )</v>
          </cell>
          <cell r="E718" t="str">
            <v>un</v>
          </cell>
          <cell r="F718"/>
          <cell r="G718">
            <v>86.53</v>
          </cell>
          <cell r="H718">
            <v>0</v>
          </cell>
        </row>
        <row r="719">
          <cell r="C719" t="str">
            <v>5.4.4.15.5</v>
          </cell>
          <cell r="D719" t="str">
            <v xml:space="preserve">Válvula Esferica 2.1/2 ,Corpo Em Aço A.216 - Wcb, Passagem Plena, </v>
          </cell>
          <cell r="E719"/>
          <cell r="F719"/>
          <cell r="G719">
            <v>0</v>
          </cell>
          <cell r="H719">
            <v>0</v>
          </cell>
        </row>
        <row r="720">
          <cell r="C720" t="str">
            <v>5.4.4.15.6</v>
          </cell>
          <cell r="D720" t="str">
            <v>Cl / 150, Flangeada, Ansi  (Pos 36 )</v>
          </cell>
          <cell r="E720" t="str">
            <v>un</v>
          </cell>
          <cell r="F720"/>
          <cell r="G720">
            <v>1093.52</v>
          </cell>
          <cell r="H720">
            <v>0</v>
          </cell>
        </row>
        <row r="721">
          <cell r="C721" t="str">
            <v>5.4.4.15.7</v>
          </cell>
          <cell r="D721" t="str">
            <v>Tê Redução Para 1.1/2 ( Pos 37 )</v>
          </cell>
          <cell r="E721" t="str">
            <v>un</v>
          </cell>
          <cell r="F721"/>
          <cell r="G721">
            <v>34.61</v>
          </cell>
          <cell r="H721">
            <v>0</v>
          </cell>
        </row>
        <row r="722">
          <cell r="C722" t="str">
            <v>5.4.4.16</v>
          </cell>
          <cell r="D722" t="str">
            <v xml:space="preserve">Conexões De Aço Para Solda De Topo Dimensões Pela Ansi B 16,9 Tubos Schd 40 Para Diâmetro 1 1/2 "  </v>
          </cell>
          <cell r="E722"/>
          <cell r="F722"/>
          <cell r="G722">
            <v>0</v>
          </cell>
          <cell r="H722">
            <v>0</v>
          </cell>
        </row>
        <row r="723">
          <cell r="C723" t="str">
            <v>5.4.4.16.1</v>
          </cell>
          <cell r="D723" t="str">
            <v>Curva 90º Raio Longo ( Pos 38 )</v>
          </cell>
          <cell r="E723" t="str">
            <v>un</v>
          </cell>
          <cell r="F723"/>
          <cell r="G723">
            <v>8.65</v>
          </cell>
          <cell r="H723">
            <v>0</v>
          </cell>
        </row>
        <row r="724">
          <cell r="C724" t="str">
            <v>5.4.4.16.2</v>
          </cell>
          <cell r="D724" t="str">
            <v>Tê Normal ( Pos 39 )</v>
          </cell>
          <cell r="E724" t="str">
            <v>un</v>
          </cell>
          <cell r="F724"/>
          <cell r="G724">
            <v>10.38</v>
          </cell>
          <cell r="H724">
            <v>0</v>
          </cell>
        </row>
        <row r="725">
          <cell r="C725" t="str">
            <v>5.4.4.16.3</v>
          </cell>
          <cell r="D725" t="str">
            <v>Tubo Schd 40 ( Pos 40 )</v>
          </cell>
          <cell r="E725" t="str">
            <v>kg</v>
          </cell>
          <cell r="F725"/>
          <cell r="G725">
            <v>207.7</v>
          </cell>
          <cell r="H725">
            <v>0</v>
          </cell>
        </row>
        <row r="726">
          <cell r="C726" t="str">
            <v>5.4.4.16.4</v>
          </cell>
          <cell r="D726" t="str">
            <v xml:space="preserve">Válvula Esférica Diâmetro 1 1/2 ", Corpo Em Aço A. 216 - Wcb, </v>
          </cell>
          <cell r="E726"/>
          <cell r="F726"/>
          <cell r="G726">
            <v>0</v>
          </cell>
          <cell r="H726">
            <v>0</v>
          </cell>
        </row>
        <row r="727">
          <cell r="C727" t="str">
            <v>5.4.4.16.5</v>
          </cell>
          <cell r="D727" t="str">
            <v xml:space="preserve">Passagem Plena, Cl /150 Lbs, Flangeada, Ansi </v>
          </cell>
          <cell r="E727" t="str">
            <v>un</v>
          </cell>
          <cell r="F727"/>
          <cell r="G727">
            <v>699.03</v>
          </cell>
          <cell r="H727">
            <v>0</v>
          </cell>
        </row>
        <row r="728">
          <cell r="C728" t="str">
            <v>5.4.4.17</v>
          </cell>
          <cell r="D728" t="str">
            <v>Ventosa De Tríplice Função , Com Flanges, Fofo, Pn10, Ø150 Mm.</v>
          </cell>
          <cell r="E728" t="str">
            <v>un</v>
          </cell>
          <cell r="F728"/>
          <cell r="G728">
            <v>1207.1099999999999</v>
          </cell>
          <cell r="H728">
            <v>0</v>
          </cell>
        </row>
        <row r="729">
          <cell r="C729" t="str">
            <v>5.4.4.18</v>
          </cell>
          <cell r="D729" t="str">
            <v>Ventosa De Tríplice Função , Com Flanges, Fofo, Pn10, Ø200 Mm.</v>
          </cell>
          <cell r="E729" t="str">
            <v>un</v>
          </cell>
          <cell r="F729"/>
          <cell r="G729">
            <v>1728.79</v>
          </cell>
          <cell r="H729">
            <v>0</v>
          </cell>
        </row>
        <row r="730">
          <cell r="C730" t="str">
            <v>5.4.4.19</v>
          </cell>
          <cell r="D730" t="str">
            <v>Registro De Gaveta , Chato, Com Bolsas, Junta Elástica, Cabeçote, Ferro Dúctil, Ø200 Mm</v>
          </cell>
          <cell r="E730" t="str">
            <v>un</v>
          </cell>
          <cell r="F730"/>
          <cell r="G730">
            <v>1505.85</v>
          </cell>
          <cell r="H730">
            <v>0</v>
          </cell>
        </row>
        <row r="731">
          <cell r="C731" t="str">
            <v>5.4.4.20</v>
          </cell>
          <cell r="D731" t="str">
            <v>Toco Ponta/Flange Em Aço Carbono A-36, Chapa De 3/8", Com Colarinho De Reforço. Pn10, Ø150 Mm. Comprimento De 150Mm.</v>
          </cell>
          <cell r="E731" t="str">
            <v>un</v>
          </cell>
          <cell r="F731"/>
          <cell r="G731">
            <v>788.25</v>
          </cell>
          <cell r="H731">
            <v>0</v>
          </cell>
        </row>
        <row r="732">
          <cell r="C732" t="str">
            <v>5.4.4.21</v>
          </cell>
          <cell r="D732" t="str">
            <v>Toco Ponta/Flange Em Aço Carbono A-36, Chapa De 3/8", Com Colarinho De Reforço. Pn10, Ø200 Mm. Comprimento De 700 Mm.</v>
          </cell>
          <cell r="E732" t="str">
            <v>un</v>
          </cell>
          <cell r="F732"/>
          <cell r="G732">
            <v>1169.8800000000001</v>
          </cell>
          <cell r="H732">
            <v>0</v>
          </cell>
        </row>
        <row r="733">
          <cell r="C733" t="str">
            <v>5.4.4.22</v>
          </cell>
          <cell r="D733" t="str">
            <v>Registro De Gaveta , Chato, Com Bolsas, Junta Elástica, Cabeçote, Ferro Dúctil, Ø150 Mm</v>
          </cell>
          <cell r="E733" t="str">
            <v>un</v>
          </cell>
          <cell r="F733"/>
          <cell r="G733">
            <v>1044.05</v>
          </cell>
          <cell r="H733">
            <v>0</v>
          </cell>
        </row>
        <row r="734">
          <cell r="C734" t="str">
            <v>5.4.4.23</v>
          </cell>
          <cell r="D734" t="str">
            <v>Acessório Para Flange, Ø900 Mm</v>
          </cell>
          <cell r="E734" t="str">
            <v>un</v>
          </cell>
          <cell r="F734"/>
          <cell r="G734">
            <v>289.39976371973125</v>
          </cell>
          <cell r="H734">
            <v>0</v>
          </cell>
        </row>
        <row r="735">
          <cell r="C735" t="str">
            <v>5.4.4.24</v>
          </cell>
          <cell r="D735" t="str">
            <v>Quadro Geral De Baixa Tensão</v>
          </cell>
          <cell r="E735" t="str">
            <v>cj</v>
          </cell>
          <cell r="F735"/>
          <cell r="G735">
            <v>57118.720000000001</v>
          </cell>
          <cell r="H735">
            <v>0</v>
          </cell>
        </row>
        <row r="736">
          <cell r="C736" t="str">
            <v>5.4.4.25</v>
          </cell>
          <cell r="D736" t="str">
            <v>Quadro De Serviços Auxiliares</v>
          </cell>
          <cell r="E736" t="str">
            <v>pç</v>
          </cell>
          <cell r="F736"/>
          <cell r="G736">
            <v>19039.57</v>
          </cell>
          <cell r="H736">
            <v>0</v>
          </cell>
        </row>
        <row r="737">
          <cell r="C737" t="str">
            <v>5.4.4.26</v>
          </cell>
          <cell r="D737" t="str">
            <v xml:space="preserve">Cubículo de proteção e medição em média tensão, dos transformadores, TR3 e TR4, classe de isolamento 36KV,  instalação abrigada, sobre base, c/ transf. instrumentação, disjuntor, reles e medidores. </v>
          </cell>
          <cell r="E737" t="str">
            <v>un</v>
          </cell>
          <cell r="F737"/>
          <cell r="G737">
            <v>211219.03847623916</v>
          </cell>
          <cell r="H737">
            <v>0</v>
          </cell>
        </row>
        <row r="738">
          <cell r="C738" t="str">
            <v>5.4.4.27</v>
          </cell>
          <cell r="D738" t="str">
            <v>Cubículo para proteção e seccionamento, em média tensão, classe de isolamento 36KV, instalação abrigada, sobre base, com/ transformadores de instrumentação, fusíveis e seccionadoras.</v>
          </cell>
          <cell r="E738" t="str">
            <v>un</v>
          </cell>
          <cell r="F738"/>
          <cell r="G738">
            <v>72238.418984175194</v>
          </cell>
          <cell r="H738">
            <v>0</v>
          </cell>
        </row>
        <row r="739">
          <cell r="C739" t="str">
            <v>5.4.4.28</v>
          </cell>
          <cell r="D739" t="str">
            <v>Poste De Concreto Armado, Seção Duplo "T", 12 / 1000</v>
          </cell>
          <cell r="E739" t="str">
            <v>un</v>
          </cell>
          <cell r="F739"/>
          <cell r="G739">
            <v>1112.8800000000001</v>
          </cell>
          <cell r="H739">
            <v>0</v>
          </cell>
        </row>
        <row r="740">
          <cell r="C740" t="str">
            <v>5.4.4.29</v>
          </cell>
          <cell r="D740" t="str">
            <v>Fita metálica perfurada, L=*18*mm, rolo de 30m, carga recomendada= *30*KGF</v>
          </cell>
          <cell r="E740" t="str">
            <v>un</v>
          </cell>
          <cell r="F740"/>
          <cell r="G740">
            <v>18.260000000000002</v>
          </cell>
          <cell r="H740">
            <v>0</v>
          </cell>
        </row>
        <row r="741">
          <cell r="C741" t="str">
            <v>5.4.4.30</v>
          </cell>
          <cell r="D741" t="str">
            <v xml:space="preserve">Conector estribo de alumínio 1/0-4/0AWG (70mm2) </v>
          </cell>
          <cell r="E741" t="str">
            <v>un</v>
          </cell>
          <cell r="F741"/>
          <cell r="G741">
            <v>4.1500000000000004</v>
          </cell>
          <cell r="H741">
            <v>0</v>
          </cell>
        </row>
        <row r="742">
          <cell r="C742" t="str">
            <v>5.4.4.31</v>
          </cell>
          <cell r="D742" t="str">
            <v>Grampo De Linha Viva Para Cabo de 35mm²</v>
          </cell>
          <cell r="E742" t="str">
            <v>un</v>
          </cell>
          <cell r="F742"/>
          <cell r="G742">
            <v>11.56</v>
          </cell>
          <cell r="H742">
            <v>0</v>
          </cell>
        </row>
        <row r="743">
          <cell r="C743" t="str">
            <v>5.4.4.32</v>
          </cell>
          <cell r="D743" t="str">
            <v>Chave Fusível Unipolar Distribuição Porcelana 36,2Kv 100 A 10 KA com ferragem</v>
          </cell>
          <cell r="E743" t="str">
            <v>un</v>
          </cell>
          <cell r="F743"/>
          <cell r="G743">
            <v>149.83000000000001</v>
          </cell>
          <cell r="H743">
            <v>0</v>
          </cell>
        </row>
        <row r="744">
          <cell r="C744" t="str">
            <v>5.4.4.33</v>
          </cell>
          <cell r="D744" t="str">
            <v xml:space="preserve">Elo Fusível Corrente nominal: 25 A. Curva tipo K. Comprimento: 500 mm. Capacidade de interrupção máxima: 5kA assimétrica/3,6 kA simétrica. </v>
          </cell>
          <cell r="E744" t="str">
            <v>un</v>
          </cell>
          <cell r="F744"/>
          <cell r="G744">
            <v>2.75</v>
          </cell>
          <cell r="H744">
            <v>0</v>
          </cell>
        </row>
        <row r="745">
          <cell r="C745" t="str">
            <v>5.4.4.34</v>
          </cell>
          <cell r="D745" t="str">
            <v>Para-Raios De Distribuição - Zno 36Kv; 31,5Ka</v>
          </cell>
          <cell r="E745" t="str">
            <v>un</v>
          </cell>
          <cell r="F745"/>
          <cell r="G745">
            <v>187.93</v>
          </cell>
          <cell r="H745">
            <v>0</v>
          </cell>
        </row>
        <row r="746">
          <cell r="C746" t="str">
            <v>5.4.4.35</v>
          </cell>
          <cell r="D746" t="str">
            <v>Mufla Externa Para cabos de 70 mm²</v>
          </cell>
          <cell r="E746" t="str">
            <v>un</v>
          </cell>
          <cell r="F746"/>
          <cell r="G746">
            <v>288.17</v>
          </cell>
          <cell r="H746">
            <v>0</v>
          </cell>
        </row>
        <row r="747">
          <cell r="C747" t="str">
            <v>5.4.4.36</v>
          </cell>
          <cell r="D747" t="str">
            <v>Cruzeta De Concreto</v>
          </cell>
          <cell r="E747" t="str">
            <v>un</v>
          </cell>
          <cell r="F747"/>
          <cell r="G747">
            <v>308.68</v>
          </cell>
          <cell r="H747">
            <v>0</v>
          </cell>
        </row>
        <row r="748">
          <cell r="C748" t="str">
            <v>5.4.4.37</v>
          </cell>
          <cell r="D748" t="str">
            <v>Isolador de ancoragem e suspensão tensão nominal 35kV NBR-6323</v>
          </cell>
          <cell r="E748" t="str">
            <v>un</v>
          </cell>
          <cell r="F748"/>
          <cell r="G748">
            <v>86.5</v>
          </cell>
          <cell r="H748">
            <v>0</v>
          </cell>
        </row>
        <row r="749">
          <cell r="C749" t="str">
            <v>5.4.4.38</v>
          </cell>
          <cell r="D749" t="str">
            <v>Manilha Sapatilha Em Aço Zincado A Quente</v>
          </cell>
          <cell r="E749" t="str">
            <v>un</v>
          </cell>
          <cell r="F749"/>
          <cell r="G749">
            <v>4.24</v>
          </cell>
          <cell r="H749">
            <v>0</v>
          </cell>
        </row>
        <row r="750">
          <cell r="C750" t="str">
            <v>5.4.4.39</v>
          </cell>
          <cell r="D750" t="str">
            <v xml:space="preserve">Gancho Olhal Galvanizado </v>
          </cell>
          <cell r="E750" t="str">
            <v>un</v>
          </cell>
          <cell r="F750"/>
          <cell r="G750">
            <v>17.13</v>
          </cell>
          <cell r="H750">
            <v>0</v>
          </cell>
        </row>
        <row r="751">
          <cell r="C751" t="str">
            <v>5.4.4.40</v>
          </cell>
          <cell r="D751" t="str">
            <v>Olhal Para Parafuso M16 Em Aço Zincado A Quente, Carga De Ruptura 5000 Dan</v>
          </cell>
          <cell r="E751" t="str">
            <v>pç</v>
          </cell>
          <cell r="F751"/>
          <cell r="G751">
            <v>3.68</v>
          </cell>
          <cell r="H751">
            <v>0</v>
          </cell>
        </row>
        <row r="752">
          <cell r="C752" t="str">
            <v>5.4.4.41</v>
          </cell>
          <cell r="D752" t="str">
            <v>Parafuso De Máquina, Cabeça Quadrada, Em Aço Zincado, Rosca M16 X 2, Comprimento Total A = 400, Parte Rosqueada B = 320 Mm, Completo Com Duas Porcas Quadrada</v>
          </cell>
          <cell r="E752" t="str">
            <v>pç</v>
          </cell>
          <cell r="F752"/>
          <cell r="G752">
            <v>3.52</v>
          </cell>
          <cell r="H752">
            <v>0</v>
          </cell>
        </row>
        <row r="753">
          <cell r="C753" t="str">
            <v>5.4.4.42</v>
          </cell>
          <cell r="D753" t="str">
            <v>Parafuso De Máquina, Cabeça Quadrada, Em Aço Zincado, Rosca M16 X 2, Comprimento Total A = 300, Parte Rosqueada B = 220 Mm, Completo Com Duas Porcas Quadrada</v>
          </cell>
          <cell r="E753" t="str">
            <v>pç</v>
          </cell>
          <cell r="F753"/>
          <cell r="G753">
            <v>2.88</v>
          </cell>
          <cell r="H753">
            <v>0</v>
          </cell>
        </row>
        <row r="754">
          <cell r="C754" t="str">
            <v>5.4.4.43</v>
          </cell>
          <cell r="D754" t="str">
            <v>Alça pré-formada distribuição Para cabo de aluminio CAA 4/0 AWG</v>
          </cell>
          <cell r="E754" t="str">
            <v>un</v>
          </cell>
          <cell r="F754"/>
          <cell r="G754">
            <v>0.87</v>
          </cell>
          <cell r="H754">
            <v>0</v>
          </cell>
        </row>
        <row r="755">
          <cell r="C755" t="str">
            <v>5.4.4.44</v>
          </cell>
          <cell r="D755" t="str">
            <v>Conectores Para Haste De Aterramento</v>
          </cell>
          <cell r="E755" t="str">
            <v>un</v>
          </cell>
          <cell r="F755"/>
          <cell r="G755">
            <v>16.010000000000002</v>
          </cell>
          <cell r="H755">
            <v>0</v>
          </cell>
        </row>
        <row r="756">
          <cell r="C756" t="str">
            <v>5.4.4.45</v>
          </cell>
          <cell r="D756" t="str">
            <v>Pino autotravante M16</v>
          </cell>
          <cell r="E756" t="str">
            <v>un</v>
          </cell>
          <cell r="F756"/>
          <cell r="G756">
            <v>3.72</v>
          </cell>
          <cell r="H756">
            <v>0</v>
          </cell>
        </row>
        <row r="757">
          <cell r="C757" t="str">
            <v>6.</v>
          </cell>
          <cell r="D757" t="str">
            <v>6 - ADUTORA PRINCIPAL  2</v>
          </cell>
          <cell r="E757"/>
          <cell r="F757"/>
          <cell r="G757"/>
          <cell r="H757">
            <v>0</v>
          </cell>
        </row>
        <row r="758">
          <cell r="C758" t="str">
            <v>6.1</v>
          </cell>
          <cell r="D758" t="str">
            <v>OBRAS CIVIS E MONTAGEM</v>
          </cell>
          <cell r="E758"/>
          <cell r="F758"/>
          <cell r="G758"/>
          <cell r="H758">
            <v>0</v>
          </cell>
        </row>
        <row r="759">
          <cell r="C759" t="str">
            <v>6.1.1</v>
          </cell>
          <cell r="D759" t="str">
            <v xml:space="preserve"> Desmatamento, Destocamento E Limpeza Dee Terreno</v>
          </cell>
          <cell r="E759" t="str">
            <v>ha</v>
          </cell>
          <cell r="F759"/>
          <cell r="G759">
            <v>1660.74</v>
          </cell>
          <cell r="H759">
            <v>0</v>
          </cell>
        </row>
        <row r="760">
          <cell r="C760" t="str">
            <v>6.1.2</v>
          </cell>
          <cell r="D760" t="str">
            <v>Escavação Mecânica Em Material De 1ª Categoria, Dmt &lt;= 300 M</v>
          </cell>
          <cell r="E760" t="str">
            <v>m³</v>
          </cell>
          <cell r="F760"/>
          <cell r="G760">
            <v>5.54</v>
          </cell>
          <cell r="H760">
            <v>0</v>
          </cell>
        </row>
        <row r="761">
          <cell r="C761" t="str">
            <v>6.1.3</v>
          </cell>
          <cell r="D761" t="str">
            <v>Reaterro Compactado Com Reaproveitamento Do Material Escavado</v>
          </cell>
          <cell r="E761" t="str">
            <v>m³</v>
          </cell>
          <cell r="F761"/>
          <cell r="G761">
            <v>7.41</v>
          </cell>
          <cell r="H761">
            <v>0</v>
          </cell>
        </row>
        <row r="762">
          <cell r="C762" t="str">
            <v>6.1.4</v>
          </cell>
          <cell r="D762" t="str">
            <v>Leito De Areia</v>
          </cell>
          <cell r="E762" t="str">
            <v>m³</v>
          </cell>
          <cell r="F762"/>
          <cell r="G762">
            <v>11.2</v>
          </cell>
          <cell r="H762">
            <v>0</v>
          </cell>
        </row>
        <row r="763">
          <cell r="C763" t="str">
            <v>6.1.5</v>
          </cell>
          <cell r="D763" t="str">
            <v>Formas Planas Para Concreto</v>
          </cell>
          <cell r="E763" t="str">
            <v>m²</v>
          </cell>
          <cell r="F763"/>
          <cell r="G763">
            <v>53.52</v>
          </cell>
          <cell r="H763">
            <v>0</v>
          </cell>
        </row>
        <row r="764">
          <cell r="C764" t="str">
            <v>6.1.6</v>
          </cell>
          <cell r="D764" t="str">
            <v>Armadura Para Concreto Estrutural (Aço Ca-50)</v>
          </cell>
          <cell r="E764" t="str">
            <v>kg</v>
          </cell>
          <cell r="F764"/>
          <cell r="G764">
            <v>3.87</v>
          </cell>
          <cell r="H764">
            <v>0</v>
          </cell>
        </row>
        <row r="765">
          <cell r="C765" t="str">
            <v>6.1.7</v>
          </cell>
          <cell r="D765" t="str">
            <v>Preparo, Lançamento E Adensamento De Concreto  (Ca-4 B)</v>
          </cell>
          <cell r="E765" t="str">
            <v>m³</v>
          </cell>
          <cell r="F765"/>
          <cell r="G765">
            <v>284.41000000000003</v>
          </cell>
          <cell r="H765">
            <v>0</v>
          </cell>
        </row>
        <row r="766">
          <cell r="C766" t="str">
            <v>6.1.8</v>
          </cell>
          <cell r="D766" t="str">
            <v xml:space="preserve"> Montagem De Tubulação Em Aço Carbono, Ø1500 Mm, Inclusive Acessórios</v>
          </cell>
          <cell r="E766" t="str">
            <v>m</v>
          </cell>
          <cell r="F766"/>
          <cell r="G766">
            <v>322.19</v>
          </cell>
          <cell r="H766">
            <v>0</v>
          </cell>
        </row>
        <row r="767">
          <cell r="C767" t="str">
            <v>6.1.9</v>
          </cell>
          <cell r="D767" t="str">
            <v>Montagem De One Ways</v>
          </cell>
          <cell r="E767" t="str">
            <v>cj</v>
          </cell>
          <cell r="F767"/>
          <cell r="G767">
            <v>33101.949999999997</v>
          </cell>
          <cell r="H767">
            <v>0</v>
          </cell>
        </row>
        <row r="768">
          <cell r="C768" t="str">
            <v>6.1.10</v>
          </cell>
          <cell r="D768" t="str">
            <v>Preparo, Lançamento E Adensamento De Concreto (Ca-7 J)</v>
          </cell>
          <cell r="E768" t="str">
            <v>m³</v>
          </cell>
          <cell r="F768"/>
          <cell r="G768">
            <v>236.36</v>
          </cell>
          <cell r="H768">
            <v>0</v>
          </cell>
        </row>
        <row r="769">
          <cell r="C769" t="str">
            <v>6.1.11</v>
          </cell>
          <cell r="D769" t="str">
            <v>Escav. Manual  Em Material De  1ª Cat. Com Dmt&lt;= 100 M. (Até 1,5M)</v>
          </cell>
          <cell r="E769" t="str">
            <v>m³</v>
          </cell>
          <cell r="F769"/>
          <cell r="G769">
            <v>18.07</v>
          </cell>
          <cell r="H769">
            <v>0</v>
          </cell>
        </row>
        <row r="770">
          <cell r="C770" t="str">
            <v>6.1.12</v>
          </cell>
          <cell r="D770" t="str">
            <v>Estaca 330 Mm</v>
          </cell>
          <cell r="E770" t="str">
            <v>m</v>
          </cell>
          <cell r="F770"/>
          <cell r="G770">
            <v>264.89999999999998</v>
          </cell>
          <cell r="H770">
            <v>0</v>
          </cell>
        </row>
        <row r="771">
          <cell r="C771" t="str">
            <v>6.1.13</v>
          </cell>
          <cell r="D771" t="str">
            <v>Recuperação De Revestimento Interno Da Adutora</v>
          </cell>
          <cell r="E771" t="str">
            <v>m²</v>
          </cell>
          <cell r="F771"/>
          <cell r="G771">
            <v>86.68</v>
          </cell>
          <cell r="H771">
            <v>0</v>
          </cell>
        </row>
        <row r="772">
          <cell r="C772" t="str">
            <v>6.2</v>
          </cell>
          <cell r="D772" t="str">
            <v>FORNECIMENTO (O BDI do item 6.2 foi reduzido de 40% para 37,2%).</v>
          </cell>
          <cell r="E772"/>
          <cell r="F772"/>
          <cell r="G772"/>
          <cell r="H772">
            <v>0</v>
          </cell>
        </row>
        <row r="773">
          <cell r="C773" t="str">
            <v>6.2.1</v>
          </cell>
          <cell r="D773" t="str">
            <v>Adutora</v>
          </cell>
          <cell r="E773"/>
          <cell r="F773"/>
          <cell r="G773"/>
          <cell r="H773">
            <v>0</v>
          </cell>
        </row>
        <row r="774">
          <cell r="C774" t="str">
            <v>6.2.1.1</v>
          </cell>
          <cell r="D774" t="str">
            <v xml:space="preserve"> Tubo, Extremidades P/ Solda, Aço Carbono, Espessura  5/16", Diâmetro 1500Mm, De Estaca 0 + 0,0M A 75 + 6,13M, Inclusive Curvas Horizontais  E Verticais</v>
          </cell>
          <cell r="E774" t="str">
            <v>m</v>
          </cell>
          <cell r="F774"/>
          <cell r="G774">
            <v>2450.36</v>
          </cell>
          <cell r="H774">
            <v>0</v>
          </cell>
        </row>
        <row r="775">
          <cell r="C775" t="str">
            <v>6.2.1.2</v>
          </cell>
          <cell r="D775" t="str">
            <v xml:space="preserve"> Janela De Inspeção, Diâmetro 600Mm, L = 0.30M, Uma Extremidade Soldada Em Tubo De Diâmetro 1500Mm, E Outra Extremidade C/ Flanges Cego. ( Detalhe 1 - Desenho Tlp - 10 -072 ), Nas Estacas 2 + 15,33M E  50 + 15,33M</v>
          </cell>
          <cell r="E775" t="str">
            <v>un</v>
          </cell>
          <cell r="F775"/>
          <cell r="G775">
            <v>7996.62</v>
          </cell>
          <cell r="H775">
            <v>0</v>
          </cell>
        </row>
        <row r="776">
          <cell r="C776" t="str">
            <v>6.2.2</v>
          </cell>
          <cell r="D776" t="str">
            <v>One ways</v>
          </cell>
          <cell r="E776"/>
          <cell r="F776"/>
          <cell r="G776"/>
          <cell r="H776">
            <v>0</v>
          </cell>
        </row>
        <row r="777">
          <cell r="C777" t="str">
            <v>6.2.2.1</v>
          </cell>
          <cell r="D777" t="str">
            <v xml:space="preserve"> Junta De Expansão Tipo Dresser, Diâmetro 1000Mm (Pos . 1)</v>
          </cell>
          <cell r="E777" t="str">
            <v>un</v>
          </cell>
          <cell r="F777"/>
          <cell r="G777">
            <v>6846.62</v>
          </cell>
          <cell r="H777">
            <v>0</v>
          </cell>
        </row>
        <row r="778">
          <cell r="C778" t="str">
            <v>6.2.2.2</v>
          </cell>
          <cell r="D778" t="str">
            <v xml:space="preserve"> Válvula De Retenção, Diâmetro 1000Mm  (Pos . 2)</v>
          </cell>
          <cell r="E778" t="str">
            <v>un</v>
          </cell>
          <cell r="F778"/>
          <cell r="G778">
            <v>35604.01</v>
          </cell>
          <cell r="H778">
            <v>0</v>
          </cell>
        </row>
        <row r="779">
          <cell r="C779" t="str">
            <v>6.2.2.3</v>
          </cell>
          <cell r="D779" t="str">
            <v xml:space="preserve"> Anel De Aço Para Engastamento Na Parede, Conforme Detalhe 1, D=1000Mm (Pos 3)</v>
          </cell>
          <cell r="E779" t="str">
            <v>un</v>
          </cell>
          <cell r="F779"/>
          <cell r="G779">
            <v>934.66</v>
          </cell>
          <cell r="H779">
            <v>0</v>
          </cell>
        </row>
        <row r="780">
          <cell r="C780" t="str">
            <v>6.2.2.4</v>
          </cell>
          <cell r="D780" t="str">
            <v xml:space="preserve"> Peça Pontas Lisas, Aço, Diâmetro 1000Mm, Espessura 3/8",  L + 1200Mm (Pos 4)</v>
          </cell>
          <cell r="E780" t="str">
            <v>un</v>
          </cell>
          <cell r="F780"/>
          <cell r="G780">
            <v>2353.9699999999998</v>
          </cell>
          <cell r="H780">
            <v>0</v>
          </cell>
        </row>
        <row r="781">
          <cell r="C781" t="str">
            <v>6.2.2.5</v>
          </cell>
          <cell r="D781" t="str">
            <v xml:space="preserve"> Peça Ponta Lisas Com Flange, Aço, Diâmetro 1000Mm, Espessura 3/8" L= 450Mm (Pos 5)</v>
          </cell>
          <cell r="E781" t="str">
            <v>un</v>
          </cell>
          <cell r="F781"/>
          <cell r="G781">
            <v>3721.37</v>
          </cell>
          <cell r="H781">
            <v>0</v>
          </cell>
        </row>
        <row r="782">
          <cell r="C782" t="str">
            <v>6.2.2.6</v>
          </cell>
          <cell r="D782" t="str">
            <v xml:space="preserve"> Peça Ponta Lisa Com Flange, Aço , Diâmetro 1000Mm, Espessura 3/8" L = 700Mm (Pos 6)</v>
          </cell>
          <cell r="E782" t="str">
            <v>un</v>
          </cell>
          <cell r="F782"/>
          <cell r="G782">
            <v>4500.26</v>
          </cell>
          <cell r="H782">
            <v>0</v>
          </cell>
        </row>
        <row r="783">
          <cell r="C783" t="str">
            <v>6.2.2.7</v>
          </cell>
          <cell r="D783" t="str">
            <v xml:space="preserve"> Peça Pontas Lisas, Aço, Diâmetro 1000Mm, Espessura 3/8" L = 1500Mm (Pos 7)</v>
          </cell>
          <cell r="E783" t="str">
            <v>un</v>
          </cell>
          <cell r="F783"/>
          <cell r="G783">
            <v>2336.67</v>
          </cell>
          <cell r="H783">
            <v>0</v>
          </cell>
        </row>
        <row r="784">
          <cell r="C784" t="str">
            <v>6.2.2.8</v>
          </cell>
          <cell r="D784" t="str">
            <v xml:space="preserve"> Peça Ponta Lisa Soldada Em Tubo, Diâmetro 1500Mm Com Flange, Aço,  Diâmeto 1000Mm, Espessura 3/8", L = 1500Mm (Pos . 8)</v>
          </cell>
          <cell r="E784" t="str">
            <v>un</v>
          </cell>
          <cell r="F784"/>
          <cell r="G784">
            <v>4463.99</v>
          </cell>
          <cell r="H784">
            <v>0</v>
          </cell>
        </row>
        <row r="785">
          <cell r="C785" t="str">
            <v>6.2.2.9</v>
          </cell>
          <cell r="D785" t="str">
            <v xml:space="preserve"> Redução Ponta Lisa Diâmetro 100Mm Com Flange Diâmetro 250Mm, Aço  Espessura 5/16", L = 500Mm ( Pos.9)</v>
          </cell>
          <cell r="E785" t="str">
            <v>un</v>
          </cell>
          <cell r="F785"/>
          <cell r="G785">
            <v>432.71</v>
          </cell>
          <cell r="H785">
            <v>0</v>
          </cell>
        </row>
        <row r="786">
          <cell r="C786" t="str">
            <v>6.2.2.10</v>
          </cell>
          <cell r="D786" t="str">
            <v xml:space="preserve"> Registro Automático De Entrada, Diâmetro 250Mm, Para Pressão  Máxima De 80M C.A. (Pos .10)</v>
          </cell>
          <cell r="E786" t="str">
            <v>un</v>
          </cell>
          <cell r="F786"/>
          <cell r="G786">
            <v>4208.21</v>
          </cell>
          <cell r="H786">
            <v>0</v>
          </cell>
        </row>
        <row r="787">
          <cell r="C787" t="str">
            <v>6.2.2.11</v>
          </cell>
          <cell r="D787" t="str">
            <v xml:space="preserve"> Tubo De Aço, Com Extremidade Soldadas, Diâmetro 100Mm, Espessura  5/16", Inclusive Curvas</v>
          </cell>
          <cell r="E787" t="str">
            <v>m</v>
          </cell>
          <cell r="F787"/>
          <cell r="G787">
            <v>204.23</v>
          </cell>
          <cell r="H787">
            <v>0</v>
          </cell>
        </row>
        <row r="788">
          <cell r="C788" t="str">
            <v>6.2.2.12</v>
          </cell>
          <cell r="D788" t="str">
            <v xml:space="preserve"> Tubo De Aço, Extremidades Soldadas, Diâmetro 200Mm, Espessura  5/16", Inclusive Curvas</v>
          </cell>
          <cell r="E788" t="str">
            <v>m</v>
          </cell>
          <cell r="F788"/>
          <cell r="G788">
            <v>406.75</v>
          </cell>
          <cell r="H788">
            <v>0</v>
          </cell>
        </row>
        <row r="789">
          <cell r="C789" t="str">
            <v>6.2.3</v>
          </cell>
          <cell r="D789" t="str">
            <v xml:space="preserve"> CHAMINÉ DE EQUILÍBRIO</v>
          </cell>
          <cell r="E789"/>
          <cell r="F789"/>
          <cell r="G789"/>
          <cell r="H789">
            <v>0</v>
          </cell>
        </row>
        <row r="790">
          <cell r="C790" t="str">
            <v>6.2.3.1</v>
          </cell>
          <cell r="D790" t="str">
            <v xml:space="preserve">Obras Civis </v>
          </cell>
          <cell r="E790"/>
          <cell r="F790"/>
          <cell r="G790">
            <v>0</v>
          </cell>
          <cell r="H790">
            <v>0</v>
          </cell>
        </row>
        <row r="791">
          <cell r="C791" t="str">
            <v>6.2.3.1.1</v>
          </cell>
          <cell r="D791" t="str">
            <v>Escavação Mecânica Em Material De 1ª Categoria, Dmt &lt;= 300 M</v>
          </cell>
          <cell r="E791" t="str">
            <v>m³</v>
          </cell>
          <cell r="F791"/>
          <cell r="G791">
            <v>5.54</v>
          </cell>
          <cell r="H791">
            <v>0</v>
          </cell>
        </row>
        <row r="792">
          <cell r="C792" t="str">
            <v>6.2.3.1.2</v>
          </cell>
          <cell r="D792" t="str">
            <v>Estaca 330 Mm</v>
          </cell>
          <cell r="E792" t="str">
            <v>m³</v>
          </cell>
          <cell r="F792"/>
          <cell r="G792">
            <v>264.89999999999998</v>
          </cell>
          <cell r="H792">
            <v>0</v>
          </cell>
        </row>
        <row r="793">
          <cell r="C793" t="str">
            <v>6.2.3.1.3</v>
          </cell>
          <cell r="D793" t="str">
            <v>Formas Curvas Para Concreto</v>
          </cell>
          <cell r="E793" t="str">
            <v>m²</v>
          </cell>
          <cell r="F793"/>
          <cell r="G793">
            <v>90.32</v>
          </cell>
          <cell r="H793">
            <v>0</v>
          </cell>
        </row>
        <row r="794">
          <cell r="C794" t="str">
            <v>6.2.3.1.4</v>
          </cell>
          <cell r="D794" t="str">
            <v>Armadura Para Concreto Estrutural (Aço Ca-50)</v>
          </cell>
          <cell r="E794" t="str">
            <v>kg</v>
          </cell>
          <cell r="F794"/>
          <cell r="G794">
            <v>3.87</v>
          </cell>
          <cell r="H794">
            <v>0</v>
          </cell>
        </row>
        <row r="795">
          <cell r="C795" t="str">
            <v>6.2.3.1.5</v>
          </cell>
          <cell r="D795" t="str">
            <v>Preparo, Lançamento E Adensamento De Concreto  C/ 450 Kg</v>
          </cell>
          <cell r="E795" t="str">
            <v>m³</v>
          </cell>
          <cell r="F795"/>
          <cell r="G795">
            <v>359.44</v>
          </cell>
          <cell r="H795">
            <v>0</v>
          </cell>
        </row>
        <row r="796">
          <cell r="C796" t="str">
            <v>6.2.3.1.6</v>
          </cell>
          <cell r="D796" t="str">
            <v>Reaterro Compactado Com Reaproveitamento Do Material Escavado</v>
          </cell>
          <cell r="E796" t="str">
            <v>m³</v>
          </cell>
          <cell r="F796"/>
          <cell r="G796">
            <v>7.41</v>
          </cell>
          <cell r="H796">
            <v>0</v>
          </cell>
        </row>
        <row r="797">
          <cell r="C797" t="str">
            <v>6.2.3.1.7</v>
          </cell>
          <cell r="D797" t="str">
            <v>Formas Planas Para Concreto</v>
          </cell>
          <cell r="E797" t="str">
            <v>m²</v>
          </cell>
          <cell r="F797"/>
          <cell r="G797">
            <v>53.52</v>
          </cell>
          <cell r="H797">
            <v>0</v>
          </cell>
        </row>
        <row r="798">
          <cell r="C798" t="str">
            <v>6.2.3.1.8</v>
          </cell>
          <cell r="D798" t="str">
            <v>Locação, Montagem E Desmontagem De Elevador Cremalheira, Para Execução Da Chaminé De Equilibrio 1</v>
          </cell>
          <cell r="E798" t="str">
            <v>m</v>
          </cell>
          <cell r="F798"/>
          <cell r="G798">
            <v>1151.02</v>
          </cell>
          <cell r="H798">
            <v>0</v>
          </cell>
        </row>
        <row r="799">
          <cell r="C799" t="str">
            <v>6.2.3.1.9</v>
          </cell>
          <cell r="D799" t="str">
            <v>Preparo, Lançamento E Adensamento De Concreto  (Ca-7 J)</v>
          </cell>
          <cell r="E799" t="str">
            <v>m³</v>
          </cell>
          <cell r="F799"/>
          <cell r="G799">
            <v>236.36</v>
          </cell>
          <cell r="H799">
            <v>0</v>
          </cell>
        </row>
        <row r="800">
          <cell r="C800" t="str">
            <v>6.2.3.1.10</v>
          </cell>
          <cell r="D800" t="str">
            <v>Fornecimento E Aplicação De Revestimento Em Borracha Liquida Para Impermeabilização Da Chaminé De Equilibrio 2</v>
          </cell>
          <cell r="E800" t="str">
            <v>m²</v>
          </cell>
          <cell r="F800"/>
          <cell r="G800">
            <v>200.75</v>
          </cell>
          <cell r="H800">
            <v>0</v>
          </cell>
        </row>
        <row r="801">
          <cell r="C801" t="str">
            <v>6.2.3.1.11</v>
          </cell>
          <cell r="D801" t="str">
            <v>Alvenaria De Tijolo Cerâmico (10 X 20 X 20 M) Espessura De 15 Cm</v>
          </cell>
          <cell r="E801" t="str">
            <v>m²</v>
          </cell>
          <cell r="F801"/>
          <cell r="G801">
            <v>32.79</v>
          </cell>
          <cell r="H801">
            <v>0</v>
          </cell>
        </row>
        <row r="802">
          <cell r="C802" t="str">
            <v>6.2.3.1.12</v>
          </cell>
          <cell r="D802" t="str">
            <v>Retirada De Fixadores Das Gravatas Do Elevador Cremalheira</v>
          </cell>
          <cell r="E802" t="str">
            <v>un</v>
          </cell>
          <cell r="F802"/>
          <cell r="G802">
            <v>540.41</v>
          </cell>
          <cell r="H802">
            <v>0</v>
          </cell>
        </row>
        <row r="803">
          <cell r="C803" t="str">
            <v>6.2.3.1.13</v>
          </cell>
          <cell r="D803" t="str">
            <v>Reparo Na Estrutura De Concreto Com Adesivo Estrutural</v>
          </cell>
          <cell r="E803" t="str">
            <v>m²</v>
          </cell>
          <cell r="F803"/>
          <cell r="G803">
            <v>293.37</v>
          </cell>
          <cell r="H803">
            <v>0</v>
          </cell>
        </row>
        <row r="804">
          <cell r="C804" t="str">
            <v>6.2.3.1.14</v>
          </cell>
          <cell r="D804" t="str">
            <v>Escavação Manual Em Material De 1ª Categoria Com Dmt &lt;= 100 M (Até 1,5 M)</v>
          </cell>
          <cell r="E804" t="str">
            <v>m³</v>
          </cell>
          <cell r="F804"/>
          <cell r="G804">
            <v>18.07</v>
          </cell>
          <cell r="H804">
            <v>0</v>
          </cell>
        </row>
        <row r="805">
          <cell r="C805" t="str">
            <v>6.2.3.1.15</v>
          </cell>
          <cell r="D805" t="str">
            <v>Impermeabilização Com Sikatop 100</v>
          </cell>
          <cell r="E805" t="str">
            <v>m²</v>
          </cell>
          <cell r="F805"/>
          <cell r="G805">
            <v>19.97</v>
          </cell>
          <cell r="H805">
            <v>0</v>
          </cell>
        </row>
        <row r="806">
          <cell r="C806" t="str">
            <v>6.2.3.1.16</v>
          </cell>
          <cell r="D806" t="str">
            <v>Demolição De Concreto Armado</v>
          </cell>
          <cell r="E806" t="str">
            <v>m³</v>
          </cell>
          <cell r="F806"/>
          <cell r="G806">
            <v>182.85</v>
          </cell>
          <cell r="H806">
            <v>0</v>
          </cell>
        </row>
        <row r="807">
          <cell r="C807" t="str">
            <v>6.2.3.1.17</v>
          </cell>
          <cell r="D807" t="str">
            <v>Graute Fgk=30 Mpa; Traço 1:0,02:0,8:1,1 (Cimento/Cal/Areia Grossa/Brita 0) - Preparo Mecânico Com Betoneira</v>
          </cell>
          <cell r="E807" t="str">
            <v>m³</v>
          </cell>
          <cell r="F807"/>
          <cell r="G807">
            <v>1047.6600000000001</v>
          </cell>
          <cell r="H807">
            <v>0</v>
          </cell>
        </row>
        <row r="808">
          <cell r="C808" t="str">
            <v>6.2.3.1.18</v>
          </cell>
          <cell r="D808" t="str">
            <v>Carga Manual De Entulho Em Caminhão Basculante</v>
          </cell>
          <cell r="E808" t="str">
            <v>m³</v>
          </cell>
          <cell r="F808"/>
          <cell r="G808">
            <v>10.65</v>
          </cell>
          <cell r="H808">
            <v>0</v>
          </cell>
        </row>
        <row r="809">
          <cell r="C809" t="str">
            <v>6.2.3.1.19</v>
          </cell>
          <cell r="D809" t="str">
            <v>Momento Extraordinário De Transporte Para Material De 1ª Categoria</v>
          </cell>
          <cell r="E809" t="str">
            <v>m³xkm</v>
          </cell>
          <cell r="F809"/>
          <cell r="G809">
            <v>1.1499999999999999</v>
          </cell>
          <cell r="H809">
            <v>0</v>
          </cell>
        </row>
        <row r="810">
          <cell r="C810" t="str">
            <v>6.2.3.1.20</v>
          </cell>
          <cell r="D810" t="str">
            <v>Andaime</v>
          </cell>
          <cell r="E810" t="str">
            <v>m³</v>
          </cell>
          <cell r="F810"/>
          <cell r="G810">
            <v>14.52</v>
          </cell>
          <cell r="H810">
            <v>0</v>
          </cell>
        </row>
        <row r="811">
          <cell r="C811" t="str">
            <v>7.</v>
          </cell>
          <cell r="D811" t="str">
            <v>7 - PROTEÇÃO CATÓDICA</v>
          </cell>
          <cell r="E811"/>
          <cell r="F811"/>
          <cell r="G811"/>
          <cell r="H811">
            <v>0</v>
          </cell>
        </row>
        <row r="812">
          <cell r="C812" t="str">
            <v>7.1</v>
          </cell>
          <cell r="D812" t="str">
            <v>OBRAS CIVIS E MONTAGEM</v>
          </cell>
          <cell r="E812"/>
          <cell r="F812"/>
          <cell r="G812"/>
          <cell r="H812">
            <v>0</v>
          </cell>
        </row>
        <row r="813">
          <cell r="C813" t="str">
            <v>7.1.1</v>
          </cell>
          <cell r="D813" t="str">
            <v xml:space="preserve"> Concreto, Formas, Etc.</v>
          </cell>
          <cell r="E813" t="str">
            <v>cj</v>
          </cell>
          <cell r="F813"/>
          <cell r="G813">
            <v>801.08</v>
          </cell>
          <cell r="H813">
            <v>0</v>
          </cell>
        </row>
        <row r="814">
          <cell r="C814" t="str">
            <v>7.1.2</v>
          </cell>
          <cell r="D814" t="str">
            <v xml:space="preserve"> Montagem De Retificadores</v>
          </cell>
          <cell r="E814" t="str">
            <v>cj</v>
          </cell>
          <cell r="F814"/>
          <cell r="G814">
            <v>14813.06</v>
          </cell>
          <cell r="H814">
            <v>0</v>
          </cell>
        </row>
        <row r="815">
          <cell r="C815" t="str">
            <v>7.1.3</v>
          </cell>
          <cell r="D815" t="str">
            <v xml:space="preserve"> Montagem De Anodos</v>
          </cell>
          <cell r="E815" t="str">
            <v>cj</v>
          </cell>
          <cell r="F815"/>
          <cell r="G815">
            <v>32218.43</v>
          </cell>
          <cell r="H815">
            <v>0</v>
          </cell>
        </row>
        <row r="816">
          <cell r="C816" t="str">
            <v>7.1.4</v>
          </cell>
          <cell r="D816" t="str">
            <v xml:space="preserve"> Montagem De Muflas De Isolamento Elétrico</v>
          </cell>
          <cell r="E816" t="str">
            <v>cj</v>
          </cell>
          <cell r="F816"/>
          <cell r="G816">
            <v>4295.79</v>
          </cell>
          <cell r="H816">
            <v>0</v>
          </cell>
        </row>
        <row r="817">
          <cell r="C817" t="str">
            <v>7.1.5</v>
          </cell>
          <cell r="D817" t="str">
            <v xml:space="preserve"> Montagem De Cabos Elétricos Enterrados</v>
          </cell>
          <cell r="E817" t="str">
            <v>cj</v>
          </cell>
          <cell r="F817"/>
          <cell r="G817">
            <v>925.81</v>
          </cell>
          <cell r="H817">
            <v>0</v>
          </cell>
        </row>
        <row r="818">
          <cell r="C818" t="str">
            <v>7.1.6</v>
          </cell>
          <cell r="D818" t="str">
            <v xml:space="preserve"> Montagem De Caixas De Ligações / Pontos De Teste</v>
          </cell>
          <cell r="E818" t="str">
            <v>cj</v>
          </cell>
          <cell r="F818"/>
          <cell r="G818">
            <v>1110.97</v>
          </cell>
          <cell r="H818">
            <v>0</v>
          </cell>
        </row>
        <row r="819">
          <cell r="C819" t="str">
            <v>7.1.7</v>
          </cell>
          <cell r="D819" t="str">
            <v>Supervisão na implantação dos sistemas de proteção catódica</v>
          </cell>
          <cell r="E819" t="str">
            <v>vb</v>
          </cell>
          <cell r="F819"/>
          <cell r="G819">
            <v>33232.04</v>
          </cell>
          <cell r="H819">
            <v>0</v>
          </cell>
        </row>
        <row r="820">
          <cell r="C820" t="str">
            <v>7.1.8</v>
          </cell>
          <cell r="D820" t="str">
            <v>Testes e emissão de relatório final</v>
          </cell>
          <cell r="E820" t="str">
            <v>vb</v>
          </cell>
          <cell r="F820"/>
          <cell r="G820">
            <v>3791.86</v>
          </cell>
          <cell r="H820">
            <v>0</v>
          </cell>
        </row>
        <row r="821">
          <cell r="C821" t="str">
            <v>7.1.9</v>
          </cell>
          <cell r="D821" t="str">
            <v xml:space="preserve">Montagem De Cabo  De Cobre Singelo, Isolamento Epr, 0,6/1 Kv, 90 Graus Centígrados, Seção Do Condutor = 16 Mm² </v>
          </cell>
          <cell r="E821" t="str">
            <v>m</v>
          </cell>
          <cell r="F821"/>
          <cell r="G821">
            <v>1.68</v>
          </cell>
          <cell r="H821">
            <v>0</v>
          </cell>
        </row>
        <row r="822">
          <cell r="C822" t="str">
            <v>7.1.10</v>
          </cell>
          <cell r="D822" t="str">
            <v xml:space="preserve">Montagem de Poste De Ferro Galvanizado,Curvo,Com Base 300 X 300 Mm, Com 4 Chumbadores, Diam. 3/4" X 700 Mm, Altura = 8 M </v>
          </cell>
          <cell r="E822" t="str">
            <v>un</v>
          </cell>
          <cell r="F822"/>
          <cell r="G822">
            <v>115.49</v>
          </cell>
          <cell r="H822">
            <v>0</v>
          </cell>
        </row>
        <row r="823">
          <cell r="C823" t="str">
            <v>7.2</v>
          </cell>
          <cell r="D823" t="str">
            <v>FORNECIMENTO (O BDI do item 7.2 foi reduzido de 40% para 37,2%)</v>
          </cell>
          <cell r="E823"/>
          <cell r="F823"/>
          <cell r="G823">
            <v>0</v>
          </cell>
          <cell r="H823">
            <v>0</v>
          </cell>
        </row>
        <row r="824">
          <cell r="C824" t="str">
            <v>7.2.1</v>
          </cell>
          <cell r="D824" t="str">
            <v>Retificador Para Proteção Catódica, Manual, Refrigerado A Ar, Com Furação Na Parte Anterior Do Fundo Da Caixa Para 3 Eletro- Dutos Passantes De 1" Espaçados De 100 Mm, Caixa De Aço Para Fixação Em Poste, Instalação Ao Tempo, Alimentação Bifásica 220V/60Hz, Saída Em Corrente Contínua De 100V/50 A, Com 5 Ajustes Grossos E 5 Finos Através De Taps; Provido De 1 Terminal Para Cabo Positivo # 16 Mm2, 1 Terminal Para Cabo Negativo # 16 Mm2, 1 Terminal Para Aterramento # 25 Mm2 E 2 Terminais Para Alimentação # 2,5 Mm2, Mod.  Iec-Ret/Ar-1050 Da Iec Ou Similar.</v>
          </cell>
          <cell r="E824" t="str">
            <v>un</v>
          </cell>
          <cell r="F824"/>
          <cell r="G824">
            <v>12375.72</v>
          </cell>
          <cell r="H824">
            <v>0</v>
          </cell>
        </row>
        <row r="825">
          <cell r="C825" t="str">
            <v>7.2.2</v>
          </cell>
          <cell r="D825" t="str">
            <v>Retificador Para Proteção Catódica, Manual, Refrigerado A Ar, Com Furação Na Parte Anterior Do Fundo Da Caixa Para 3 Eletro- Dutos Passantes De 1" Espaçados De 100 Mm, Caixa De Aço Para Fixação Em Poste, Instalação Ao Tempo, Alimentação Bifásica 220V/60Hz, Saída Em Corrente Contínua De 100V/10 A, Com 5 Ajustes Grossos E 5 Finos Através De Taps; Provido De 1 Terminal Para Cabo Positivo # 16 Mm2, 1 Terminal Para Cabo Negativo # 16 Mm2, 1 Terminal Para Aterramento # 25 Mm2 E 2 Terminais Para Alimentação # 2,5 Mm2, Mod.  Iec-Ret/Ar-1010 Da Iec Ou Similar.</v>
          </cell>
          <cell r="E825" t="str">
            <v>un</v>
          </cell>
          <cell r="F825"/>
          <cell r="G825">
            <v>8567.7999999999993</v>
          </cell>
          <cell r="H825">
            <v>0</v>
          </cell>
        </row>
        <row r="826">
          <cell r="C826" t="str">
            <v>7.2.3</v>
          </cell>
          <cell r="D826" t="str">
            <v>Anodo De Titânio Com Óxidos De Metais Nobres, Fornecido Com 2,5 M De Cabo Elétrico 6 Mm2, Classe 600 V, Com Isolamento De Polietileno De Alto Peso Molecular Ou  Pvc/Pvc, Dimensões 1000 X 17 X 3 Mm, Modelo Lida Strip Ou Similar.</v>
          </cell>
          <cell r="E826" t="str">
            <v>un</v>
          </cell>
          <cell r="F826"/>
          <cell r="G826">
            <v>533.1</v>
          </cell>
          <cell r="H826">
            <v>0</v>
          </cell>
        </row>
        <row r="827">
          <cell r="C827" t="str">
            <v>7.2.4</v>
          </cell>
          <cell r="D827" t="str">
            <v>Cabo Elétrico Singelo Com Condutor De Cobre Eletrolítico Recozido, Têmpera Mole, Classe 0,6/1 Kv, Com Isolamento E Capa Externa De Pvc Na Cor Preta:</v>
          </cell>
          <cell r="E827"/>
          <cell r="F827"/>
          <cell r="G827">
            <v>0</v>
          </cell>
          <cell r="H827">
            <v>0</v>
          </cell>
        </row>
        <row r="828">
          <cell r="C828" t="str">
            <v>7.2.4.1</v>
          </cell>
          <cell r="D828" t="str">
            <v># 16 Mm2</v>
          </cell>
          <cell r="E828" t="str">
            <v>m</v>
          </cell>
          <cell r="F828"/>
          <cell r="G828">
            <v>4.75</v>
          </cell>
          <cell r="H828">
            <v>0</v>
          </cell>
        </row>
        <row r="829">
          <cell r="C829" t="str">
            <v>7.2.4.2</v>
          </cell>
          <cell r="D829" t="str">
            <v># 10 Mm2</v>
          </cell>
          <cell r="E829" t="str">
            <v>m</v>
          </cell>
          <cell r="F829"/>
          <cell r="G829">
            <v>3.8</v>
          </cell>
          <cell r="H829">
            <v>0</v>
          </cell>
        </row>
        <row r="830">
          <cell r="C830" t="str">
            <v>7.2.5</v>
          </cell>
          <cell r="D830" t="str">
            <v>Kit" Para Isolamento Elétrico Das Derivações Dos Anodos, Constituído Por Molde Plástico E Enchimento Isolante De Epoxi, Tipo T, Tamanho 2, Mod. Iec-T2 Da Iec Ou Similar.</v>
          </cell>
          <cell r="E830" t="str">
            <v>un</v>
          </cell>
          <cell r="F830"/>
          <cell r="G830">
            <v>85.68</v>
          </cell>
          <cell r="H830">
            <v>0</v>
          </cell>
        </row>
        <row r="831">
          <cell r="C831" t="str">
            <v>7.2.6</v>
          </cell>
          <cell r="D831" t="str">
            <v>Conector Elétrico De Liga De Cobre, Para Derivação De Cabos Elétricos, Tipo "Split Bolt", Da Eltec Ou Similar, Mod. Cpa 33.</v>
          </cell>
          <cell r="E831" t="str">
            <v>un</v>
          </cell>
          <cell r="F831"/>
          <cell r="G831">
            <v>3.8</v>
          </cell>
          <cell r="H831">
            <v>0</v>
          </cell>
        </row>
        <row r="832">
          <cell r="C832" t="str">
            <v>7.2.7</v>
          </cell>
          <cell r="D832" t="str">
            <v>Moinha De Coque Metalúrgico, Resistividade Elétrica Máxima 50 Ohm/Cm, Fornecido Em Saco De Polipropileno Trançado De 50 Kg, Análise De Peneira: 100% Passando Na Peneira De 1/2" E 85% Na Peneira De 3/8", Tipo Coque Para Proteção Catódica.</v>
          </cell>
          <cell r="E832" t="str">
            <v>kg</v>
          </cell>
          <cell r="F832"/>
          <cell r="G832">
            <v>1.1299999999999999</v>
          </cell>
          <cell r="H832">
            <v>0</v>
          </cell>
        </row>
        <row r="833">
          <cell r="C833" t="str">
            <v>7.2.8</v>
          </cell>
          <cell r="D833" t="str">
            <v>Tubo Eletroduto Rígido Em Aço Carbono, Galvanizado, Sem Luva, Especificação Padrão Eb-341, Pesado, Com Costura, Extremidades Roscadas, Rosca Ansi B2.1 Npt, Fornecido Em Varas Com 3 M De Comprimento, Nos Seguintes Diâmetros:</v>
          </cell>
          <cell r="E833"/>
          <cell r="F833"/>
          <cell r="G833">
            <v>0</v>
          </cell>
          <cell r="H833">
            <v>0</v>
          </cell>
        </row>
        <row r="834">
          <cell r="C834" t="str">
            <v>7.2.8.1</v>
          </cell>
          <cell r="D834" t="str">
            <v>- 1"</v>
          </cell>
          <cell r="E834" t="str">
            <v>un</v>
          </cell>
          <cell r="F834"/>
          <cell r="G834">
            <v>11.41</v>
          </cell>
          <cell r="H834">
            <v>0</v>
          </cell>
        </row>
        <row r="835">
          <cell r="C835" t="str">
            <v>7.2.8.2</v>
          </cell>
          <cell r="D835" t="str">
            <v>- 4"</v>
          </cell>
          <cell r="E835" t="str">
            <v>un</v>
          </cell>
          <cell r="F835"/>
          <cell r="G835">
            <v>11.41</v>
          </cell>
          <cell r="H835">
            <v>0</v>
          </cell>
        </row>
        <row r="836">
          <cell r="C836" t="str">
            <v>7.2.9</v>
          </cell>
          <cell r="D836" t="str">
            <v>Pó De Solda Exotérmica, Constituída De Mistura De Óxido De Cobre E Alumínio, Com Metal De Ignição, Em Cartuchos Plásticos Tamanho 15.</v>
          </cell>
          <cell r="E836" t="str">
            <v>un</v>
          </cell>
          <cell r="F836"/>
          <cell r="G836">
            <v>7.62</v>
          </cell>
          <cell r="H836">
            <v>0</v>
          </cell>
        </row>
        <row r="837">
          <cell r="C837" t="str">
            <v>7.2.10</v>
          </cell>
          <cell r="D837" t="str">
            <v>Massa Epóxi Poliamida Para Revestimento, 2 Componentes, Em Latas De 0,5 Kg Cada, Tipo Iec-Mas/050 Da Iec Ou Similar.</v>
          </cell>
          <cell r="E837" t="str">
            <v>un</v>
          </cell>
          <cell r="F837"/>
          <cell r="G837">
            <v>95.19</v>
          </cell>
          <cell r="H837">
            <v>0</v>
          </cell>
        </row>
        <row r="838">
          <cell r="C838" t="str">
            <v>7.2.11</v>
          </cell>
          <cell r="D838" t="str">
            <v>Cabo De Cobre Nú Para Aterramento, Encordoamento Simples, Padrão Eb-12, Têmpera Meio-Dura, 25 Mm2, Classe Flexível B.</v>
          </cell>
          <cell r="E838" t="str">
            <v>m</v>
          </cell>
          <cell r="F838"/>
          <cell r="G838">
            <v>5.32</v>
          </cell>
          <cell r="H838">
            <v>0</v>
          </cell>
        </row>
        <row r="839">
          <cell r="C839" t="str">
            <v>7.2.12</v>
          </cell>
          <cell r="D839" t="str">
            <v>Caixa De Ligação À Prova De Tempo, Gases, Vapores A Pó, Furações Passantes Nas Posições D E F Para Eletroduto De 1", Em Liga De Alumínio, Com Tampa Superior Plana, Com Dobradiças,  Porta Cadeado E Parafusos De Fixação Tipo Allen, Dotada De Juntas De Vedação De Borracha Natural E Chassi Removível De Alumínio, Tipo Iec-Cmi-R14 P22 Da Iec Ou Similar, Incluindo Miolo Interno Com Bornes Terminais Conexel, De Acordo Com Det.6 Do Desenho Iec-Ies001-De-002</v>
          </cell>
          <cell r="E839" t="str">
            <v>un</v>
          </cell>
          <cell r="F839"/>
          <cell r="G839">
            <v>142.79</v>
          </cell>
          <cell r="H839">
            <v>0</v>
          </cell>
        </row>
        <row r="840">
          <cell r="C840" t="str">
            <v>7.2.13</v>
          </cell>
          <cell r="D840" t="str">
            <v>Massa De Calafetar Tipo Iec-Mas/Cal-100</v>
          </cell>
          <cell r="E840" t="str">
            <v>kg</v>
          </cell>
          <cell r="F840"/>
          <cell r="G840">
            <v>5.71</v>
          </cell>
          <cell r="H840">
            <v>0</v>
          </cell>
        </row>
        <row r="841">
          <cell r="C841" t="str">
            <v>7.2.14</v>
          </cell>
          <cell r="D841" t="str">
            <v>Materiais De Consumo ( Concreto, Brita, Madeira Para Formas,Etc)</v>
          </cell>
          <cell r="E841" t="str">
            <v>-</v>
          </cell>
          <cell r="F841"/>
          <cell r="G841">
            <v>2855.92</v>
          </cell>
          <cell r="H841">
            <v>0</v>
          </cell>
        </row>
        <row r="842">
          <cell r="C842" t="str">
            <v>7.2.15</v>
          </cell>
          <cell r="D842" t="str">
            <v>Arruela Sextavada, Para Fixação De Tubo Eletroduto À Caixa, Em Aço Galvanizado, Rosca Ansi B2.1 Npt, Tipo Bu/F Da Blinda Ou Similar, Diâmetro 1"</v>
          </cell>
          <cell r="E842" t="str">
            <v>un</v>
          </cell>
          <cell r="F842"/>
          <cell r="G842">
            <v>5.71</v>
          </cell>
          <cell r="H842">
            <v>0</v>
          </cell>
        </row>
        <row r="843">
          <cell r="C843" t="str">
            <v>7.2.16</v>
          </cell>
          <cell r="D843" t="str">
            <v>Bucha Sextavada, Para Fixação De Tubo Eletroduto À Caixa, Em Aço Galvanizado, Rosca Ansi B2.1 Npt, Tipo Bu/F Da Blinda Ou Similar Diâmetro 1".</v>
          </cell>
          <cell r="E843" t="str">
            <v>un</v>
          </cell>
          <cell r="F843"/>
          <cell r="G843">
            <v>5.71</v>
          </cell>
          <cell r="H843">
            <v>0</v>
          </cell>
        </row>
        <row r="844">
          <cell r="C844" t="str">
            <v>7.2.17</v>
          </cell>
          <cell r="D844" t="str">
            <v>Haste De Aterramento De Cobre Com Alma De Aço, Tipo Copperweld", Extremidade Cilindro-Cônica, D = 3/4", C Comprimento 3,0 M.</v>
          </cell>
          <cell r="E844" t="str">
            <v>un</v>
          </cell>
          <cell r="F844"/>
          <cell r="G844">
            <v>28.55</v>
          </cell>
          <cell r="H844">
            <v>0</v>
          </cell>
        </row>
        <row r="845">
          <cell r="C845" t="str">
            <v>7.2.18</v>
          </cell>
          <cell r="D845" t="str">
            <v>Conector De Ligação De Cabo Terra 25 Mm2 À Haste De D = 3/4" Em Liga De Cobre, Tipo Gar 6426 Da Burndy Ou Similar.</v>
          </cell>
          <cell r="E845" t="str">
            <v>un</v>
          </cell>
          <cell r="F845"/>
          <cell r="G845">
            <v>5.71</v>
          </cell>
          <cell r="H845">
            <v>0</v>
          </cell>
        </row>
        <row r="846">
          <cell r="C846" t="str">
            <v>7.2.19</v>
          </cell>
          <cell r="D846" t="str">
            <v>Bucha Para Acabamento, Em Alumínio, Diâmetro 1".</v>
          </cell>
          <cell r="E846" t="str">
            <v>un</v>
          </cell>
          <cell r="F846"/>
          <cell r="G846">
            <v>5.71</v>
          </cell>
          <cell r="H846">
            <v>0</v>
          </cell>
        </row>
        <row r="847">
          <cell r="C847" t="str">
            <v>7.2.20</v>
          </cell>
          <cell r="D847" t="str">
            <v>Caps" Para Tubo De Aço Galvanizado, Diâmetro 4"</v>
          </cell>
          <cell r="E847" t="str">
            <v>un</v>
          </cell>
          <cell r="F847"/>
          <cell r="G847">
            <v>95.19</v>
          </cell>
          <cell r="H847">
            <v>0</v>
          </cell>
        </row>
        <row r="848">
          <cell r="C848" t="str">
            <v>7.2.21</v>
          </cell>
          <cell r="D848" t="str">
            <v>Massa Asfáltica Para Aplicação À Frio Tipo Carbolástico Nº 2 Ou Similar3</v>
          </cell>
          <cell r="E848" t="str">
            <v>kg</v>
          </cell>
          <cell r="F848"/>
          <cell r="G848">
            <v>5.71</v>
          </cell>
          <cell r="H848">
            <v>0</v>
          </cell>
        </row>
        <row r="849">
          <cell r="C849" t="str">
            <v>7.2.22</v>
          </cell>
          <cell r="D849" t="str">
            <v>Abraçadeira De Aço Galvanizado 4".</v>
          </cell>
          <cell r="E849" t="str">
            <v>un</v>
          </cell>
          <cell r="F849"/>
          <cell r="G849">
            <v>9.51</v>
          </cell>
          <cell r="H849">
            <v>0</v>
          </cell>
        </row>
        <row r="850">
          <cell r="C850" t="str">
            <v>7.2.23</v>
          </cell>
          <cell r="D850" t="str">
            <v>Manilha De Barro Vidrado Ou Concreto, Com Tampa De Concreto E Alça Passante, Diâmetro 300 Mm E 600 Mm De Comprimento</v>
          </cell>
          <cell r="E850" t="str">
            <v>un</v>
          </cell>
          <cell r="F850"/>
          <cell r="G850">
            <v>142.79</v>
          </cell>
          <cell r="H850">
            <v>0</v>
          </cell>
        </row>
        <row r="851">
          <cell r="C851" t="str">
            <v>7.2.24</v>
          </cell>
          <cell r="D851" t="str">
            <v>Entrada De Linha De Alimentação Para Eletroduto Em Aço, Com Bucha De Material Isolante E Corpo De Alumínio, Encaixe Com Rosca Ansi B2.1 Npt, Tipo Da Peterco Ou Similar, Diâmetro 1". Fita Isolante Elétrica</v>
          </cell>
          <cell r="E851" t="str">
            <v>un</v>
          </cell>
          <cell r="F851"/>
          <cell r="G851">
            <v>28.55</v>
          </cell>
          <cell r="H851">
            <v>0</v>
          </cell>
        </row>
        <row r="852">
          <cell r="C852" t="str">
            <v>7.2.25</v>
          </cell>
          <cell r="D852" t="str">
            <v>Auto-Fusão Nº 23. Rolo De 10 M De Compri- Mento E 19 Mm De Largura, Marca Scotch Da 3M Ou Similar.</v>
          </cell>
          <cell r="E852" t="str">
            <v>rolo</v>
          </cell>
          <cell r="F852"/>
          <cell r="G852">
            <v>5.71</v>
          </cell>
          <cell r="H852">
            <v>0</v>
          </cell>
        </row>
        <row r="853">
          <cell r="C853" t="str">
            <v>7.2.26</v>
          </cell>
          <cell r="D853" t="str">
            <v>Conjunto de retificadores para o sistema de proteção catódica</v>
          </cell>
          <cell r="E853" t="str">
            <v>cj</v>
          </cell>
          <cell r="F853"/>
          <cell r="G853">
            <v>75771.39</v>
          </cell>
          <cell r="H853">
            <v>0</v>
          </cell>
        </row>
        <row r="854">
          <cell r="C854" t="str">
            <v>7.2.27</v>
          </cell>
          <cell r="D854" t="str">
            <v xml:space="preserve">Poste De Ferro Galvanizado,Curvo,Com Base 300 X 300 Mm, Com 4 Chumbadores, Diam. 3/4" X 700 Mm, Altura = 8 M </v>
          </cell>
          <cell r="E854" t="str">
            <v>cj</v>
          </cell>
          <cell r="F854"/>
          <cell r="G854">
            <v>514.47</v>
          </cell>
          <cell r="H854">
            <v>0</v>
          </cell>
        </row>
        <row r="855">
          <cell r="C855" t="str">
            <v>8.</v>
          </cell>
          <cell r="D855" t="str">
            <v>8 - CANAIS</v>
          </cell>
          <cell r="E855"/>
          <cell r="F855"/>
          <cell r="G855"/>
          <cell r="H855">
            <v>0</v>
          </cell>
        </row>
        <row r="856">
          <cell r="C856" t="str">
            <v>8.1</v>
          </cell>
          <cell r="D856" t="str">
            <v>8.1 - CANAIS SECUNDÁRIO E TERCIÁRIOS</v>
          </cell>
          <cell r="E856"/>
          <cell r="F856"/>
          <cell r="G856"/>
          <cell r="H856">
            <v>0</v>
          </cell>
        </row>
        <row r="857">
          <cell r="C857" t="str">
            <v>8.1.1</v>
          </cell>
          <cell r="D857" t="str">
            <v xml:space="preserve">OBRAS CIVIS </v>
          </cell>
          <cell r="E857"/>
          <cell r="F857"/>
          <cell r="G857"/>
          <cell r="H857">
            <v>0</v>
          </cell>
        </row>
        <row r="858">
          <cell r="C858" t="str">
            <v>8.1.1.1</v>
          </cell>
          <cell r="D858" t="str">
            <v>Desmatamento, Destocamento E Limpeza Do Terreno</v>
          </cell>
          <cell r="E858" t="str">
            <v>ha</v>
          </cell>
          <cell r="F858"/>
          <cell r="G858">
            <v>1660.74</v>
          </cell>
          <cell r="H858">
            <v>0</v>
          </cell>
        </row>
        <row r="859">
          <cell r="C859" t="str">
            <v>8.1.1.2</v>
          </cell>
          <cell r="D859" t="str">
            <v>Raspagem Da Camada Vegetal, Espes.= De 15Cm, Com Dmt &lt;= 100 M</v>
          </cell>
          <cell r="E859" t="str">
            <v>m³</v>
          </cell>
          <cell r="F859"/>
          <cell r="G859">
            <v>1.87</v>
          </cell>
          <cell r="H859">
            <v>0</v>
          </cell>
        </row>
        <row r="860">
          <cell r="C860" t="str">
            <v>8.1.1.3</v>
          </cell>
          <cell r="D860" t="str">
            <v>Escavação Mecânica Em Material De 1ª Categoria, Dmt &lt;= 300 M</v>
          </cell>
          <cell r="E860" t="str">
            <v>m³</v>
          </cell>
          <cell r="F860"/>
          <cell r="G860">
            <v>5.54</v>
          </cell>
          <cell r="H860">
            <v>0</v>
          </cell>
        </row>
        <row r="861">
          <cell r="C861" t="str">
            <v>8.1.1.4</v>
          </cell>
          <cell r="D861" t="str">
            <v>Aterro Compactado, Compreendendo Escavação, Carga, Descarga E Transporte Até 300 M, Umeddecimento, Espalhamento, Homogenização E Compactação</v>
          </cell>
          <cell r="E861" t="str">
            <v>m³</v>
          </cell>
          <cell r="F861"/>
          <cell r="G861">
            <v>9.69</v>
          </cell>
          <cell r="H861">
            <v>0</v>
          </cell>
        </row>
        <row r="862">
          <cell r="C862" t="str">
            <v>8.1.1.5</v>
          </cell>
          <cell r="D862" t="str">
            <v>Aterro Compactado  Com Laterita</v>
          </cell>
          <cell r="E862" t="str">
            <v>m³</v>
          </cell>
          <cell r="F862"/>
          <cell r="G862">
            <v>11.55</v>
          </cell>
          <cell r="H862">
            <v>0</v>
          </cell>
        </row>
        <row r="863">
          <cell r="C863" t="str">
            <v>8.1.1.6</v>
          </cell>
          <cell r="D863" t="str">
            <v>Reaterro Compactado Com Reaproveitamento Do Material Escavado</v>
          </cell>
          <cell r="E863" t="str">
            <v>m³</v>
          </cell>
          <cell r="F863"/>
          <cell r="G863">
            <v>7.41</v>
          </cell>
          <cell r="H863">
            <v>0</v>
          </cell>
        </row>
        <row r="864">
          <cell r="C864" t="str">
            <v>8.1.1.7</v>
          </cell>
          <cell r="D864" t="str">
            <v>Momento Extraordinário De Transporte Para Material De 1ª Categoria</v>
          </cell>
          <cell r="E864" t="str">
            <v>m³xkm</v>
          </cell>
          <cell r="F864"/>
          <cell r="G864">
            <v>1.1499999999999999</v>
          </cell>
          <cell r="H864">
            <v>0</v>
          </cell>
        </row>
        <row r="865">
          <cell r="C865" t="str">
            <v>8.1.1.8</v>
          </cell>
          <cell r="D865" t="str">
            <v>Proteção Vegetal De Taludes</v>
          </cell>
          <cell r="E865" t="str">
            <v>m²</v>
          </cell>
          <cell r="F865"/>
          <cell r="G865">
            <v>4.7699999999999996</v>
          </cell>
          <cell r="H865">
            <v>0</v>
          </cell>
        </row>
        <row r="866">
          <cell r="C866" t="str">
            <v>8.1.1.9</v>
          </cell>
          <cell r="D866" t="str">
            <v>Proteção Vegetal De Taludes Com "Grama Armada"</v>
          </cell>
          <cell r="E866" t="str">
            <v>m²</v>
          </cell>
          <cell r="F866"/>
          <cell r="G866">
            <v>19.260000000000002</v>
          </cell>
          <cell r="H866">
            <v>0</v>
          </cell>
        </row>
        <row r="867">
          <cell r="C867" t="str">
            <v>8.1.1.10</v>
          </cell>
          <cell r="D867" t="str">
            <v>Conformação E Regularização Final Dos Taludes</v>
          </cell>
          <cell r="E867" t="str">
            <v>m²</v>
          </cell>
          <cell r="F867"/>
          <cell r="G867">
            <v>6.76</v>
          </cell>
          <cell r="H867">
            <v>0</v>
          </cell>
        </row>
        <row r="868">
          <cell r="C868" t="str">
            <v>8.1.1.11</v>
          </cell>
          <cell r="D868" t="str">
            <v>Escadas De Segurança Para Canais</v>
          </cell>
          <cell r="E868" t="str">
            <v>m</v>
          </cell>
          <cell r="F868"/>
          <cell r="G868">
            <v>77.069999999999993</v>
          </cell>
          <cell r="H868">
            <v>0</v>
          </cell>
        </row>
        <row r="869">
          <cell r="C869" t="str">
            <v>8.1.1.12</v>
          </cell>
          <cell r="D869" t="str">
            <v>Revestimento De Canal Com Concreto, Espes.= 5 Cm</v>
          </cell>
          <cell r="E869" t="str">
            <v>m²</v>
          </cell>
          <cell r="F869"/>
          <cell r="G869">
            <v>21.85</v>
          </cell>
          <cell r="H869">
            <v>0</v>
          </cell>
        </row>
        <row r="870">
          <cell r="C870" t="str">
            <v>8.1.1.13</v>
          </cell>
          <cell r="D870" t="str">
            <v>Junta Com Mastique Elástico</v>
          </cell>
          <cell r="E870" t="str">
            <v>m</v>
          </cell>
          <cell r="F870"/>
          <cell r="G870">
            <v>10.59</v>
          </cell>
          <cell r="H870">
            <v>0</v>
          </cell>
        </row>
        <row r="871">
          <cell r="C871" t="str">
            <v>8.1.1.14</v>
          </cell>
          <cell r="D871" t="str">
            <v>Geomembrana Impermeável</v>
          </cell>
          <cell r="E871" t="str">
            <v>m²</v>
          </cell>
          <cell r="F871"/>
          <cell r="G871">
            <v>15.02</v>
          </cell>
          <cell r="H871">
            <v>0</v>
          </cell>
        </row>
        <row r="872">
          <cell r="C872" t="str">
            <v>8.1.1.15</v>
          </cell>
          <cell r="D872" t="str">
            <v>Geotextil Não Tecido - Resistência À Tração &gt;= 15 Kn/M</v>
          </cell>
          <cell r="E872" t="str">
            <v>m²</v>
          </cell>
          <cell r="F872"/>
          <cell r="G872">
            <v>4.72</v>
          </cell>
          <cell r="H872">
            <v>0</v>
          </cell>
        </row>
        <row r="873">
          <cell r="C873" t="str">
            <v>8.1.1.16</v>
          </cell>
          <cell r="D873" t="str">
            <v>Fornecimento E Montagem De Cabo De Segurança</v>
          </cell>
          <cell r="E873" t="str">
            <v>m</v>
          </cell>
          <cell r="F873"/>
          <cell r="G873">
            <v>42.96</v>
          </cell>
          <cell r="H873">
            <v>0</v>
          </cell>
        </row>
        <row r="874">
          <cell r="C874" t="str">
            <v>8.1.1.17</v>
          </cell>
          <cell r="D874" t="str">
            <v>Regularização E Compactação De Subleito Nas Pistas De Rolamento</v>
          </cell>
          <cell r="E874" t="str">
            <v>m²</v>
          </cell>
          <cell r="F874"/>
          <cell r="G874">
            <v>0.82</v>
          </cell>
          <cell r="H874">
            <v>0</v>
          </cell>
        </row>
        <row r="875">
          <cell r="C875" t="str">
            <v>8.1.1.18</v>
          </cell>
          <cell r="D875" t="str">
            <v>Regularização Final Dos Taludes Do Canal Com Solo  Melhorado Com Cimento (6% Peso)</v>
          </cell>
          <cell r="E875" t="str">
            <v>m²</v>
          </cell>
          <cell r="F875"/>
          <cell r="G875">
            <v>4.82</v>
          </cell>
          <cell r="H875">
            <v>0</v>
          </cell>
        </row>
        <row r="876">
          <cell r="C876" t="str">
            <v>8.1.1.19</v>
          </cell>
          <cell r="D876" t="str">
            <v>Valeta De Concreto Simples - Berma Em Corte</v>
          </cell>
          <cell r="E876" t="str">
            <v>m</v>
          </cell>
          <cell r="F876"/>
          <cell r="G876">
            <v>34.69</v>
          </cell>
          <cell r="H876">
            <v>0</v>
          </cell>
        </row>
        <row r="877">
          <cell r="C877" t="str">
            <v>8.1.1.20</v>
          </cell>
          <cell r="D877" t="str">
            <v>Recuperação De Placas Do Canal Em Argamasa 1:3 Com Areia</v>
          </cell>
          <cell r="E877" t="str">
            <v>m²</v>
          </cell>
          <cell r="F877"/>
          <cell r="G877">
            <v>18.59</v>
          </cell>
          <cell r="H877">
            <v>0</v>
          </cell>
        </row>
        <row r="878">
          <cell r="C878" t="str">
            <v>8.1.1.21</v>
          </cell>
          <cell r="D878" t="str">
            <v>Demolição De Concreto Simples</v>
          </cell>
          <cell r="E878" t="str">
            <v>m³</v>
          </cell>
          <cell r="F878"/>
          <cell r="G878">
            <v>130.57</v>
          </cell>
          <cell r="H878">
            <v>0</v>
          </cell>
        </row>
        <row r="879">
          <cell r="C879" t="str">
            <v>8.1.2</v>
          </cell>
          <cell r="D879" t="str">
            <v>DRENO DE FUNDO</v>
          </cell>
          <cell r="E879"/>
          <cell r="F879"/>
          <cell r="G879"/>
          <cell r="H879">
            <v>0</v>
          </cell>
        </row>
        <row r="880">
          <cell r="C880" t="str">
            <v>8.1.2.1</v>
          </cell>
          <cell r="D880" t="str">
            <v>Escavação Manual Em Material De 1ª Categoria Com Dmt &lt;= 100 M (Até 1,5 M)</v>
          </cell>
          <cell r="E880" t="str">
            <v>m³</v>
          </cell>
          <cell r="F880"/>
          <cell r="G880">
            <v>18.07</v>
          </cell>
          <cell r="H880">
            <v>0</v>
          </cell>
        </row>
        <row r="881">
          <cell r="C881" t="str">
            <v>8.1.2.2</v>
          </cell>
          <cell r="D881" t="str">
            <v>Colchão De Brita</v>
          </cell>
          <cell r="E881" t="str">
            <v>m³</v>
          </cell>
          <cell r="F881"/>
          <cell r="G881">
            <v>63.2</v>
          </cell>
          <cell r="H881">
            <v>0</v>
          </cell>
        </row>
        <row r="882">
          <cell r="C882" t="str">
            <v>8.1.2.3</v>
          </cell>
          <cell r="D882" t="str">
            <v>Geotextil Não Tecido - Resistência À Tração &gt;= 15 Kn/M</v>
          </cell>
          <cell r="E882" t="str">
            <v>m²</v>
          </cell>
          <cell r="F882"/>
          <cell r="G882">
            <v>4.72</v>
          </cell>
          <cell r="H882">
            <v>0</v>
          </cell>
        </row>
        <row r="883">
          <cell r="C883" t="str">
            <v>8.1.2.4</v>
          </cell>
          <cell r="D883" t="str">
            <v>Reaterro Manual De Vala Com Aproveitamento Do Material Escavado</v>
          </cell>
          <cell r="E883" t="str">
            <v>m³</v>
          </cell>
          <cell r="F883"/>
          <cell r="G883">
            <v>7.41</v>
          </cell>
          <cell r="H883">
            <v>0</v>
          </cell>
        </row>
        <row r="884">
          <cell r="C884" t="str">
            <v>8.1.3</v>
          </cell>
          <cell r="D884" t="str">
            <v>MURETA DO CANAL PRINCIPAL</v>
          </cell>
          <cell r="E884"/>
          <cell r="F884"/>
          <cell r="G884"/>
          <cell r="H884">
            <v>0</v>
          </cell>
        </row>
        <row r="885">
          <cell r="C885" t="str">
            <v>8.1.3.1</v>
          </cell>
          <cell r="D885" t="str">
            <v>Desmatamento, Destocamento E Limpeza Do Terreno</v>
          </cell>
          <cell r="E885" t="str">
            <v>ha</v>
          </cell>
          <cell r="F885"/>
          <cell r="G885">
            <v>1660.74</v>
          </cell>
          <cell r="H885">
            <v>0</v>
          </cell>
        </row>
        <row r="886">
          <cell r="C886" t="str">
            <v>8.1.3.2</v>
          </cell>
          <cell r="D886" t="str">
            <v>Raspagem Da Camada Vegetal, Espes.= De 15Cm, Com Dmt &lt;= 100 M</v>
          </cell>
          <cell r="E886" t="str">
            <v>m³</v>
          </cell>
          <cell r="F886"/>
          <cell r="G886">
            <v>1.87</v>
          </cell>
          <cell r="H886">
            <v>0</v>
          </cell>
        </row>
        <row r="887">
          <cell r="C887" t="str">
            <v>8.1.3.3</v>
          </cell>
          <cell r="D887" t="str">
            <v>Escav. Manual  Em Material De  1ª Cat. Com Dmt&lt;= 100 M. (Até 1,5M)</v>
          </cell>
          <cell r="E887" t="str">
            <v>m³</v>
          </cell>
          <cell r="F887"/>
          <cell r="G887">
            <v>18.07</v>
          </cell>
          <cell r="H887">
            <v>0</v>
          </cell>
        </row>
        <row r="888">
          <cell r="C888" t="str">
            <v>8.1.3.4</v>
          </cell>
          <cell r="D888" t="str">
            <v>Momento Extraordinário De Transporte Para Material De 1ª Categoria</v>
          </cell>
          <cell r="E888" t="str">
            <v>m³xkm</v>
          </cell>
          <cell r="F888"/>
          <cell r="G888">
            <v>1.1499999999999999</v>
          </cell>
          <cell r="H888">
            <v>0</v>
          </cell>
        </row>
        <row r="889">
          <cell r="C889" t="str">
            <v>8.1.3.5</v>
          </cell>
          <cell r="D889" t="str">
            <v>Formas Planas Para Concreto</v>
          </cell>
          <cell r="E889" t="str">
            <v>m²</v>
          </cell>
          <cell r="F889"/>
          <cell r="G889">
            <v>53.52</v>
          </cell>
          <cell r="H889">
            <v>0</v>
          </cell>
        </row>
        <row r="890">
          <cell r="C890" t="str">
            <v>8.1.3.6</v>
          </cell>
          <cell r="D890" t="str">
            <v>Armadura Para Concreto Estrutural (Aço Ca-50)</v>
          </cell>
          <cell r="E890" t="str">
            <v>kg</v>
          </cell>
          <cell r="F890"/>
          <cell r="G890">
            <v>3.87</v>
          </cell>
          <cell r="H890">
            <v>0</v>
          </cell>
        </row>
        <row r="891">
          <cell r="C891" t="str">
            <v>8.1.3.7</v>
          </cell>
          <cell r="D891" t="str">
            <v>Preparo, Lançamento E Adensamento De Concreto  (Ca-4 E)</v>
          </cell>
          <cell r="E891" t="str">
            <v>m³</v>
          </cell>
          <cell r="F891"/>
          <cell r="G891">
            <v>284.41000000000003</v>
          </cell>
          <cell r="H891">
            <v>0</v>
          </cell>
        </row>
        <row r="892">
          <cell r="C892" t="str">
            <v>8.1.3.8</v>
          </cell>
          <cell r="D892" t="str">
            <v>Junta Com Mastique Elástico</v>
          </cell>
          <cell r="E892" t="str">
            <v>m</v>
          </cell>
          <cell r="F892"/>
          <cell r="G892">
            <v>10.59</v>
          </cell>
          <cell r="H892">
            <v>0</v>
          </cell>
        </row>
        <row r="893">
          <cell r="C893" t="str">
            <v>8.1.3.9</v>
          </cell>
          <cell r="D893" t="str">
            <v>Reaterro Compactado Com Reaproveitamento Do Material Escavado</v>
          </cell>
          <cell r="E893" t="str">
            <v>m</v>
          </cell>
          <cell r="F893"/>
          <cell r="G893">
            <v>7.41</v>
          </cell>
          <cell r="H893">
            <v>0</v>
          </cell>
        </row>
        <row r="894">
          <cell r="C894" t="str">
            <v>8.1.4</v>
          </cell>
          <cell r="D894" t="str">
            <v>PARTIDOR CP-CS1 E CS2</v>
          </cell>
          <cell r="E894"/>
          <cell r="F894"/>
          <cell r="G894"/>
          <cell r="H894">
            <v>0</v>
          </cell>
        </row>
        <row r="895">
          <cell r="C895" t="str">
            <v>8.1.4.1</v>
          </cell>
          <cell r="D895" t="str">
            <v>Preparo, Lançamento E Adensamento De Concreto  (Ca-7J)</v>
          </cell>
          <cell r="E895" t="str">
            <v>m³</v>
          </cell>
          <cell r="F895"/>
          <cell r="G895">
            <v>236.36</v>
          </cell>
          <cell r="H895">
            <v>0</v>
          </cell>
        </row>
        <row r="896">
          <cell r="C896" t="str">
            <v>8.1.4.2</v>
          </cell>
          <cell r="D896" t="str">
            <v>Armadura Para Concreto Estrutural Ca-50B</v>
          </cell>
          <cell r="E896" t="str">
            <v>kg</v>
          </cell>
          <cell r="F896"/>
          <cell r="G896">
            <v>3.87</v>
          </cell>
          <cell r="H896">
            <v>0</v>
          </cell>
        </row>
        <row r="897">
          <cell r="C897" t="str">
            <v>8.1.4.3</v>
          </cell>
          <cell r="D897" t="str">
            <v>Formas Planas Para Concreto</v>
          </cell>
          <cell r="E897" t="str">
            <v>m²</v>
          </cell>
          <cell r="F897"/>
          <cell r="G897">
            <v>53.52</v>
          </cell>
          <cell r="H897">
            <v>0</v>
          </cell>
        </row>
        <row r="898">
          <cell r="C898" t="str">
            <v>8.1.4.4</v>
          </cell>
          <cell r="D898" t="str">
            <v>Preparo, Lançamento E Adensamento De Concreto  (Ca-4 E)</v>
          </cell>
          <cell r="E898" t="str">
            <v>m³</v>
          </cell>
          <cell r="F898"/>
          <cell r="G898">
            <v>284.41000000000003</v>
          </cell>
          <cell r="H898">
            <v>0</v>
          </cell>
        </row>
        <row r="899">
          <cell r="C899" t="str">
            <v>8.1.4.5</v>
          </cell>
          <cell r="D899" t="str">
            <v>Junta Com Mastique Elástico</v>
          </cell>
          <cell r="E899" t="str">
            <v>m</v>
          </cell>
          <cell r="F899"/>
          <cell r="G899">
            <v>10.59</v>
          </cell>
          <cell r="H899">
            <v>0</v>
          </cell>
        </row>
        <row r="900">
          <cell r="C900" t="str">
            <v>8.1.4.6</v>
          </cell>
          <cell r="D900" t="str">
            <v>Junta Fungemband - Tipo O-22</v>
          </cell>
          <cell r="E900" t="str">
            <v>m</v>
          </cell>
          <cell r="F900"/>
          <cell r="G900">
            <v>94.03</v>
          </cell>
          <cell r="H900">
            <v>0</v>
          </cell>
        </row>
        <row r="901">
          <cell r="C901" t="str">
            <v>8.1.4.7</v>
          </cell>
          <cell r="D901" t="str">
            <v>Material Para Fixação Do  Geosintético</v>
          </cell>
          <cell r="E901" t="str">
            <v>m</v>
          </cell>
          <cell r="F901"/>
          <cell r="G901">
            <v>16.59</v>
          </cell>
          <cell r="H901">
            <v>0</v>
          </cell>
        </row>
        <row r="902">
          <cell r="C902" t="str">
            <v>8.2</v>
          </cell>
          <cell r="D902" t="str">
            <v>8.2 - SIFÕES DE SEGURANÇA E DESCARGAS DE FUNDO</v>
          </cell>
          <cell r="E902"/>
          <cell r="F902"/>
          <cell r="G902"/>
          <cell r="H902">
            <v>0</v>
          </cell>
        </row>
        <row r="903">
          <cell r="C903" t="str">
            <v>8.2.1</v>
          </cell>
          <cell r="D903" t="str">
            <v>OBRAS CIVIS  E MONTAGEM</v>
          </cell>
          <cell r="E903"/>
          <cell r="F903"/>
          <cell r="G903"/>
          <cell r="H903">
            <v>0</v>
          </cell>
        </row>
        <row r="904">
          <cell r="C904" t="str">
            <v>8.2.1.1</v>
          </cell>
          <cell r="D904" t="str">
            <v>Escavação Mecânica Em Material De 1ª Categoria, Dmt &lt;= 300 M</v>
          </cell>
          <cell r="E904" t="str">
            <v>m³</v>
          </cell>
          <cell r="F904"/>
          <cell r="G904">
            <v>5.54</v>
          </cell>
          <cell r="H904">
            <v>0</v>
          </cell>
        </row>
        <row r="905">
          <cell r="C905" t="str">
            <v>8.2.1.2</v>
          </cell>
          <cell r="D905" t="str">
            <v>Aterro Compactado, Compreendendo Escavação, Carga, Descarga E Transporte Até 300 M, Umeddecimento, Espalhamento, Homogenização E Compactação</v>
          </cell>
          <cell r="E905" t="str">
            <v>m³</v>
          </cell>
          <cell r="F905"/>
          <cell r="G905">
            <v>9.69</v>
          </cell>
          <cell r="H905">
            <v>0</v>
          </cell>
        </row>
        <row r="906">
          <cell r="C906" t="str">
            <v>8.2.1.3</v>
          </cell>
          <cell r="D906" t="str">
            <v>Aterro Com Material Granuloso Selecionado</v>
          </cell>
          <cell r="E906" t="str">
            <v>m³</v>
          </cell>
          <cell r="F906"/>
          <cell r="G906">
            <v>11.55</v>
          </cell>
          <cell r="H906">
            <v>0</v>
          </cell>
        </row>
        <row r="907">
          <cell r="C907" t="str">
            <v>8.2.1.4</v>
          </cell>
          <cell r="D907" t="str">
            <v>Preparo, Lançamento E Adensamento De Concreto  (Ca-7 J)</v>
          </cell>
          <cell r="E907" t="str">
            <v>m³</v>
          </cell>
          <cell r="F907"/>
          <cell r="G907">
            <v>236.36</v>
          </cell>
          <cell r="H907">
            <v>0</v>
          </cell>
        </row>
        <row r="908">
          <cell r="C908" t="str">
            <v>8.2.1.5</v>
          </cell>
          <cell r="D908" t="str">
            <v>Preparo, Lançamento E Adensamento De Concreto  (Ca-4 E)</v>
          </cell>
          <cell r="E908" t="str">
            <v>m³</v>
          </cell>
          <cell r="F908"/>
          <cell r="G908">
            <v>284.41000000000003</v>
          </cell>
          <cell r="H908">
            <v>0</v>
          </cell>
        </row>
        <row r="909">
          <cell r="C909" t="str">
            <v>8.2.1.6</v>
          </cell>
          <cell r="D909" t="str">
            <v>Formas Planas Para Concreto</v>
          </cell>
          <cell r="E909" t="str">
            <v>m²</v>
          </cell>
          <cell r="F909"/>
          <cell r="G909">
            <v>53.52</v>
          </cell>
          <cell r="H909">
            <v>0</v>
          </cell>
        </row>
        <row r="910">
          <cell r="C910" t="str">
            <v>8.2.1.7</v>
          </cell>
          <cell r="D910" t="str">
            <v>Armadura Para Concreto Estrutural Ca-50B</v>
          </cell>
          <cell r="E910" t="str">
            <v xml:space="preserve"> kg</v>
          </cell>
          <cell r="F910"/>
          <cell r="G910">
            <v>3.87</v>
          </cell>
          <cell r="H910">
            <v>0</v>
          </cell>
        </row>
        <row r="911">
          <cell r="C911" t="str">
            <v>8.2.1.8</v>
          </cell>
          <cell r="D911" t="str">
            <v>Demolição E Recomposição De Revestimento Primário (Estrada)</v>
          </cell>
          <cell r="E911" t="str">
            <v>m²</v>
          </cell>
          <cell r="F911"/>
          <cell r="G911">
            <v>2.56</v>
          </cell>
          <cell r="H911">
            <v>0</v>
          </cell>
        </row>
        <row r="912">
          <cell r="C912" t="str">
            <v>8.2.1.9</v>
          </cell>
          <cell r="D912" t="str">
            <v>Reaterro Compactado Com Reaproveitamento Do Material Escavado</v>
          </cell>
          <cell r="E912" t="str">
            <v>m³</v>
          </cell>
          <cell r="F912"/>
          <cell r="G912">
            <v>7.41</v>
          </cell>
          <cell r="H912">
            <v>0</v>
          </cell>
        </row>
        <row r="913">
          <cell r="C913" t="str">
            <v>8.2.1.10</v>
          </cell>
          <cell r="D913" t="str">
            <v>Execução De Revestimento Com Pedra Argamassada, Espes.=20 Cm</v>
          </cell>
          <cell r="E913" t="str">
            <v>m²</v>
          </cell>
          <cell r="F913"/>
          <cell r="G913">
            <v>31.63</v>
          </cell>
          <cell r="H913">
            <v>0</v>
          </cell>
        </row>
        <row r="914">
          <cell r="C914" t="str">
            <v>8.2.1.11</v>
          </cell>
          <cell r="D914" t="str">
            <v>Fornecimento E Instalação De Tubo De Concreto Ca-2, Ø 1000  Mm</v>
          </cell>
          <cell r="E914" t="str">
            <v>m</v>
          </cell>
          <cell r="F914"/>
          <cell r="G914">
            <v>301.66000000000003</v>
          </cell>
          <cell r="H914">
            <v>0</v>
          </cell>
        </row>
        <row r="915">
          <cell r="C915" t="str">
            <v>8.2.1.12</v>
          </cell>
          <cell r="D915" t="str">
            <v>Montagem De Comporta Plana = 300 X 300  Mm</v>
          </cell>
          <cell r="E915" t="str">
            <v>un</v>
          </cell>
          <cell r="F915"/>
          <cell r="G915">
            <v>367.2</v>
          </cell>
          <cell r="H915">
            <v>0</v>
          </cell>
        </row>
        <row r="916">
          <cell r="C916" t="str">
            <v>8.2.1.13</v>
          </cell>
          <cell r="D916" t="str">
            <v>Montagem De Sifão De Segurança Tipo Si-1400</v>
          </cell>
          <cell r="E916" t="str">
            <v>un</v>
          </cell>
          <cell r="F916"/>
          <cell r="G916">
            <v>730.87</v>
          </cell>
          <cell r="H916">
            <v>0</v>
          </cell>
        </row>
        <row r="917">
          <cell r="C917" t="str">
            <v>8.2.1.14</v>
          </cell>
          <cell r="D917" t="str">
            <v>Fornecimento E Instalação De Caixa Pré-Moldada De Concreto Com Dimensões Internas = 50 X 50 X 50 Cm Com Tampa Em Concreto Pré-Moldado</v>
          </cell>
          <cell r="E917" t="str">
            <v>un</v>
          </cell>
          <cell r="F917"/>
          <cell r="G917">
            <v>335.31</v>
          </cell>
          <cell r="H917">
            <v>0</v>
          </cell>
        </row>
        <row r="918">
          <cell r="C918" t="str">
            <v>8.2.1.15</v>
          </cell>
          <cell r="D918" t="str">
            <v>Fornecimento E Instalação De Tubulação Para Instalação Dos Sensores De Alarme</v>
          </cell>
          <cell r="E918" t="str">
            <v>cj</v>
          </cell>
          <cell r="F918"/>
          <cell r="G918">
            <v>103.71</v>
          </cell>
          <cell r="H918">
            <v>0</v>
          </cell>
        </row>
        <row r="919">
          <cell r="C919" t="str">
            <v>8.2.1.16</v>
          </cell>
          <cell r="D919" t="str">
            <v>Instalação De Guia Para Stop-Log, 0,63 X7,04 M</v>
          </cell>
          <cell r="E919" t="str">
            <v>un</v>
          </cell>
          <cell r="F919"/>
          <cell r="G919">
            <v>55.4</v>
          </cell>
          <cell r="H919">
            <v>0</v>
          </cell>
        </row>
        <row r="920">
          <cell r="C920" t="str">
            <v>8.2.1.17</v>
          </cell>
          <cell r="D920" t="str">
            <v>Material Para Fixação Do  Geossintético</v>
          </cell>
          <cell r="E920" t="str">
            <v>m</v>
          </cell>
          <cell r="F920"/>
          <cell r="G920">
            <v>16.59</v>
          </cell>
          <cell r="H920">
            <v>0</v>
          </cell>
        </row>
        <row r="921">
          <cell r="C921" t="str">
            <v>8.2.1.18</v>
          </cell>
          <cell r="D921" t="str">
            <v>Junta Com Mastique Elástico</v>
          </cell>
          <cell r="E921" t="str">
            <v>m</v>
          </cell>
          <cell r="F921"/>
          <cell r="G921">
            <v>10.59</v>
          </cell>
          <cell r="H921">
            <v>0</v>
          </cell>
        </row>
        <row r="922">
          <cell r="C922" t="str">
            <v>8.2.1.19</v>
          </cell>
          <cell r="D922" t="str">
            <v>Enrocamento Com Pedra Arrumada  Com Dmt &lt;= 100 M</v>
          </cell>
          <cell r="E922" t="str">
            <v>m³</v>
          </cell>
          <cell r="F922"/>
          <cell r="G922">
            <v>41.84</v>
          </cell>
          <cell r="H922">
            <v>0</v>
          </cell>
        </row>
        <row r="923">
          <cell r="C923" t="str">
            <v>8.2.1.20</v>
          </cell>
          <cell r="D923" t="str">
            <v>Momento Extraordinário De Transporte Para Material De 1ª Categoria</v>
          </cell>
          <cell r="E923" t="str">
            <v>m³xkm</v>
          </cell>
          <cell r="F923"/>
          <cell r="G923">
            <v>1.19</v>
          </cell>
          <cell r="H923">
            <v>0</v>
          </cell>
        </row>
        <row r="924">
          <cell r="C924" t="str">
            <v>8.2.1.21</v>
          </cell>
          <cell r="D924" t="str">
            <v>Montagem - Stop-Log, 630 X 1.450  Mm - Tipo I.</v>
          </cell>
          <cell r="E924" t="str">
            <v>un</v>
          </cell>
          <cell r="F924"/>
          <cell r="G924">
            <v>1899.32</v>
          </cell>
          <cell r="H924">
            <v>0</v>
          </cell>
        </row>
        <row r="925">
          <cell r="C925" t="str">
            <v>8.2.2</v>
          </cell>
          <cell r="D925" t="str">
            <v>FORNECIMENTO (O BDI do item 8.2.2 foi reduzido de 40% para 37,2%)</v>
          </cell>
          <cell r="E925"/>
          <cell r="F925"/>
          <cell r="G925"/>
          <cell r="H925">
            <v>0</v>
          </cell>
        </row>
        <row r="926">
          <cell r="C926" t="str">
            <v>8.2.2.1</v>
          </cell>
          <cell r="D926" t="str">
            <v>Comporta Plana De Fundo, Deslizante, Com Acionamento Manual, 250 X 250  Mm</v>
          </cell>
          <cell r="E926" t="str">
            <v>un</v>
          </cell>
          <cell r="F926"/>
          <cell r="G926">
            <v>12168.19</v>
          </cell>
          <cell r="H926">
            <v>0</v>
          </cell>
        </row>
        <row r="927">
          <cell r="C927" t="str">
            <v>8.2.2.2</v>
          </cell>
          <cell r="D927" t="str">
            <v>Sifão De Segurança, Tipo Neyrtec Si-1400</v>
          </cell>
          <cell r="E927" t="str">
            <v>un</v>
          </cell>
          <cell r="F927"/>
          <cell r="G927">
            <v>18660.689999999999</v>
          </cell>
          <cell r="H927">
            <v>0</v>
          </cell>
        </row>
        <row r="928">
          <cell r="C928" t="str">
            <v>8.2.2.3</v>
          </cell>
          <cell r="D928" t="str">
            <v>Stop-Log, 630 X 500  Mm - Tipo I</v>
          </cell>
          <cell r="E928" t="str">
            <v>un</v>
          </cell>
          <cell r="F928"/>
          <cell r="G928">
            <v>1300.4000000000001</v>
          </cell>
          <cell r="H928">
            <v>0</v>
          </cell>
        </row>
        <row r="929">
          <cell r="C929" t="str">
            <v>8.2.2.4</v>
          </cell>
          <cell r="D929" t="str">
            <v>Guia Para Stop-Log, Dimensões = 0,63 X 7,04 M</v>
          </cell>
          <cell r="E929" t="str">
            <v>un</v>
          </cell>
          <cell r="F929"/>
          <cell r="G929">
            <v>8998.1</v>
          </cell>
          <cell r="H929">
            <v>0</v>
          </cell>
        </row>
        <row r="930">
          <cell r="C930" t="str">
            <v>8.2.2.5</v>
          </cell>
          <cell r="D930" t="str">
            <v>Stop-Log, 630 X 1.450  Mm - Tipo I.</v>
          </cell>
          <cell r="E930" t="str">
            <v>un</v>
          </cell>
          <cell r="F930"/>
          <cell r="G930">
            <v>934.7</v>
          </cell>
          <cell r="H930">
            <v>0</v>
          </cell>
        </row>
        <row r="931">
          <cell r="C931" t="str">
            <v>8.3</v>
          </cell>
          <cell r="D931" t="str">
            <v>8.3 - SIFÕES INVERTIDOS</v>
          </cell>
          <cell r="E931"/>
          <cell r="F931"/>
          <cell r="G931"/>
          <cell r="H931">
            <v>0</v>
          </cell>
        </row>
        <row r="932">
          <cell r="C932" t="str">
            <v>8.3.1</v>
          </cell>
          <cell r="D932" t="str">
            <v>OBRAS CIVIS  E MONTAGEM</v>
          </cell>
          <cell r="E932"/>
          <cell r="F932"/>
          <cell r="G932"/>
          <cell r="H932">
            <v>0</v>
          </cell>
        </row>
        <row r="933">
          <cell r="C933" t="str">
            <v>8.3.1.1</v>
          </cell>
          <cell r="D933" t="str">
            <v>Escavação Mecânica Em Material De 1ª Categoria, Dmt &lt;= 300 M</v>
          </cell>
          <cell r="E933" t="str">
            <v>m³</v>
          </cell>
          <cell r="F933"/>
          <cell r="G933">
            <v>5.54</v>
          </cell>
          <cell r="H933">
            <v>0</v>
          </cell>
        </row>
        <row r="934">
          <cell r="C934" t="str">
            <v>8.3.1.2</v>
          </cell>
          <cell r="D934" t="str">
            <v>Aterro Compactado, Compreendendo Escavação, Carga, Descarga E Transporte Até 300 M, Umeddecimento, Espalhamento, Homogenização E Compactação</v>
          </cell>
          <cell r="E934" t="str">
            <v>m³</v>
          </cell>
          <cell r="F934"/>
          <cell r="G934">
            <v>9.69</v>
          </cell>
          <cell r="H934">
            <v>0</v>
          </cell>
        </row>
        <row r="935">
          <cell r="C935" t="str">
            <v>8.3.1.3</v>
          </cell>
          <cell r="D935" t="str">
            <v>Reaterro Compactado Com Reaproveitamento Do Material Escavado</v>
          </cell>
          <cell r="E935" t="str">
            <v>m³</v>
          </cell>
          <cell r="F935"/>
          <cell r="G935">
            <v>7.41</v>
          </cell>
          <cell r="H935">
            <v>0</v>
          </cell>
        </row>
        <row r="936">
          <cell r="C936" t="str">
            <v>8.3.1.4</v>
          </cell>
          <cell r="D936" t="str">
            <v>Aterro Com Material Granuloso Selecionado</v>
          </cell>
          <cell r="E936" t="str">
            <v>m³</v>
          </cell>
          <cell r="F936"/>
          <cell r="G936">
            <v>11.55</v>
          </cell>
          <cell r="H936">
            <v>0</v>
          </cell>
        </row>
        <row r="937">
          <cell r="C937" t="str">
            <v>8.3.1.5</v>
          </cell>
          <cell r="D937" t="str">
            <v>Preparo, Lançamento E Adensamento De Concreto  (Ca-4 E)</v>
          </cell>
          <cell r="E937" t="str">
            <v>m³</v>
          </cell>
          <cell r="F937"/>
          <cell r="G937">
            <v>284.41000000000003</v>
          </cell>
          <cell r="H937">
            <v>0</v>
          </cell>
        </row>
        <row r="938">
          <cell r="C938" t="str">
            <v>8.3.1.6</v>
          </cell>
          <cell r="D938" t="str">
            <v>Preparo, Lançamento E Adensamento De Concreto  (Ca-7 J)</v>
          </cell>
          <cell r="E938" t="str">
            <v>m³</v>
          </cell>
          <cell r="F938"/>
          <cell r="G938">
            <v>236.36</v>
          </cell>
          <cell r="H938">
            <v>0</v>
          </cell>
        </row>
        <row r="939">
          <cell r="C939" t="str">
            <v>8.3.1.7</v>
          </cell>
          <cell r="D939" t="str">
            <v>Formas Planas Para Concreto</v>
          </cell>
          <cell r="E939" t="str">
            <v>m²</v>
          </cell>
          <cell r="F939"/>
          <cell r="G939">
            <v>53.52</v>
          </cell>
          <cell r="H939">
            <v>0</v>
          </cell>
        </row>
        <row r="940">
          <cell r="C940" t="str">
            <v>8.3.1.8</v>
          </cell>
          <cell r="D940" t="str">
            <v>Armadura Para Concreto Estrutural Ca-50B</v>
          </cell>
          <cell r="E940" t="str">
            <v xml:space="preserve"> kg</v>
          </cell>
          <cell r="F940"/>
          <cell r="G940">
            <v>3.87</v>
          </cell>
          <cell r="H940">
            <v>0</v>
          </cell>
        </row>
        <row r="941">
          <cell r="C941" t="str">
            <v>8.3.1.9</v>
          </cell>
          <cell r="D941" t="str">
            <v>Junta Com Mastique Elástico</v>
          </cell>
          <cell r="E941" t="str">
            <v>m</v>
          </cell>
          <cell r="F941"/>
          <cell r="G941">
            <v>10.59</v>
          </cell>
          <cell r="H941">
            <v>0</v>
          </cell>
        </row>
        <row r="942">
          <cell r="C942" t="str">
            <v>8.3.1.10</v>
          </cell>
          <cell r="D942" t="str">
            <v>Junta Fungemband - Tipo O-22</v>
          </cell>
          <cell r="E942" t="str">
            <v>m</v>
          </cell>
          <cell r="F942"/>
          <cell r="G942">
            <v>94.03</v>
          </cell>
          <cell r="H942">
            <v>0</v>
          </cell>
        </row>
        <row r="943">
          <cell r="C943" t="str">
            <v>8.3.1.11</v>
          </cell>
          <cell r="D943" t="str">
            <v>Demolição E Recomposição De Pavimento Asfáltico   (Travessia Da Br-343)</v>
          </cell>
          <cell r="E943" t="str">
            <v>m²</v>
          </cell>
          <cell r="F943"/>
          <cell r="G943">
            <v>78.95</v>
          </cell>
          <cell r="H943">
            <v>0</v>
          </cell>
        </row>
        <row r="944">
          <cell r="C944" t="str">
            <v>8.3.1.12</v>
          </cell>
          <cell r="D944" t="str">
            <v>Fornecimento E Instalação De Tubo De Concreto Ca-2, Ø 1,500  Mm</v>
          </cell>
          <cell r="E944" t="str">
            <v>m</v>
          </cell>
          <cell r="F944"/>
          <cell r="G944">
            <v>434.41</v>
          </cell>
          <cell r="H944">
            <v>0</v>
          </cell>
        </row>
        <row r="945">
          <cell r="C945" t="str">
            <v>8.3.1.13</v>
          </cell>
          <cell r="D945" t="str">
            <v>Montagem De Tubo De Aço, Ø 1,500  Mm, Com  Conexões E Peças Para Drenagem Do Sifão</v>
          </cell>
          <cell r="E945" t="str">
            <v>un</v>
          </cell>
          <cell r="F945"/>
          <cell r="G945">
            <v>1986.76</v>
          </cell>
          <cell r="H945">
            <v>0</v>
          </cell>
        </row>
        <row r="946">
          <cell r="C946" t="str">
            <v>8.3.1.14</v>
          </cell>
          <cell r="D946" t="str">
            <v>Instalação De Guia Para Stop-Log,1,73 X 3,00 M</v>
          </cell>
          <cell r="E946" t="str">
            <v>un</v>
          </cell>
          <cell r="F946"/>
          <cell r="G946">
            <v>29.11</v>
          </cell>
          <cell r="H946">
            <v>0</v>
          </cell>
        </row>
        <row r="947">
          <cell r="C947" t="str">
            <v>8.3.1.15</v>
          </cell>
          <cell r="D947" t="str">
            <v>Instalação De Guia Para Stop-Log,1,73 X 2,85 M</v>
          </cell>
          <cell r="E947" t="str">
            <v>un</v>
          </cell>
          <cell r="F947"/>
          <cell r="G947">
            <v>27.96</v>
          </cell>
          <cell r="H947">
            <v>0</v>
          </cell>
        </row>
        <row r="948">
          <cell r="C948" t="str">
            <v>8.3.1.16</v>
          </cell>
          <cell r="D948" t="str">
            <v>Fornecimento E Instalação De Tampa Em Concreto Pré-Moldado Com Dimensões = 120 X 225 X 8 Cm</v>
          </cell>
          <cell r="E948" t="str">
            <v>un</v>
          </cell>
          <cell r="F948"/>
          <cell r="G948">
            <v>274.54000000000002</v>
          </cell>
          <cell r="H948">
            <v>0</v>
          </cell>
        </row>
        <row r="949">
          <cell r="C949" t="str">
            <v>8.3.1.17</v>
          </cell>
          <cell r="D949" t="str">
            <v>Instalação De Guias Para Grade De Retenção De Sólidos, Com Dimensões = 1,80 X 3,35 M</v>
          </cell>
          <cell r="E949" t="str">
            <v>un</v>
          </cell>
          <cell r="F949"/>
          <cell r="G949">
            <v>227.4</v>
          </cell>
          <cell r="H949">
            <v>0</v>
          </cell>
        </row>
        <row r="950">
          <cell r="C950" t="str">
            <v>8.3.1.18</v>
          </cell>
          <cell r="D950" t="str">
            <v>Fornecimento E Instalação De Cabo De Segurança</v>
          </cell>
          <cell r="E950" t="str">
            <v>m</v>
          </cell>
          <cell r="F950"/>
          <cell r="G950">
            <v>42.96</v>
          </cell>
          <cell r="H950">
            <v>0</v>
          </cell>
        </row>
        <row r="951">
          <cell r="C951" t="str">
            <v>8.3.1.19</v>
          </cell>
          <cell r="D951" t="str">
            <v>Montagem, Extremidades Para Solda, Aço Carbono, Espessura 5/16", Ø 1500 Mm, Travessia Br</v>
          </cell>
          <cell r="E951" t="str">
            <v>m</v>
          </cell>
          <cell r="F951"/>
          <cell r="G951">
            <v>322.19</v>
          </cell>
          <cell r="H951">
            <v>0</v>
          </cell>
        </row>
        <row r="952">
          <cell r="C952" t="str">
            <v>8.3.1.20</v>
          </cell>
          <cell r="D952" t="str">
            <v>Preparo, Lançamento E Adensamento De Concreto (Ca-5E)</v>
          </cell>
          <cell r="E952" t="str">
            <v>m³</v>
          </cell>
          <cell r="F952"/>
          <cell r="G952">
            <v>271.56</v>
          </cell>
          <cell r="H952">
            <v>0</v>
          </cell>
        </row>
        <row r="953">
          <cell r="C953" t="str">
            <v>8.3.1.21</v>
          </cell>
          <cell r="D953" t="str">
            <v>Escavação Manual Em Material De 1ª Categoria Com Dmt &lt;= 100 M (Até 1,5 M)</v>
          </cell>
          <cell r="E953" t="str">
            <v>m³</v>
          </cell>
          <cell r="F953"/>
          <cell r="G953">
            <v>18.07</v>
          </cell>
          <cell r="H953">
            <v>0</v>
          </cell>
        </row>
        <row r="954">
          <cell r="C954" t="str">
            <v>8.3.1.22</v>
          </cell>
          <cell r="D954" t="str">
            <v>Fabricação, Montagem, Acabamento E Pintura De Guarda-Corpo Em Tubo Galvanizado, Ø 2"</v>
          </cell>
          <cell r="E954" t="str">
            <v>m</v>
          </cell>
          <cell r="F954"/>
          <cell r="G954">
            <v>90.52</v>
          </cell>
          <cell r="H954">
            <v>0</v>
          </cell>
        </row>
        <row r="955">
          <cell r="C955" t="str">
            <v>8.3.1.23</v>
          </cell>
          <cell r="D955" t="str">
            <v>Imprimação</v>
          </cell>
          <cell r="E955" t="str">
            <v>m²</v>
          </cell>
          <cell r="F955"/>
          <cell r="G955">
            <v>2.65</v>
          </cell>
          <cell r="H955">
            <v>0</v>
          </cell>
        </row>
        <row r="956">
          <cell r="C956" t="str">
            <v>8.3.1.24</v>
          </cell>
          <cell r="D956" t="str">
            <v>Sinalização Vertical Com Fornecimento E Instalação De Placas Em Chapa De Aço Galvanizada</v>
          </cell>
          <cell r="E956" t="str">
            <v>m²</v>
          </cell>
          <cell r="F956"/>
          <cell r="G956">
            <v>466.46</v>
          </cell>
          <cell r="H956">
            <v>0</v>
          </cell>
        </row>
        <row r="957">
          <cell r="C957" t="str">
            <v>8.3.1.25</v>
          </cell>
          <cell r="D957" t="str">
            <v>Sinalização Horizontal Com Pintura Mecanizada A Base De Resina Acrílica - Faixas De Eixo E Bordo</v>
          </cell>
          <cell r="E957" t="str">
            <v>m²</v>
          </cell>
          <cell r="F957"/>
          <cell r="G957">
            <v>13.92</v>
          </cell>
          <cell r="H957">
            <v>0</v>
          </cell>
        </row>
        <row r="958">
          <cell r="C958" t="str">
            <v>8.3.1.26</v>
          </cell>
          <cell r="D958" t="str">
            <v>Sub-Base Estabilizada Granulometricamente Sem Mistura</v>
          </cell>
          <cell r="E958" t="str">
            <v>m³</v>
          </cell>
          <cell r="F958"/>
          <cell r="G958">
            <v>9.2799999999999994</v>
          </cell>
          <cell r="H958">
            <v>0</v>
          </cell>
        </row>
        <row r="959">
          <cell r="C959" t="str">
            <v>8.3.1.27</v>
          </cell>
          <cell r="D959" t="str">
            <v>Base Estabilizada Granulometricamente Sem Mistura</v>
          </cell>
          <cell r="E959" t="str">
            <v>m³</v>
          </cell>
          <cell r="F959"/>
          <cell r="G959">
            <v>9.48</v>
          </cell>
          <cell r="H959">
            <v>0</v>
          </cell>
        </row>
        <row r="960">
          <cell r="C960" t="str">
            <v>8.3.1.28</v>
          </cell>
          <cell r="D960" t="str">
            <v>Pintura De Ligação Incluindo Capa Selante Com Areia E Tratamento Superficial Simples</v>
          </cell>
          <cell r="E960" t="str">
            <v>m²</v>
          </cell>
          <cell r="F960"/>
          <cell r="G960">
            <v>3.04</v>
          </cell>
          <cell r="H960">
            <v>0</v>
          </cell>
        </row>
        <row r="961">
          <cell r="C961" t="str">
            <v>8.3.1.29</v>
          </cell>
          <cell r="D961" t="str">
            <v>Montagem - Grade Inclinada Fixa De L X H = 2,50 M X 3,50 M X Hs = 0,5 Mca No Sifão Sob A Br 343.</v>
          </cell>
          <cell r="E961" t="str">
            <v>un</v>
          </cell>
          <cell r="F961"/>
          <cell r="G961">
            <v>6063.85</v>
          </cell>
          <cell r="H961">
            <v>0</v>
          </cell>
        </row>
        <row r="962">
          <cell r="C962" t="str">
            <v>8.3.1.30</v>
          </cell>
          <cell r="D962" t="str">
            <v>Montagem - Comporta Ensecadeira De L X H = 2,50 M X 2,60 M X Hs = 2,40 Mca X Hconcreto = 2,80 M No Sifão Sob A Br 343.</v>
          </cell>
          <cell r="E962" t="str">
            <v>un</v>
          </cell>
          <cell r="F962"/>
          <cell r="G962">
            <v>18017.73</v>
          </cell>
          <cell r="H962">
            <v>0</v>
          </cell>
        </row>
        <row r="963">
          <cell r="C963" t="str">
            <v>8.3.1.31</v>
          </cell>
          <cell r="D963" t="str">
            <v>Montagem - Guia Em Aço Inox E Aço Carbono De 2900 X 2800 Mm Para O Sifão Da Br-343.</v>
          </cell>
          <cell r="E963" t="str">
            <v>un</v>
          </cell>
          <cell r="F963"/>
          <cell r="G963">
            <v>16880.97</v>
          </cell>
          <cell r="H963">
            <v>0</v>
          </cell>
        </row>
        <row r="964">
          <cell r="C964" t="str">
            <v>8.3.1.32</v>
          </cell>
          <cell r="D964" t="str">
            <v>Recuperação das paredes de concreto do sifão invertido sob a linha de transmissão</v>
          </cell>
          <cell r="E964" t="str">
            <v>m²</v>
          </cell>
          <cell r="F964"/>
          <cell r="G964">
            <v>142.93985925221199</v>
          </cell>
          <cell r="H964">
            <v>0</v>
          </cell>
        </row>
        <row r="965">
          <cell r="C965" t="str">
            <v>8.3.1.33</v>
          </cell>
          <cell r="D965" t="str">
            <v>Impermeabilização Com Sikatop 100</v>
          </cell>
          <cell r="E965" t="str">
            <v>m²</v>
          </cell>
          <cell r="F965"/>
          <cell r="G965">
            <v>19.97</v>
          </cell>
          <cell r="H965">
            <v>0</v>
          </cell>
        </row>
        <row r="966">
          <cell r="C966" t="str">
            <v>8.3.2</v>
          </cell>
          <cell r="D966" t="str">
            <v>FORNECIMENTO (O BDI do item 8.3.2 foi reduzido de 40% para 37,2%)</v>
          </cell>
          <cell r="E966"/>
          <cell r="F966"/>
          <cell r="G966"/>
          <cell r="H966">
            <v>0</v>
          </cell>
        </row>
        <row r="967">
          <cell r="C967" t="str">
            <v>8.3.2.1</v>
          </cell>
          <cell r="D967" t="str">
            <v>Stop-Log, - Tipo 3 - 1,73 X 0,50 M</v>
          </cell>
          <cell r="E967" t="str">
            <v>un</v>
          </cell>
          <cell r="F967"/>
          <cell r="G967">
            <v>5835.62</v>
          </cell>
          <cell r="H967">
            <v>0</v>
          </cell>
        </row>
        <row r="968">
          <cell r="C968" t="str">
            <v>8.3.2.2</v>
          </cell>
          <cell r="D968" t="str">
            <v>Stop-Log - Tipo 3 - 1,73 X 0,57 M</v>
          </cell>
          <cell r="E968" t="str">
            <v>un</v>
          </cell>
          <cell r="F968"/>
          <cell r="G968">
            <v>5873.71</v>
          </cell>
          <cell r="H968">
            <v>0</v>
          </cell>
        </row>
        <row r="969">
          <cell r="C969" t="str">
            <v>8.3.2.3</v>
          </cell>
          <cell r="D969" t="str">
            <v xml:space="preserve">Guia Para Stop-Log, Dimensões =1,73 X 3,00 M </v>
          </cell>
          <cell r="E969" t="str">
            <v>un</v>
          </cell>
          <cell r="F969"/>
          <cell r="G969">
            <v>5687.11</v>
          </cell>
          <cell r="H969">
            <v>0</v>
          </cell>
        </row>
        <row r="970">
          <cell r="C970" t="str">
            <v>8.3.2.4</v>
          </cell>
          <cell r="D970" t="str">
            <v xml:space="preserve">Guia Para Stop-Log, Dimensões =1,73 X 2,85 M </v>
          </cell>
          <cell r="E970" t="str">
            <v>un</v>
          </cell>
          <cell r="F970"/>
          <cell r="G970">
            <v>5321.55</v>
          </cell>
          <cell r="H970">
            <v>0</v>
          </cell>
        </row>
        <row r="971">
          <cell r="C971" t="str">
            <v>8.3.2.5</v>
          </cell>
          <cell r="D971" t="str">
            <v>Grade De Retenção De Sólidos Com Dimensões = 1.800 X 3.350 Mm</v>
          </cell>
          <cell r="E971" t="str">
            <v>un</v>
          </cell>
          <cell r="F971"/>
          <cell r="G971">
            <v>14458.65</v>
          </cell>
          <cell r="H971">
            <v>0</v>
          </cell>
        </row>
        <row r="972">
          <cell r="C972" t="str">
            <v>8.3.2.6</v>
          </cell>
          <cell r="D972" t="str">
            <v>Tubo De Aço, Ø 1,500  Mm, Com  Conexões E Peças Para Drenagem Do Sifão</v>
          </cell>
          <cell r="E972" t="str">
            <v>un</v>
          </cell>
          <cell r="F972"/>
          <cell r="G972">
            <v>18143.62</v>
          </cell>
          <cell r="H972">
            <v>0</v>
          </cell>
        </row>
        <row r="973">
          <cell r="C973" t="str">
            <v>8.3.2.7</v>
          </cell>
          <cell r="D973" t="str">
            <v>Tubo, Extremidades Para Solda, Aço Carbono, Espessura 5/16", Ø 1500Mm, Travessia Br</v>
          </cell>
          <cell r="E973" t="str">
            <v>m</v>
          </cell>
          <cell r="F973"/>
          <cell r="G973">
            <v>2004.85</v>
          </cell>
          <cell r="H973">
            <v>0</v>
          </cell>
        </row>
        <row r="974">
          <cell r="C974" t="str">
            <v>8.3.2.8</v>
          </cell>
          <cell r="D974" t="str">
            <v>Grade Inclinada Fixa De L X H = 2,50 M X 3,50 M X Hs = 0,5 Mca X Espaçamento Entre Barras Verticais De 56 Mm, Completas A Serem Instaladas Duas Nas Entradas E Duas Nas Saídas Do Sifão Sob A Br 343.</v>
          </cell>
          <cell r="E974" t="str">
            <v>un</v>
          </cell>
          <cell r="F974"/>
          <cell r="G974">
            <v>14264.21</v>
          </cell>
          <cell r="H974">
            <v>0</v>
          </cell>
        </row>
        <row r="975">
          <cell r="C975" t="str">
            <v>8.3.2.9</v>
          </cell>
          <cell r="D975" t="str">
            <v>Comporta Ensecadeira De L X H = 2,50 M X 2,60 M X Hs = 2,40 Mca X Hconcreto = 2,80 M, Completa A Ser Instalada Nas Entradas E Nas Saídas Do Sifão Sob A Br 343.</v>
          </cell>
          <cell r="E975" t="str">
            <v>un</v>
          </cell>
          <cell r="F975"/>
          <cell r="G975">
            <v>40797.730000000003</v>
          </cell>
          <cell r="H975">
            <v>0</v>
          </cell>
        </row>
        <row r="976">
          <cell r="C976" t="str">
            <v>8.3.2.10</v>
          </cell>
          <cell r="D976" t="str">
            <v>Guia Em Aço Inox E Aço Carbono De 2900 X 2800 Mm Para O Sifão Da Br-343.</v>
          </cell>
          <cell r="E976" t="str">
            <v>un</v>
          </cell>
          <cell r="F976"/>
          <cell r="G976">
            <v>4386.95</v>
          </cell>
          <cell r="H976">
            <v>0</v>
          </cell>
        </row>
        <row r="977">
          <cell r="C977" t="str">
            <v>8.3.3</v>
          </cell>
          <cell r="D977" t="str">
            <v>GALERIA CONCRETO - SIFÃO ESTACA 503 A 515</v>
          </cell>
          <cell r="E977"/>
          <cell r="F977"/>
          <cell r="G977"/>
          <cell r="H977">
            <v>0</v>
          </cell>
        </row>
        <row r="978">
          <cell r="C978" t="str">
            <v>8.3.3.1</v>
          </cell>
          <cell r="D978" t="str">
            <v>Escavação Mecânica Em Material De 1ª Categoria, Dmt &lt;= 300 M</v>
          </cell>
          <cell r="E978" t="str">
            <v>m³</v>
          </cell>
          <cell r="F978"/>
          <cell r="G978">
            <v>5.54</v>
          </cell>
          <cell r="H978">
            <v>0</v>
          </cell>
        </row>
        <row r="979">
          <cell r="C979" t="str">
            <v>8.3.3.2</v>
          </cell>
          <cell r="D979" t="str">
            <v>Reaterro Compactado Com Reaproveitamento Do Material Escavado</v>
          </cell>
          <cell r="E979" t="str">
            <v>m³</v>
          </cell>
          <cell r="F979"/>
          <cell r="G979">
            <v>7.41</v>
          </cell>
          <cell r="H979">
            <v>0</v>
          </cell>
        </row>
        <row r="980">
          <cell r="C980" t="str">
            <v>8.3.3.3</v>
          </cell>
          <cell r="D980" t="str">
            <v>Preparo, Lançamento E Adensamento De Concreto  (Ca-4 E)</v>
          </cell>
          <cell r="E980" t="str">
            <v>m³</v>
          </cell>
          <cell r="F980"/>
          <cell r="G980">
            <v>284.41000000000003</v>
          </cell>
          <cell r="H980">
            <v>0</v>
          </cell>
        </row>
        <row r="981">
          <cell r="C981" t="str">
            <v>8.3.3.4</v>
          </cell>
          <cell r="D981" t="str">
            <v>Preparo, Lançamento E Adensamento De Concreto  (Ca-7 J)</v>
          </cell>
          <cell r="E981" t="str">
            <v>m³</v>
          </cell>
          <cell r="F981"/>
          <cell r="G981">
            <v>236.36</v>
          </cell>
          <cell r="H981">
            <v>0</v>
          </cell>
        </row>
        <row r="982">
          <cell r="C982" t="str">
            <v>8.3.3.5</v>
          </cell>
          <cell r="D982" t="str">
            <v>Formas Planas Para Concreto</v>
          </cell>
          <cell r="E982" t="str">
            <v>m²</v>
          </cell>
          <cell r="F982"/>
          <cell r="G982">
            <v>53.52</v>
          </cell>
          <cell r="H982">
            <v>0</v>
          </cell>
        </row>
        <row r="983">
          <cell r="C983" t="str">
            <v>8.3.3.6</v>
          </cell>
          <cell r="D983" t="str">
            <v>Armadura Para Concreto Estrutural Ca-50B</v>
          </cell>
          <cell r="E983" t="str">
            <v>kg</v>
          </cell>
          <cell r="F983"/>
          <cell r="G983">
            <v>3.87</v>
          </cell>
          <cell r="H983">
            <v>0</v>
          </cell>
        </row>
        <row r="984">
          <cell r="C984" t="str">
            <v>8.3.3.7</v>
          </cell>
          <cell r="D984" t="str">
            <v>Escoramento</v>
          </cell>
          <cell r="E984" t="str">
            <v>m³</v>
          </cell>
          <cell r="F984"/>
          <cell r="G984">
            <v>27.72</v>
          </cell>
          <cell r="H984">
            <v>0</v>
          </cell>
        </row>
        <row r="985">
          <cell r="C985" t="str">
            <v>8.3.3.8</v>
          </cell>
          <cell r="D985" t="str">
            <v>Montagem - Grade Inclinada Fixa De L X H = 2,50 M X 3,70 M Na Galeria Sob A Rede Elétrica Da Cepisa/Cemar.</v>
          </cell>
          <cell r="E985" t="str">
            <v>un</v>
          </cell>
          <cell r="F985"/>
          <cell r="G985">
            <v>6409.78</v>
          </cell>
          <cell r="H985">
            <v>0</v>
          </cell>
        </row>
        <row r="986">
          <cell r="C986" t="str">
            <v>8.3.3.9</v>
          </cell>
          <cell r="D986" t="str">
            <v>Montagem - Comporta Ensecadeira De L X H = 2,50 M X 2,63 M Na Galeria Sob A Rede Elétrica Da Cepisa/Cemar.</v>
          </cell>
          <cell r="E986" t="str">
            <v>un</v>
          </cell>
          <cell r="F986"/>
          <cell r="G986">
            <v>18225.62</v>
          </cell>
          <cell r="H986">
            <v>0</v>
          </cell>
        </row>
        <row r="987">
          <cell r="C987" t="str">
            <v>8.3.3.10</v>
          </cell>
          <cell r="D987" t="str">
            <v>Montagem - Guia Em Aço Inox E Aço Carbono De 3150 X 3100 Mm Para A Galeria De Concreto - E=503 A 515.</v>
          </cell>
          <cell r="E987" t="str">
            <v>un</v>
          </cell>
          <cell r="F987"/>
          <cell r="G987">
            <v>20301.23</v>
          </cell>
          <cell r="H987">
            <v>0</v>
          </cell>
        </row>
        <row r="988">
          <cell r="C988" t="str">
            <v>8.3.4</v>
          </cell>
          <cell r="D988" t="str">
            <v>FORNECIMENTO (O BDI do item 8.3.4 foi reduzido de 40% para 37,2%)</v>
          </cell>
          <cell r="E988"/>
          <cell r="F988"/>
          <cell r="G988"/>
          <cell r="H988">
            <v>0</v>
          </cell>
        </row>
        <row r="989">
          <cell r="C989" t="str">
            <v>8.3.4.1</v>
          </cell>
          <cell r="D989" t="str">
            <v>Grade Inclinada Fixa De L X H = 2,50 M X 3,70 M X Hs = 0,5 Mca X Espaçamento Entre Barras Verticais De 56 Mm, Completas A Serem Instaladas Uma Na Entrada E Outra Na Saída Da Galeria Sob A Rede Elétrica Da Cepisa/Cemar.</v>
          </cell>
          <cell r="E989" t="str">
            <v>un</v>
          </cell>
          <cell r="F989"/>
          <cell r="G989">
            <v>16561.650000000001</v>
          </cell>
          <cell r="H989">
            <v>0</v>
          </cell>
        </row>
        <row r="990">
          <cell r="C990" t="str">
            <v>8.3.4.2</v>
          </cell>
          <cell r="D990" t="str">
            <v>Comporta Ensecadeira De L X H = 2,50 M X 2,63 M X Hs = 2,43 Mca X Hconcreto = 3,13 M, Completa A Ser Instalada Na Entrada E Saída Da Galeria Sob A Rede Elétrica Da Cepisa/Cemar.</v>
          </cell>
          <cell r="E990" t="str">
            <v>un</v>
          </cell>
          <cell r="F990"/>
          <cell r="G990">
            <v>52131.4</v>
          </cell>
          <cell r="H990">
            <v>0</v>
          </cell>
        </row>
        <row r="991">
          <cell r="C991" t="str">
            <v>8.3.4.3</v>
          </cell>
          <cell r="D991" t="str">
            <v>Guia Em Aço Inox E Aço Carbono De 3150 X 3100 Mm Para A Galeria De Concreto - E=503 A 515.</v>
          </cell>
          <cell r="E991" t="str">
            <v>un</v>
          </cell>
          <cell r="F991"/>
          <cell r="G991">
            <v>4653.9399999999996</v>
          </cell>
          <cell r="H991">
            <v>0</v>
          </cell>
        </row>
        <row r="992">
          <cell r="C992" t="str">
            <v>8.4</v>
          </cell>
          <cell r="D992" t="str">
            <v>8.4 - PONTILHÃO</v>
          </cell>
          <cell r="E992"/>
          <cell r="F992"/>
          <cell r="G992"/>
          <cell r="H992">
            <v>0</v>
          </cell>
        </row>
        <row r="993">
          <cell r="C993" t="str">
            <v>8.4.1</v>
          </cell>
          <cell r="D993" t="str">
            <v xml:space="preserve">OBRAS CIVIS </v>
          </cell>
          <cell r="E993"/>
          <cell r="F993"/>
          <cell r="G993"/>
          <cell r="H993">
            <v>0</v>
          </cell>
        </row>
        <row r="994">
          <cell r="C994" t="str">
            <v>8.4.1.1</v>
          </cell>
          <cell r="D994" t="str">
            <v>Aterro Compactado, Compreendendo Escavação, Carga, Descarga E Transporte Até 300 M, Umeddecimento, Espalhamento, Homogenização E Compactação</v>
          </cell>
          <cell r="E994" t="str">
            <v>m³</v>
          </cell>
          <cell r="F994"/>
          <cell r="G994">
            <v>9.69</v>
          </cell>
          <cell r="H994">
            <v>0</v>
          </cell>
        </row>
        <row r="995">
          <cell r="C995" t="str">
            <v>8.4.1.2</v>
          </cell>
          <cell r="D995" t="str">
            <v>Preparo, Lançamento E Adensamento De Concreto  (Ca-7 J)</v>
          </cell>
          <cell r="E995" t="str">
            <v>m³</v>
          </cell>
          <cell r="F995"/>
          <cell r="G995">
            <v>236.36</v>
          </cell>
          <cell r="H995">
            <v>0</v>
          </cell>
        </row>
        <row r="996">
          <cell r="C996" t="str">
            <v>8.4.1.3</v>
          </cell>
          <cell r="D996" t="str">
            <v>Preparo, Lançamento E Adensamento De Concreto  (Ca-4 E)</v>
          </cell>
          <cell r="E996" t="str">
            <v>m³</v>
          </cell>
          <cell r="F996"/>
          <cell r="G996">
            <v>284.41000000000003</v>
          </cell>
          <cell r="H996">
            <v>0</v>
          </cell>
        </row>
        <row r="997">
          <cell r="C997" t="str">
            <v>8.4.1.4</v>
          </cell>
          <cell r="D997" t="str">
            <v>Formas Planas Para Concreto</v>
          </cell>
          <cell r="E997" t="str">
            <v>m²</v>
          </cell>
          <cell r="F997"/>
          <cell r="G997">
            <v>53.52</v>
          </cell>
          <cell r="H997">
            <v>0</v>
          </cell>
        </row>
        <row r="998">
          <cell r="C998" t="str">
            <v>8.4.1.5</v>
          </cell>
          <cell r="D998" t="str">
            <v>Armadura Para Concreto Estrutural Ca-50B</v>
          </cell>
          <cell r="E998" t="str">
            <v xml:space="preserve"> kg</v>
          </cell>
          <cell r="F998"/>
          <cell r="G998">
            <v>3.87</v>
          </cell>
          <cell r="H998">
            <v>0</v>
          </cell>
        </row>
        <row r="999">
          <cell r="C999" t="str">
            <v>8.4.1.6</v>
          </cell>
          <cell r="D999" t="str">
            <v>Fornecimento E Instalação De Aparelho De Apoio</v>
          </cell>
          <cell r="E999" t="str">
            <v>m²</v>
          </cell>
          <cell r="F999"/>
          <cell r="G999">
            <v>114.46</v>
          </cell>
          <cell r="H999">
            <v>0</v>
          </cell>
        </row>
        <row r="1000">
          <cell r="C1000" t="str">
            <v>8.4.1.7</v>
          </cell>
          <cell r="D1000" t="str">
            <v>Junta Com Mastique Elástico</v>
          </cell>
          <cell r="E1000" t="str">
            <v>m</v>
          </cell>
          <cell r="F1000"/>
          <cell r="G1000">
            <v>10.59</v>
          </cell>
          <cell r="H1000">
            <v>0</v>
          </cell>
        </row>
        <row r="1001">
          <cell r="C1001" t="str">
            <v>8.4.1.8</v>
          </cell>
          <cell r="D1001" t="str">
            <v>Fabricação, Montagem, Acabamento E Pintura De Guarda-Corpo Em Tubo Galvanizado, Ø 2"</v>
          </cell>
          <cell r="E1001" t="str">
            <v>m</v>
          </cell>
          <cell r="F1001"/>
          <cell r="G1001">
            <v>90.52</v>
          </cell>
          <cell r="H1001">
            <v>0</v>
          </cell>
        </row>
        <row r="1002">
          <cell r="C1002" t="str">
            <v>8.4.1.9</v>
          </cell>
          <cell r="D1002" t="str">
            <v>Estacas Ø 330 Mm</v>
          </cell>
          <cell r="E1002" t="str">
            <v>m</v>
          </cell>
          <cell r="F1002"/>
          <cell r="G1002">
            <v>264.89999999999998</v>
          </cell>
          <cell r="H1002">
            <v>0</v>
          </cell>
        </row>
        <row r="1003">
          <cell r="C1003" t="str">
            <v>8.4.1.10</v>
          </cell>
          <cell r="D1003" t="str">
            <v>Cantoneira Metálica Com Dimensões = 50 X 50 X 5 Mm</v>
          </cell>
          <cell r="E1003" t="str">
            <v>kg</v>
          </cell>
          <cell r="F1003"/>
          <cell r="G1003">
            <v>5.49</v>
          </cell>
          <cell r="H1003">
            <v>0</v>
          </cell>
        </row>
        <row r="1004">
          <cell r="C1004" t="str">
            <v>8.4.1.11</v>
          </cell>
          <cell r="D1004" t="str">
            <v>Placa Metálica 100 X 5 Mm</v>
          </cell>
          <cell r="E1004" t="str">
            <v>kg</v>
          </cell>
          <cell r="F1004"/>
          <cell r="G1004">
            <v>6.05</v>
          </cell>
          <cell r="H1004">
            <v>0</v>
          </cell>
        </row>
        <row r="1005">
          <cell r="C1005" t="str">
            <v>8.4.1.12</v>
          </cell>
          <cell r="D1005" t="str">
            <v>Argamassa De Revestimento</v>
          </cell>
          <cell r="E1005" t="str">
            <v>m²</v>
          </cell>
          <cell r="F1005"/>
          <cell r="G1005">
            <v>22.7</v>
          </cell>
          <cell r="H1005">
            <v>0</v>
          </cell>
        </row>
        <row r="1006">
          <cell r="C1006" t="str">
            <v>8.4.1.13</v>
          </cell>
          <cell r="D1006" t="str">
            <v>Escavação Mecânica Em Material De 1ª Categoria, Dmt &lt;= 300 M</v>
          </cell>
          <cell r="E1006" t="str">
            <v>m³</v>
          </cell>
          <cell r="F1006"/>
          <cell r="G1006">
            <v>5.54</v>
          </cell>
          <cell r="H1006">
            <v>0</v>
          </cell>
        </row>
        <row r="1007">
          <cell r="C1007" t="str">
            <v>8.4.1.14</v>
          </cell>
          <cell r="D1007" t="str">
            <v>Reaterro Compactado Com Reaproveitamento Do Material Escavado</v>
          </cell>
          <cell r="E1007" t="str">
            <v>m³</v>
          </cell>
          <cell r="F1007"/>
          <cell r="G1007">
            <v>7.41</v>
          </cell>
          <cell r="H1007">
            <v>0</v>
          </cell>
        </row>
        <row r="1008">
          <cell r="C1008" t="str">
            <v>8.4.1.15</v>
          </cell>
          <cell r="D1008" t="str">
            <v>Aterro Compactado Com Laterita</v>
          </cell>
          <cell r="E1008" t="str">
            <v>m³</v>
          </cell>
          <cell r="F1008"/>
          <cell r="G1008">
            <v>11.55</v>
          </cell>
          <cell r="H1008">
            <v>0</v>
          </cell>
        </row>
        <row r="1009">
          <cell r="C1009" t="str">
            <v>8.4.1.16</v>
          </cell>
          <cell r="D1009" t="str">
            <v>Material Para Fixação Do  Geosintético</v>
          </cell>
          <cell r="E1009" t="str">
            <v>m</v>
          </cell>
          <cell r="F1009"/>
          <cell r="G1009">
            <v>16.59</v>
          </cell>
          <cell r="H1009">
            <v>0</v>
          </cell>
        </row>
        <row r="1010">
          <cell r="C1010" t="str">
            <v>8.4.1.17</v>
          </cell>
          <cell r="D1010" t="str">
            <v>Preparo, Lançamento E Adensamento De Concreto  (Ca-5 E)</v>
          </cell>
          <cell r="E1010" t="str">
            <v>m³</v>
          </cell>
          <cell r="F1010"/>
          <cell r="G1010">
            <v>271.56</v>
          </cell>
          <cell r="H1010">
            <v>0</v>
          </cell>
        </row>
        <row r="1011">
          <cell r="C1011" t="str">
            <v>8.4.1.18</v>
          </cell>
          <cell r="D1011" t="str">
            <v>Escoramento</v>
          </cell>
          <cell r="E1011" t="str">
            <v>m³</v>
          </cell>
          <cell r="F1011"/>
          <cell r="G1011">
            <v>27.72</v>
          </cell>
          <cell r="H1011">
            <v>0</v>
          </cell>
        </row>
        <row r="1012">
          <cell r="C1012" t="str">
            <v>8.5</v>
          </cell>
          <cell r="D1012" t="str">
            <v>8.5- CONTROLE DE NÍVEL DE JUSANTE</v>
          </cell>
          <cell r="E1012"/>
          <cell r="F1012"/>
          <cell r="G1012"/>
          <cell r="H1012">
            <v>0</v>
          </cell>
        </row>
        <row r="1013">
          <cell r="C1013" t="str">
            <v>8.5.1</v>
          </cell>
          <cell r="D1013" t="str">
            <v>OBRAS CIVIS  E MONTAGEM</v>
          </cell>
          <cell r="E1013"/>
          <cell r="F1013"/>
          <cell r="G1013"/>
          <cell r="H1013">
            <v>0</v>
          </cell>
        </row>
        <row r="1014">
          <cell r="C1014" t="str">
            <v>8.5.1.1</v>
          </cell>
          <cell r="D1014" t="str">
            <v>Escavação Mecânica Em Material De 1ª Categoria, Dmt &lt;= 300 M</v>
          </cell>
          <cell r="E1014" t="str">
            <v>m³</v>
          </cell>
          <cell r="F1014"/>
          <cell r="G1014">
            <v>5.54</v>
          </cell>
          <cell r="H1014">
            <v>0</v>
          </cell>
        </row>
        <row r="1015">
          <cell r="C1015" t="str">
            <v>8.5.1.2</v>
          </cell>
          <cell r="D1015" t="str">
            <v>Reaterro Compactado Com Reaproveitamento Do Material Escavado</v>
          </cell>
          <cell r="E1015" t="str">
            <v>m³</v>
          </cell>
          <cell r="F1015"/>
          <cell r="G1015">
            <v>7.41</v>
          </cell>
          <cell r="H1015">
            <v>0</v>
          </cell>
        </row>
        <row r="1016">
          <cell r="C1016" t="str">
            <v>8.5.1.3</v>
          </cell>
          <cell r="D1016" t="str">
            <v>Preparo, Lançamento E Adensamento De Concreto  (Ca-4 E)</v>
          </cell>
          <cell r="E1016" t="str">
            <v>m³</v>
          </cell>
          <cell r="F1016"/>
          <cell r="G1016">
            <v>284.41000000000003</v>
          </cell>
          <cell r="H1016">
            <v>0</v>
          </cell>
        </row>
        <row r="1017">
          <cell r="C1017" t="str">
            <v>8.5.1.4</v>
          </cell>
          <cell r="D1017" t="str">
            <v>Preparo, Lançamento E Adensamento De Concreto  (Ca-7 J)</v>
          </cell>
          <cell r="E1017" t="str">
            <v>m³</v>
          </cell>
          <cell r="F1017"/>
          <cell r="G1017">
            <v>236.36</v>
          </cell>
          <cell r="H1017">
            <v>0</v>
          </cell>
        </row>
        <row r="1018">
          <cell r="C1018" t="str">
            <v>8.5.1.5</v>
          </cell>
          <cell r="D1018" t="str">
            <v>Formas Planas Para Concreto</v>
          </cell>
          <cell r="E1018" t="str">
            <v>m²</v>
          </cell>
          <cell r="F1018"/>
          <cell r="G1018">
            <v>53.52</v>
          </cell>
          <cell r="H1018">
            <v>0</v>
          </cell>
        </row>
        <row r="1019">
          <cell r="C1019" t="str">
            <v>8.5.1.6</v>
          </cell>
          <cell r="D1019" t="str">
            <v>Armadura Para Concreto Estrutural Ca-50B</v>
          </cell>
          <cell r="E1019" t="str">
            <v xml:space="preserve"> kg</v>
          </cell>
          <cell r="F1019"/>
          <cell r="G1019">
            <v>3.87</v>
          </cell>
          <cell r="H1019">
            <v>0</v>
          </cell>
        </row>
        <row r="1020">
          <cell r="C1020" t="str">
            <v>8.5.1.7</v>
          </cell>
          <cell r="D1020" t="str">
            <v>Material Para Fixação Do  Geossintético</v>
          </cell>
          <cell r="E1020" t="str">
            <v>m</v>
          </cell>
          <cell r="F1020"/>
          <cell r="G1020">
            <v>16.59</v>
          </cell>
          <cell r="H1020">
            <v>0</v>
          </cell>
        </row>
        <row r="1021">
          <cell r="C1021" t="str">
            <v>8.5.1.8</v>
          </cell>
          <cell r="D1021" t="str">
            <v>Junta Com Mastique Elástico</v>
          </cell>
          <cell r="E1021" t="str">
            <v>m</v>
          </cell>
          <cell r="F1021"/>
          <cell r="G1021">
            <v>10.59</v>
          </cell>
          <cell r="H1021">
            <v>0</v>
          </cell>
        </row>
        <row r="1022">
          <cell r="C1022" t="str">
            <v>8.5.1.9</v>
          </cell>
          <cell r="D1022" t="str">
            <v>Junta Fungemband - Tipo O-22</v>
          </cell>
          <cell r="E1022" t="str">
            <v>m</v>
          </cell>
          <cell r="F1022"/>
          <cell r="G1022">
            <v>94.03</v>
          </cell>
          <cell r="H1022">
            <v>0</v>
          </cell>
        </row>
        <row r="1023">
          <cell r="C1023" t="str">
            <v>8.5.1.10</v>
          </cell>
          <cell r="D1023" t="str">
            <v>Montagem De Comporta Automática Tipo Avio 71/80</v>
          </cell>
          <cell r="E1023" t="str">
            <v>un</v>
          </cell>
          <cell r="F1023"/>
          <cell r="G1023">
            <v>2093.04</v>
          </cell>
          <cell r="H1023">
            <v>0</v>
          </cell>
        </row>
        <row r="1024">
          <cell r="C1024" t="str">
            <v>8.5.1.11</v>
          </cell>
          <cell r="D1024" t="str">
            <v>Montagem De Comporta Plana Deslizante - Vg 125 X 220</v>
          </cell>
          <cell r="E1024" t="str">
            <v>un</v>
          </cell>
          <cell r="F1024"/>
          <cell r="G1024">
            <v>847.37</v>
          </cell>
          <cell r="H1024">
            <v>0</v>
          </cell>
        </row>
        <row r="1025">
          <cell r="C1025" t="str">
            <v>8.5.1.12</v>
          </cell>
          <cell r="D1025" t="str">
            <v>Instalação De Guia Para Stop-Log/Grades 2,00 X 2,32</v>
          </cell>
          <cell r="E1025" t="str">
            <v>un</v>
          </cell>
          <cell r="F1025"/>
          <cell r="G1025">
            <v>25</v>
          </cell>
          <cell r="H1025">
            <v>0</v>
          </cell>
        </row>
        <row r="1026">
          <cell r="C1026" t="str">
            <v>8.5.1.13</v>
          </cell>
          <cell r="D1026" t="str">
            <v>Instalação De Guia Para    Stop-Log/Grades 2,00 X 1,70 M</v>
          </cell>
          <cell r="E1026" t="str">
            <v>un</v>
          </cell>
          <cell r="F1026"/>
          <cell r="G1026">
            <v>20.329999999999998</v>
          </cell>
          <cell r="H1026">
            <v>0</v>
          </cell>
        </row>
        <row r="1027">
          <cell r="C1027" t="str">
            <v>8.5.1.14</v>
          </cell>
          <cell r="D1027" t="str">
            <v>Fornecimento E Instalação De Cabo De Segurança</v>
          </cell>
          <cell r="E1027" t="str">
            <v>m</v>
          </cell>
          <cell r="F1027"/>
          <cell r="G1027">
            <v>42.96</v>
          </cell>
          <cell r="H1027">
            <v>0</v>
          </cell>
        </row>
        <row r="1028">
          <cell r="C1028" t="str">
            <v>8.5.1.15</v>
          </cell>
          <cell r="D1028" t="str">
            <v>Montagem Comporta Plana Deslizante, L X H = 1,80 X 2,72 M</v>
          </cell>
          <cell r="E1028" t="str">
            <v>un</v>
          </cell>
          <cell r="F1028"/>
          <cell r="G1028">
            <v>12101.3</v>
          </cell>
          <cell r="H1028">
            <v>0</v>
          </cell>
        </row>
        <row r="1029">
          <cell r="C1029" t="str">
            <v>8.5.1.16</v>
          </cell>
          <cell r="D1029" t="str">
            <v>Montagem Grade metálica Vertical com viga pescadora L X H = 1,80 X 2,72 M</v>
          </cell>
          <cell r="E1029" t="str">
            <v>un</v>
          </cell>
          <cell r="F1029"/>
          <cell r="G1029">
            <v>5593.04</v>
          </cell>
          <cell r="H1029">
            <v>0</v>
          </cell>
        </row>
        <row r="1030">
          <cell r="C1030" t="str">
            <v>8.5.2</v>
          </cell>
          <cell r="D1030" t="str">
            <v>FORNECIMENTO (O BDI do item 8.5.2 foi reduzido de 40% para 37,2%)</v>
          </cell>
          <cell r="E1030"/>
          <cell r="F1030"/>
          <cell r="G1030"/>
          <cell r="H1030">
            <v>0</v>
          </cell>
        </row>
        <row r="1031">
          <cell r="C1031" t="str">
            <v>8.5.2.1</v>
          </cell>
          <cell r="D1031" t="str">
            <v>Guia Para    Stop-Log/Grades 2,00 X 2,32 M</v>
          </cell>
          <cell r="E1031" t="str">
            <v>un</v>
          </cell>
          <cell r="F1031"/>
          <cell r="G1031">
            <v>4188.7</v>
          </cell>
          <cell r="H1031">
            <v>0</v>
          </cell>
        </row>
        <row r="1032">
          <cell r="C1032" t="str">
            <v>8.5.2.2</v>
          </cell>
          <cell r="D1032" t="str">
            <v>Guia Para    Stop-Log/Grades 2,00 X 1,70 M</v>
          </cell>
          <cell r="E1032" t="str">
            <v>un</v>
          </cell>
          <cell r="F1032"/>
          <cell r="G1032">
            <v>3903.11</v>
          </cell>
          <cell r="H1032">
            <v>0</v>
          </cell>
        </row>
        <row r="1033">
          <cell r="C1033" t="str">
            <v>8.5.2.3</v>
          </cell>
          <cell r="D1033" t="str">
            <v>Comporta Automática Tipo Avio 71/80</v>
          </cell>
          <cell r="E1033" t="str">
            <v>un</v>
          </cell>
          <cell r="F1033"/>
          <cell r="G1033">
            <v>38073.440000000002</v>
          </cell>
          <cell r="H1033">
            <v>0</v>
          </cell>
        </row>
        <row r="1034">
          <cell r="C1034" t="str">
            <v>8.5.2.4</v>
          </cell>
          <cell r="D1034" t="str">
            <v>Comporta Plana Deslizante, Vg 125 X 220</v>
          </cell>
          <cell r="E1034" t="str">
            <v>m</v>
          </cell>
          <cell r="F1034"/>
          <cell r="G1034">
            <v>24871.4</v>
          </cell>
          <cell r="H1034">
            <v>0</v>
          </cell>
        </row>
        <row r="1035">
          <cell r="C1035" t="str">
            <v>8.5.2.5</v>
          </cell>
          <cell r="D1035" t="str">
            <v>Comporta Plana Deslizante, L X H = 1,80 X 2,72 M</v>
          </cell>
          <cell r="E1035" t="str">
            <v>un</v>
          </cell>
          <cell r="F1035"/>
          <cell r="G1035">
            <v>24118.65</v>
          </cell>
          <cell r="H1035">
            <v>0</v>
          </cell>
        </row>
        <row r="1036">
          <cell r="C1036" t="str">
            <v>8.5.2.6</v>
          </cell>
          <cell r="D1036" t="str">
            <v>Grade metálica Vertical com viga pescadora L X H = 1,80 X 2,72 M</v>
          </cell>
          <cell r="E1036" t="str">
            <v>un</v>
          </cell>
          <cell r="F1036"/>
          <cell r="G1036">
            <v>6252.72</v>
          </cell>
          <cell r="H1036">
            <v>0</v>
          </cell>
        </row>
        <row r="1037">
          <cell r="C1037" t="str">
            <v>8.6</v>
          </cell>
          <cell r="D1037" t="str">
            <v>8.6- TOMADA D'ÁGUA</v>
          </cell>
          <cell r="E1037"/>
          <cell r="F1037"/>
          <cell r="G1037"/>
          <cell r="H1037">
            <v>0</v>
          </cell>
        </row>
        <row r="1038">
          <cell r="C1038" t="str">
            <v>8.6.1</v>
          </cell>
          <cell r="D1038" t="str">
            <v>OBRAS CIVIS</v>
          </cell>
          <cell r="E1038"/>
          <cell r="F1038"/>
          <cell r="G1038"/>
          <cell r="H1038">
            <v>0</v>
          </cell>
        </row>
        <row r="1039">
          <cell r="C1039" t="str">
            <v>8.6.1.1</v>
          </cell>
          <cell r="D1039" t="str">
            <v>Escavação Mecânica Em Material De 1ª Categoria, Dmt &lt;= 300 M</v>
          </cell>
          <cell r="E1039" t="str">
            <v>m³</v>
          </cell>
          <cell r="F1039"/>
          <cell r="G1039">
            <v>5.54</v>
          </cell>
          <cell r="H1039">
            <v>0</v>
          </cell>
        </row>
        <row r="1040">
          <cell r="C1040" t="str">
            <v>8.6.1.2</v>
          </cell>
          <cell r="D1040" t="str">
            <v>Aterro Compactado, Compreendendo Escavação, Carga, Descarga E Transporte Até 300 M, Umeddecimento, Espalhamento, Homogenização E Compactação</v>
          </cell>
          <cell r="E1040" t="str">
            <v>m³</v>
          </cell>
          <cell r="F1040"/>
          <cell r="G1040">
            <v>9.69</v>
          </cell>
          <cell r="H1040">
            <v>0</v>
          </cell>
        </row>
        <row r="1041">
          <cell r="C1041" t="str">
            <v>8.6.1.3</v>
          </cell>
          <cell r="D1041" t="str">
            <v>Reaterro Compactado Com Reaproveitamento Do Material Escavado</v>
          </cell>
          <cell r="E1041" t="str">
            <v>m³</v>
          </cell>
          <cell r="F1041"/>
          <cell r="G1041">
            <v>7.41</v>
          </cell>
          <cell r="H1041">
            <v>0</v>
          </cell>
        </row>
        <row r="1042">
          <cell r="C1042" t="str">
            <v>8.6.1.4</v>
          </cell>
          <cell r="D1042" t="str">
            <v>Aterro Com Material Granuloso Selecionado</v>
          </cell>
          <cell r="E1042" t="str">
            <v>m³</v>
          </cell>
          <cell r="F1042"/>
          <cell r="G1042">
            <v>11.55</v>
          </cell>
          <cell r="H1042">
            <v>0</v>
          </cell>
        </row>
        <row r="1043">
          <cell r="C1043" t="str">
            <v>8.6.1.5</v>
          </cell>
          <cell r="D1043" t="str">
            <v>Preparo, Lançamento E Adensamento De Concreto   (Ca-4 E)</v>
          </cell>
          <cell r="E1043" t="str">
            <v>m³</v>
          </cell>
          <cell r="F1043"/>
          <cell r="G1043">
            <v>284.41000000000003</v>
          </cell>
          <cell r="H1043">
            <v>0</v>
          </cell>
        </row>
        <row r="1044">
          <cell r="C1044" t="str">
            <v>8.6.1.6</v>
          </cell>
          <cell r="D1044" t="str">
            <v>Preparo, Lançamento E Adensamento De Concreto  (Ca-7 J)</v>
          </cell>
          <cell r="E1044" t="str">
            <v>m³</v>
          </cell>
          <cell r="F1044"/>
          <cell r="G1044">
            <v>236.36</v>
          </cell>
          <cell r="H1044">
            <v>0</v>
          </cell>
        </row>
        <row r="1045">
          <cell r="C1045" t="str">
            <v>8.6.1.7</v>
          </cell>
          <cell r="D1045" t="str">
            <v>Formas Planas Para Concreto</v>
          </cell>
          <cell r="E1045" t="str">
            <v>m²</v>
          </cell>
          <cell r="F1045"/>
          <cell r="G1045">
            <v>53.52</v>
          </cell>
          <cell r="H1045">
            <v>0</v>
          </cell>
        </row>
        <row r="1046">
          <cell r="C1046" t="str">
            <v>8.6.1.8</v>
          </cell>
          <cell r="D1046" t="str">
            <v>Armadura Para Concreto Estrutural, Aço Ca-50B</v>
          </cell>
          <cell r="E1046" t="str">
            <v>kg</v>
          </cell>
          <cell r="F1046"/>
          <cell r="G1046">
            <v>3.87</v>
          </cell>
          <cell r="H1046">
            <v>0</v>
          </cell>
        </row>
        <row r="1047">
          <cell r="C1047" t="str">
            <v>8.6.1.9</v>
          </cell>
          <cell r="D1047" t="str">
            <v>Fornecimento E Instalação De Tubo Pvc Esgoto, Ø300 Mm</v>
          </cell>
          <cell r="E1047" t="str">
            <v>m</v>
          </cell>
          <cell r="F1047"/>
          <cell r="G1047">
            <v>63.47</v>
          </cell>
          <cell r="H1047">
            <v>0</v>
          </cell>
        </row>
        <row r="1048">
          <cell r="C1048" t="str">
            <v>8.6.1.10</v>
          </cell>
          <cell r="D1048" t="str">
            <v>Instalação De Guia Para Stop-Log/Grade 0,48 X 3,51 M</v>
          </cell>
          <cell r="E1048" t="str">
            <v>un</v>
          </cell>
          <cell r="F1048"/>
          <cell r="G1048">
            <v>28.25</v>
          </cell>
          <cell r="H1048">
            <v>0</v>
          </cell>
        </row>
        <row r="1049">
          <cell r="C1049" t="str">
            <v>8.6.1.11</v>
          </cell>
          <cell r="D1049" t="str">
            <v>Montagem De Tubulação Ferro Dúctil Ø 250 Mm</v>
          </cell>
          <cell r="E1049" t="str">
            <v>m</v>
          </cell>
          <cell r="F1049"/>
          <cell r="G1049">
            <v>7.14</v>
          </cell>
          <cell r="H1049">
            <v>0</v>
          </cell>
        </row>
        <row r="1050">
          <cell r="C1050" t="str">
            <v>8.6.1.12</v>
          </cell>
          <cell r="D1050" t="str">
            <v>Material Para Fixação Do  Geosintético</v>
          </cell>
          <cell r="E1050" t="str">
            <v>m</v>
          </cell>
          <cell r="F1050"/>
          <cell r="G1050">
            <v>16.59</v>
          </cell>
          <cell r="H1050">
            <v>0</v>
          </cell>
        </row>
        <row r="1051">
          <cell r="C1051" t="str">
            <v>8.6.1.13</v>
          </cell>
          <cell r="D1051" t="str">
            <v>Montagem - Comporta Avio® 71/40, Incluindo Instalação De Guias, Stop-Log Montante, Stop-Log Jusante E Grade Metálica-Transição Cs2 Para Ct2-4.</v>
          </cell>
          <cell r="E1051" t="str">
            <v>un</v>
          </cell>
          <cell r="F1051"/>
          <cell r="G1051">
            <v>76227.960000000006</v>
          </cell>
          <cell r="H1051">
            <v>0</v>
          </cell>
        </row>
        <row r="1052">
          <cell r="C1052" t="str">
            <v>8.6.2</v>
          </cell>
          <cell r="D1052" t="str">
            <v>FORNECIMENTO (O BDI do item 8.6.2 foi reduzido de 40% para 37,2%)</v>
          </cell>
          <cell r="E1052"/>
          <cell r="F1052"/>
          <cell r="G1052"/>
          <cell r="H1052">
            <v>0</v>
          </cell>
        </row>
        <row r="1053">
          <cell r="C1053" t="str">
            <v>8.6.2.1</v>
          </cell>
          <cell r="D1053" t="str">
            <v>Guia 0,48 X 3,51 M</v>
          </cell>
          <cell r="E1053" t="str">
            <v>un</v>
          </cell>
          <cell r="F1053"/>
          <cell r="G1053">
            <v>4160.1499999999996</v>
          </cell>
          <cell r="H1053">
            <v>0</v>
          </cell>
        </row>
        <row r="1054">
          <cell r="C1054" t="str">
            <v>8.6.2.2</v>
          </cell>
          <cell r="D1054" t="str">
            <v>Stop-Log 480 X 500 Mm - Tipo 1</v>
          </cell>
          <cell r="E1054" t="str">
            <v>un</v>
          </cell>
          <cell r="F1054"/>
          <cell r="G1054">
            <v>1281.3599999999999</v>
          </cell>
          <cell r="H1054">
            <v>0</v>
          </cell>
        </row>
        <row r="1055">
          <cell r="C1055" t="str">
            <v>8.6.2.3</v>
          </cell>
          <cell r="D1055" t="str">
            <v>Fornecimento De Grade 480 X 500 Mm - Tipo 1</v>
          </cell>
          <cell r="E1055" t="str">
            <v>un</v>
          </cell>
          <cell r="F1055"/>
          <cell r="G1055">
            <v>868.21</v>
          </cell>
          <cell r="H1055">
            <v>0</v>
          </cell>
        </row>
        <row r="1056">
          <cell r="C1056" t="str">
            <v>8.6.2.4</v>
          </cell>
          <cell r="D1056" t="str">
            <v>Tubo De Ferro Dúctil, Com Ponta E Bolsa, Junta Elástica, Classe 1 Mpa, Ø250 Mm.</v>
          </cell>
          <cell r="E1056" t="str">
            <v>m</v>
          </cell>
          <cell r="F1056"/>
          <cell r="G1056">
            <v>196.4</v>
          </cell>
          <cell r="H1056">
            <v>0</v>
          </cell>
        </row>
        <row r="1057">
          <cell r="C1057" t="str">
            <v>8.6.2.5</v>
          </cell>
          <cell r="D1057" t="str">
            <v>Comporta Automática De Controle De Nível A Jusante, Tipo Avio® Tamanho 71/40-Transição Cs2 Para Ct2-4.</v>
          </cell>
          <cell r="E1057" t="str">
            <v>un</v>
          </cell>
          <cell r="F1057"/>
          <cell r="G1057">
            <v>33556.370000000003</v>
          </cell>
          <cell r="H1057">
            <v>0</v>
          </cell>
        </row>
        <row r="1058">
          <cell r="C1058" t="str">
            <v>8.6.2.6</v>
          </cell>
          <cell r="D1058" t="str">
            <v>Comporta Deslizante De Manutenção Da Comporta Avio® 71/40, Para Operar Em Abertura Com Dimensões Livres L = 0,63 M X H = 0,63 M X Hs = 3,36 M.C.A. X Hconcr.= 4,06 M, Com Acionamento Manual-Transição Cs2 Para Ct2-4.</v>
          </cell>
          <cell r="E1058" t="str">
            <v>un</v>
          </cell>
          <cell r="F1058"/>
          <cell r="G1058">
            <v>23586.57</v>
          </cell>
          <cell r="H1058">
            <v>0</v>
          </cell>
        </row>
        <row r="1059">
          <cell r="C1059" t="str">
            <v>8.6.2.7</v>
          </cell>
          <cell r="D1059" t="str">
            <v>Jogo De Peças Fixas De 2ª Concretagem Para Stop-Log / Grade A Ser Instalado A Montante Da Comporta Avio® 71/40 Com Abertura Com Dimensões Livres De L X H= 1,80 M X 4,06 M-Transição Cs2 Para Ct2-4.</v>
          </cell>
          <cell r="E1059" t="str">
            <v>un</v>
          </cell>
          <cell r="F1059"/>
          <cell r="G1059">
            <v>10651.71</v>
          </cell>
          <cell r="H1059">
            <v>0</v>
          </cell>
        </row>
        <row r="1060">
          <cell r="C1060" t="str">
            <v>8.6.2.8</v>
          </cell>
          <cell r="D1060" t="str">
            <v>Comporta Ensecadeira De L X H = 1,80 M X 3,50 M X Hs = 3,36 Mca X Hconcreto = 4,06 M, Completa A Ser Instalada A Montante Da Comportaavio® 71/40, Com Viga Pescadora-Transição Cs2 Para Ct2-4.</v>
          </cell>
          <cell r="E1060" t="str">
            <v>un</v>
          </cell>
          <cell r="F1060"/>
          <cell r="G1060">
            <v>46151.78</v>
          </cell>
          <cell r="H1060">
            <v>0</v>
          </cell>
        </row>
        <row r="1061">
          <cell r="C1061" t="str">
            <v>8.6.2.9</v>
          </cell>
          <cell r="D1061" t="str">
            <v>Grade Metálica Vertical Com Abertura Livre De L X H = 1,80 X 3,50 M X Hs= 1,00 Mca X Hconcr= 4,06 M, Espaçamento Entre Barras Verticais De 56Mm A Ser Instalada A Montante Da Comporta Avio® 71/40, Sem Viga Pescadora-Transição Cs2 Para Ct2-4.</v>
          </cell>
          <cell r="E1061" t="str">
            <v>un</v>
          </cell>
          <cell r="F1061"/>
          <cell r="G1061">
            <v>9298.42</v>
          </cell>
          <cell r="H1061">
            <v>0</v>
          </cell>
        </row>
        <row r="1062">
          <cell r="C1062" t="str">
            <v>8.6.2.10</v>
          </cell>
          <cell r="D1062" t="str">
            <v>Jogo De Peças Fixas De 2ª Concretagem Para Stop-Log / Grade A Ser Instalado A Jusante Da Comporta Avio® 71/40 Com Abertura Com Dimensões Livres De L X H= 1,80 M X 1,60 M-Transição Cs2 Para Ct2-4.</v>
          </cell>
          <cell r="E1062" t="str">
            <v>un</v>
          </cell>
          <cell r="F1062"/>
          <cell r="G1062">
            <v>3948.24</v>
          </cell>
          <cell r="H1062">
            <v>0</v>
          </cell>
        </row>
        <row r="1063">
          <cell r="C1063" t="str">
            <v>8.6.2.11</v>
          </cell>
          <cell r="D1063" t="str">
            <v>Comporta Ensecadeira De L X H = 1,80 M X 1,20 M X Hs = 1,00 Mca X Hconcreto = 1,60 M, Completa A Ser Instalada A Jusante Da Comporta Avio® 71/40, Sem Viga Pescadora-Transição Cs2 Para Ct2-4.</v>
          </cell>
          <cell r="E1063" t="str">
            <v>un</v>
          </cell>
          <cell r="F1063"/>
          <cell r="G1063">
            <v>10022.27</v>
          </cell>
          <cell r="H1063">
            <v>0</v>
          </cell>
        </row>
        <row r="1064">
          <cell r="C1064" t="str">
            <v>8.6.2.12</v>
          </cell>
          <cell r="D1064" t="str">
            <v>Guia Em Aço Inox E Aço Carbono De 3800 X 2100 Mm Para Comporta Avio®-Transição Cs2 Para Ct2-4.</v>
          </cell>
          <cell r="E1064" t="str">
            <v>un</v>
          </cell>
          <cell r="F1064"/>
          <cell r="G1064">
            <v>4348.71</v>
          </cell>
          <cell r="H1064">
            <v>0</v>
          </cell>
        </row>
        <row r="1065">
          <cell r="C1065" t="str">
            <v>8.7</v>
          </cell>
          <cell r="D1065" t="str">
            <v>8.7 - CONTROLE DE NÍVEL MISTO</v>
          </cell>
          <cell r="E1065"/>
          <cell r="F1065"/>
          <cell r="G1065"/>
          <cell r="H1065">
            <v>0</v>
          </cell>
        </row>
        <row r="1066">
          <cell r="C1066" t="str">
            <v>8.7.1</v>
          </cell>
          <cell r="D1066" t="str">
            <v>OBRAS CIVIS  E MONTAGEM</v>
          </cell>
          <cell r="E1066"/>
          <cell r="F1066"/>
          <cell r="G1066"/>
          <cell r="H1066">
            <v>0</v>
          </cell>
        </row>
        <row r="1067">
          <cell r="C1067" t="str">
            <v>8.7.1.1</v>
          </cell>
          <cell r="D1067" t="str">
            <v>Escavação Mecânica Em Material De 1ª Categoria, Dmt &lt;= 300 M</v>
          </cell>
          <cell r="E1067" t="str">
            <v>m³</v>
          </cell>
          <cell r="F1067"/>
          <cell r="G1067">
            <v>5.54</v>
          </cell>
          <cell r="H1067">
            <v>0</v>
          </cell>
        </row>
        <row r="1068">
          <cell r="C1068" t="str">
            <v>8.7.1.2</v>
          </cell>
          <cell r="D1068" t="str">
            <v>Reaterro Compactado Com Reaproveitamento Do Material Escavado</v>
          </cell>
          <cell r="E1068" t="str">
            <v>m³</v>
          </cell>
          <cell r="F1068"/>
          <cell r="G1068">
            <v>7.41</v>
          </cell>
          <cell r="H1068">
            <v>0</v>
          </cell>
        </row>
        <row r="1069">
          <cell r="C1069" t="str">
            <v>8.7.1.3</v>
          </cell>
          <cell r="D1069" t="str">
            <v>Preparo, Lançamento E Adensamento De Concreto  (Ca-4 E)</v>
          </cell>
          <cell r="E1069" t="str">
            <v>m³</v>
          </cell>
          <cell r="F1069"/>
          <cell r="G1069">
            <v>284.41000000000003</v>
          </cell>
          <cell r="H1069">
            <v>0</v>
          </cell>
        </row>
        <row r="1070">
          <cell r="C1070" t="str">
            <v>8.7.1.4</v>
          </cell>
          <cell r="D1070" t="str">
            <v>Preparo, Lançamento E Adensamento De Concreto  (Ca-7 J)</v>
          </cell>
          <cell r="E1070" t="str">
            <v>m³</v>
          </cell>
          <cell r="F1070"/>
          <cell r="G1070">
            <v>236.36</v>
          </cell>
          <cell r="H1070">
            <v>0</v>
          </cell>
        </row>
        <row r="1071">
          <cell r="C1071" t="str">
            <v>8.7.1.5</v>
          </cell>
          <cell r="D1071" t="str">
            <v>Formas Planas Para Concreto</v>
          </cell>
          <cell r="E1071" t="str">
            <v>m²</v>
          </cell>
          <cell r="F1071"/>
          <cell r="G1071">
            <v>53.52</v>
          </cell>
          <cell r="H1071">
            <v>0</v>
          </cell>
        </row>
        <row r="1072">
          <cell r="C1072" t="str">
            <v>8.7.1.6</v>
          </cell>
          <cell r="D1072" t="str">
            <v>Armadura Para Concreto Estrutural, Aço Ca-50B</v>
          </cell>
          <cell r="E1072" t="str">
            <v>kg</v>
          </cell>
          <cell r="F1072"/>
          <cell r="G1072">
            <v>3.87</v>
          </cell>
          <cell r="H1072">
            <v>0</v>
          </cell>
        </row>
        <row r="1073">
          <cell r="C1073" t="str">
            <v>8.7.1.7</v>
          </cell>
          <cell r="D1073" t="str">
            <v>Material Para Fixação Do Geosintético</v>
          </cell>
          <cell r="E1073" t="str">
            <v>m</v>
          </cell>
          <cell r="F1073"/>
          <cell r="G1073">
            <v>16.59</v>
          </cell>
          <cell r="H1073">
            <v>0</v>
          </cell>
        </row>
        <row r="1074">
          <cell r="C1074" t="str">
            <v>8.7.1.8</v>
          </cell>
          <cell r="D1074" t="str">
            <v>Junta Com Mastique Elástico</v>
          </cell>
          <cell r="E1074" t="str">
            <v>m</v>
          </cell>
          <cell r="F1074"/>
          <cell r="G1074">
            <v>10.59</v>
          </cell>
          <cell r="H1074">
            <v>0</v>
          </cell>
        </row>
        <row r="1075">
          <cell r="C1075" t="str">
            <v>8.7.1.9</v>
          </cell>
          <cell r="D1075" t="str">
            <v>Junta Fugemband - Tipo O-22</v>
          </cell>
          <cell r="E1075" t="str">
            <v>m</v>
          </cell>
          <cell r="F1075"/>
          <cell r="G1075">
            <v>94.07</v>
          </cell>
          <cell r="H1075">
            <v>0</v>
          </cell>
        </row>
        <row r="1076">
          <cell r="C1076" t="str">
            <v>8.7.1.10</v>
          </cell>
          <cell r="D1076" t="str">
            <v>Fornecimento E Instalação De Tubo Pvc Rígido Soldável, Ø150 Mm</v>
          </cell>
          <cell r="E1076" t="str">
            <v>m</v>
          </cell>
          <cell r="F1076"/>
          <cell r="G1076">
            <v>44.68</v>
          </cell>
          <cell r="H1076">
            <v>0</v>
          </cell>
        </row>
        <row r="1077">
          <cell r="C1077" t="str">
            <v>8.7.1.11</v>
          </cell>
          <cell r="D1077" t="str">
            <v>Fornecimento E Instalação De Tubo Pvc Rígido Soldável, Ø300 Mm</v>
          </cell>
          <cell r="E1077" t="str">
            <v>m</v>
          </cell>
          <cell r="F1077"/>
          <cell r="G1077">
            <v>163.55000000000001</v>
          </cell>
          <cell r="H1077">
            <v>0</v>
          </cell>
        </row>
        <row r="1078">
          <cell r="C1078" t="str">
            <v>8.7.1.12</v>
          </cell>
          <cell r="D1078" t="str">
            <v>Instalação De Guia Para Stop-Log/Grade2,42 X 2,95 M</v>
          </cell>
          <cell r="E1078" t="str">
            <v>un</v>
          </cell>
          <cell r="F1078"/>
          <cell r="G1078">
            <v>31.32</v>
          </cell>
          <cell r="H1078">
            <v>0</v>
          </cell>
        </row>
        <row r="1079">
          <cell r="C1079" t="str">
            <v>8.7.1.13</v>
          </cell>
          <cell r="D1079" t="str">
            <v>Instalação De Guia Para Stop-Log/Grade2,22 X 2,75 M</v>
          </cell>
          <cell r="E1079" t="str">
            <v>un</v>
          </cell>
          <cell r="F1079"/>
          <cell r="G1079">
            <v>25.49</v>
          </cell>
          <cell r="H1079">
            <v>0</v>
          </cell>
        </row>
        <row r="1080">
          <cell r="C1080" t="str">
            <v>8.7.1.14</v>
          </cell>
          <cell r="D1080" t="str">
            <v>Montagem De Comporta Mista 160/140 - 55º</v>
          </cell>
          <cell r="E1080" t="str">
            <v>un</v>
          </cell>
          <cell r="F1080"/>
          <cell r="G1080">
            <v>10062.700000000001</v>
          </cell>
          <cell r="H1080">
            <v>0</v>
          </cell>
        </row>
        <row r="1081">
          <cell r="C1081" t="str">
            <v>8.7.1.15</v>
          </cell>
          <cell r="D1081" t="str">
            <v>Montagem De Comporta De Emergência 2,50 X 2,85 M</v>
          </cell>
          <cell r="E1081" t="str">
            <v>un</v>
          </cell>
          <cell r="F1081"/>
          <cell r="G1081">
            <v>3318.93</v>
          </cell>
          <cell r="H1081">
            <v>0</v>
          </cell>
        </row>
        <row r="1082">
          <cell r="C1082" t="str">
            <v>8.7.1.16</v>
          </cell>
          <cell r="D1082" t="str">
            <v>Fornecimento E Instalação De Cabo De Segurança</v>
          </cell>
          <cell r="E1082" t="str">
            <v>m</v>
          </cell>
          <cell r="F1082"/>
          <cell r="G1082">
            <v>42.96</v>
          </cell>
          <cell r="H1082">
            <v>0</v>
          </cell>
        </row>
        <row r="1083">
          <cell r="C1083" t="str">
            <v>8.7.1.17</v>
          </cell>
          <cell r="D1083" t="str">
            <v>Montagem - Stop-Log 2.420 X 1.300 Mm - Tipo 3.</v>
          </cell>
          <cell r="E1083" t="str">
            <v>un</v>
          </cell>
          <cell r="F1083"/>
          <cell r="G1083">
            <v>6540.34</v>
          </cell>
          <cell r="H1083">
            <v>0</v>
          </cell>
        </row>
        <row r="1084">
          <cell r="C1084" t="str">
            <v>8.7.1.18</v>
          </cell>
          <cell r="D1084" t="str">
            <v>Montagem - Stop-Log 2.220 X 1.300 Mm - Tipo 3.</v>
          </cell>
          <cell r="E1084" t="str">
            <v>un</v>
          </cell>
          <cell r="F1084"/>
          <cell r="G1084">
            <v>5999.81</v>
          </cell>
          <cell r="H1084">
            <v>0</v>
          </cell>
        </row>
        <row r="1085">
          <cell r="C1085" t="str">
            <v>8.7.1.19</v>
          </cell>
          <cell r="D1085" t="str">
            <v>Montagem - Stop log 600 x 300 mm (comporta deslizante)</v>
          </cell>
          <cell r="E1085" t="str">
            <v>un</v>
          </cell>
          <cell r="F1085"/>
          <cell r="G1085">
            <v>796.58</v>
          </cell>
          <cell r="H1085">
            <v>0</v>
          </cell>
        </row>
        <row r="1086">
          <cell r="C1086" t="str">
            <v>8.7.1.20</v>
          </cell>
          <cell r="D1086" t="str">
            <v xml:space="preserve">Montagem - Stop log 1000 x 300 mm (comporta deslizante) </v>
          </cell>
          <cell r="E1086" t="str">
            <v>un</v>
          </cell>
          <cell r="F1086"/>
          <cell r="G1086">
            <v>1186.4000000000001</v>
          </cell>
          <cell r="H1086">
            <v>0</v>
          </cell>
        </row>
        <row r="1087">
          <cell r="C1087" t="str">
            <v>8.7.1.21</v>
          </cell>
          <cell r="D1087" t="str">
            <v xml:space="preserve">Montagem - Stop log 150 x 150 mm (Comporta Deslizante VGSF) </v>
          </cell>
          <cell r="E1087" t="str">
            <v>un</v>
          </cell>
          <cell r="F1087"/>
          <cell r="G1087">
            <v>317.79000000000002</v>
          </cell>
          <cell r="H1087">
            <v>0</v>
          </cell>
        </row>
        <row r="1088">
          <cell r="C1088" t="str">
            <v>8.7.1.22</v>
          </cell>
          <cell r="D1088" t="str">
            <v xml:space="preserve">Montagem - Stop log 650 x 420 mm (comporta deslizante) </v>
          </cell>
          <cell r="E1088" t="str">
            <v>un</v>
          </cell>
          <cell r="F1088"/>
          <cell r="G1088">
            <v>813.53</v>
          </cell>
          <cell r="H1088">
            <v>0</v>
          </cell>
        </row>
        <row r="1089">
          <cell r="C1089" t="str">
            <v>8.7.1.23</v>
          </cell>
          <cell r="D1089" t="str">
            <v>Montagem - Comporta Gaveta DN 50/60</v>
          </cell>
          <cell r="E1089" t="str">
            <v>un</v>
          </cell>
          <cell r="F1089"/>
          <cell r="G1089">
            <v>610.15</v>
          </cell>
          <cell r="H1089">
            <v>0</v>
          </cell>
        </row>
        <row r="1090">
          <cell r="C1090" t="str">
            <v>8.7.2</v>
          </cell>
          <cell r="D1090" t="str">
            <v>FORNECIMENTO (O BDI do item 8.7.2 foi reduzido de 40% para 37,2%)</v>
          </cell>
          <cell r="E1090"/>
          <cell r="F1090"/>
          <cell r="G1090">
            <v>0</v>
          </cell>
          <cell r="H1090">
            <v>0</v>
          </cell>
        </row>
        <row r="1091">
          <cell r="C1091" t="str">
            <v>8.7.2.1</v>
          </cell>
          <cell r="D1091" t="str">
            <v>Guia 2,42 X 2,95 M</v>
          </cell>
          <cell r="E1091" t="str">
            <v>un</v>
          </cell>
          <cell r="F1091"/>
          <cell r="G1091">
            <v>6486.78</v>
          </cell>
          <cell r="H1091">
            <v>0</v>
          </cell>
        </row>
        <row r="1092">
          <cell r="C1092" t="str">
            <v>8.7.2.2</v>
          </cell>
          <cell r="D1092" t="str">
            <v>Guia 2,22 X 2,75 M</v>
          </cell>
          <cell r="E1092" t="str">
            <v>un</v>
          </cell>
          <cell r="F1092"/>
          <cell r="G1092">
            <v>4443.83</v>
          </cell>
          <cell r="H1092">
            <v>0</v>
          </cell>
        </row>
        <row r="1093">
          <cell r="C1093" t="str">
            <v>8.7.2.3</v>
          </cell>
          <cell r="D1093" t="str">
            <v>Stop-Log 2.420 X 550 Mm - Tipo 3</v>
          </cell>
          <cell r="E1093" t="str">
            <v>un</v>
          </cell>
          <cell r="F1093"/>
          <cell r="G1093">
            <v>7781.48</v>
          </cell>
          <cell r="H1093">
            <v>0</v>
          </cell>
        </row>
        <row r="1094">
          <cell r="C1094" t="str">
            <v>8.7.2.4</v>
          </cell>
          <cell r="D1094" t="str">
            <v>Stop-Log 2.220 X 415 Mm - Tipo 3</v>
          </cell>
          <cell r="E1094" t="str">
            <v>un</v>
          </cell>
          <cell r="F1094"/>
          <cell r="G1094">
            <v>6519.14</v>
          </cell>
          <cell r="H1094">
            <v>0</v>
          </cell>
        </row>
        <row r="1095">
          <cell r="C1095" t="str">
            <v>8.7.2.5</v>
          </cell>
          <cell r="D1095" t="str">
            <v>Grade 2,42 X 2,75 M - Tipo 2</v>
          </cell>
          <cell r="E1095" t="str">
            <v>un</v>
          </cell>
          <cell r="F1095"/>
          <cell r="G1095">
            <v>16886.2</v>
          </cell>
          <cell r="H1095">
            <v>0</v>
          </cell>
        </row>
        <row r="1096">
          <cell r="C1096" t="str">
            <v>8.7.2.6</v>
          </cell>
          <cell r="D1096" t="str">
            <v>Comporta Mista 160/140 - 55º</v>
          </cell>
          <cell r="E1096" t="str">
            <v>un</v>
          </cell>
          <cell r="F1096"/>
          <cell r="G1096">
            <v>553729.88</v>
          </cell>
          <cell r="H1096">
            <v>0</v>
          </cell>
        </row>
        <row r="1097">
          <cell r="C1097" t="str">
            <v>8.7.2.7</v>
          </cell>
          <cell r="D1097" t="str">
            <v>Comporta De Emergência 2,50 X 2,85 M</v>
          </cell>
          <cell r="E1097" t="str">
            <v>un</v>
          </cell>
          <cell r="F1097"/>
          <cell r="G1097">
            <v>61745.33</v>
          </cell>
          <cell r="H1097">
            <v>0</v>
          </cell>
        </row>
        <row r="1098">
          <cell r="C1098" t="str">
            <v>8.7.2.8</v>
          </cell>
          <cell r="D1098" t="str">
            <v>Stop-Log 2.420 X 1.300 Mm - Tipo 3.</v>
          </cell>
          <cell r="E1098" t="str">
            <v>un</v>
          </cell>
          <cell r="F1098"/>
          <cell r="G1098">
            <v>9105.25</v>
          </cell>
          <cell r="H1098">
            <v>0</v>
          </cell>
        </row>
        <row r="1099">
          <cell r="C1099" t="str">
            <v>8.7.2.9</v>
          </cell>
          <cell r="D1099" t="str">
            <v>Stop-Log 2.220 X 1.300 Mm - Tipo 3.</v>
          </cell>
          <cell r="E1099" t="str">
            <v>un</v>
          </cell>
          <cell r="F1099"/>
          <cell r="G1099">
            <v>8337.26</v>
          </cell>
          <cell r="H1099">
            <v>0</v>
          </cell>
        </row>
        <row r="1100">
          <cell r="C1100" t="str">
            <v>8.7.2.10</v>
          </cell>
          <cell r="D1100" t="str">
            <v>Stop log 600 x 300 mm (comporta deslizante)</v>
          </cell>
          <cell r="E1100" t="str">
            <v>un</v>
          </cell>
          <cell r="F1100"/>
          <cell r="G1100">
            <v>929.41</v>
          </cell>
          <cell r="H1100">
            <v>0</v>
          </cell>
        </row>
        <row r="1101">
          <cell r="C1101" t="str">
            <v>8.7.2.11</v>
          </cell>
          <cell r="D1101" t="str">
            <v xml:space="preserve">Stop log 1000 x 300 mm (comporta deslizante) </v>
          </cell>
          <cell r="E1101" t="str">
            <v>un</v>
          </cell>
          <cell r="F1101"/>
          <cell r="G1101">
            <v>1150.7</v>
          </cell>
          <cell r="H1101">
            <v>0</v>
          </cell>
        </row>
        <row r="1102">
          <cell r="C1102" t="str">
            <v>8.7.2.12</v>
          </cell>
          <cell r="D1102" t="str">
            <v xml:space="preserve">Stop log 150 x 150 mm (Comporta Deslizante VGSF) </v>
          </cell>
          <cell r="E1102" t="str">
            <v>un</v>
          </cell>
          <cell r="F1102"/>
          <cell r="G1102">
            <v>553.22</v>
          </cell>
          <cell r="H1102">
            <v>0</v>
          </cell>
        </row>
        <row r="1103">
          <cell r="C1103" t="str">
            <v>8.7.2.13</v>
          </cell>
          <cell r="D1103" t="str">
            <v xml:space="preserve">Stop log 650 x 420 mm (comporta deslizante) </v>
          </cell>
          <cell r="E1103" t="str">
            <v>un</v>
          </cell>
          <cell r="F1103"/>
          <cell r="G1103">
            <v>1106.44</v>
          </cell>
          <cell r="H1103">
            <v>0</v>
          </cell>
        </row>
        <row r="1104">
          <cell r="C1104" t="str">
            <v>8.7.2.14</v>
          </cell>
          <cell r="D1104" t="str">
            <v>Comporta Gaveta DN 50/60</v>
          </cell>
          <cell r="E1104" t="str">
            <v>un</v>
          </cell>
          <cell r="F1104"/>
          <cell r="G1104">
            <v>1336.08</v>
          </cell>
          <cell r="H1104">
            <v>0</v>
          </cell>
        </row>
        <row r="1105">
          <cell r="C1105" t="str">
            <v>8.8</v>
          </cell>
          <cell r="D1105" t="str">
            <v>LIMPEZA DO CANAL</v>
          </cell>
          <cell r="E1105"/>
          <cell r="F1105"/>
          <cell r="G1105"/>
          <cell r="H1105">
            <v>0</v>
          </cell>
        </row>
        <row r="1106">
          <cell r="C1106" t="str">
            <v>8.8.1</v>
          </cell>
          <cell r="D1106" t="str">
            <v>Limpeza manual de talude - capina, raspagem e limpeza</v>
          </cell>
          <cell r="E1106" t="str">
            <v>m²</v>
          </cell>
          <cell r="F1106"/>
          <cell r="G1106">
            <v>1.74</v>
          </cell>
          <cell r="H1106">
            <v>0</v>
          </cell>
        </row>
        <row r="1107">
          <cell r="C1107" t="str">
            <v>8.8.2</v>
          </cell>
          <cell r="D1107" t="str">
            <v>Limpeza Manual Interior Do Canal</v>
          </cell>
          <cell r="E1107" t="str">
            <v>m²</v>
          </cell>
          <cell r="F1107"/>
          <cell r="G1107">
            <v>1.74</v>
          </cell>
          <cell r="H1107">
            <v>0</v>
          </cell>
        </row>
        <row r="1108">
          <cell r="C1108" t="str">
            <v>8.8.3</v>
          </cell>
          <cell r="D1108" t="str">
            <v>Carga Manual De Entulho Em Caminhão Basculante</v>
          </cell>
          <cell r="E1108" t="str">
            <v>m³</v>
          </cell>
          <cell r="F1108"/>
          <cell r="G1108">
            <v>10.65</v>
          </cell>
          <cell r="H1108">
            <v>0</v>
          </cell>
        </row>
        <row r="1109">
          <cell r="C1109" t="str">
            <v>8.8.4</v>
          </cell>
          <cell r="D1109" t="str">
            <v>Drenagem E Esgotamento D'Água</v>
          </cell>
          <cell r="E1109" t="str">
            <v>hpxh</v>
          </cell>
          <cell r="F1109"/>
          <cell r="G1109">
            <v>3.47</v>
          </cell>
          <cell r="H1109">
            <v>0</v>
          </cell>
        </row>
        <row r="1110">
          <cell r="C1110" t="str">
            <v>8.8.5</v>
          </cell>
          <cell r="D1110" t="str">
            <v>Retirada de raízes em taludes e placas do canal de material vegetal tipo canarana com equipamento mecânico</v>
          </cell>
          <cell r="E1110" t="str">
            <v>m²</v>
          </cell>
          <cell r="F1110"/>
          <cell r="G1110">
            <v>4.12</v>
          </cell>
          <cell r="H1110">
            <v>0</v>
          </cell>
        </row>
        <row r="1111">
          <cell r="C1111" t="str">
            <v>8.8.6</v>
          </cell>
          <cell r="D1111" t="str">
            <v>Momento Extraordinário De Transporte Para Material De 1ª Categoria</v>
          </cell>
          <cell r="E1111" t="str">
            <v>m³xkm</v>
          </cell>
          <cell r="F1111"/>
          <cell r="G1111">
            <v>1.1499999999999999</v>
          </cell>
          <cell r="H1111">
            <v>0</v>
          </cell>
        </row>
        <row r="1112">
          <cell r="C1112" t="str">
            <v>8.8.7</v>
          </cell>
          <cell r="D1112" t="str">
            <v>Espalhamento de material em bota fora</v>
          </cell>
          <cell r="E1112" t="str">
            <v>m³</v>
          </cell>
          <cell r="F1112"/>
          <cell r="G1112">
            <v>2.2799999999999998</v>
          </cell>
          <cell r="H1112">
            <v>0</v>
          </cell>
        </row>
        <row r="1113">
          <cell r="C1113" t="str">
            <v>8.9</v>
          </cell>
          <cell r="D1113" t="str">
            <v>RESERVATÓRIO PULMÃO - CANAL PRINCIPAL</v>
          </cell>
          <cell r="E1113"/>
          <cell r="F1113"/>
          <cell r="G1113"/>
          <cell r="H1113">
            <v>0</v>
          </cell>
        </row>
        <row r="1114">
          <cell r="C1114" t="str">
            <v>8.9.1</v>
          </cell>
          <cell r="D1114" t="str">
            <v>OBRAS CIVIS E MONTAGEM</v>
          </cell>
          <cell r="E1114"/>
          <cell r="F1114"/>
          <cell r="G1114"/>
          <cell r="H1114">
            <v>0</v>
          </cell>
        </row>
        <row r="1115">
          <cell r="C1115" t="str">
            <v>8.9.1.1</v>
          </cell>
          <cell r="D1115" t="str">
            <v>Montagem comporta AVIO 140/160</v>
          </cell>
          <cell r="E1115" t="str">
            <v>un</v>
          </cell>
          <cell r="F1115"/>
          <cell r="G1115">
            <v>54526.977892870906</v>
          </cell>
          <cell r="H1115">
            <v>0</v>
          </cell>
        </row>
        <row r="1116">
          <cell r="C1116" t="str">
            <v>8.9.1.2</v>
          </cell>
          <cell r="D1116" t="str">
            <v>Montagem Comporta Plana - Vg 125 X 125</v>
          </cell>
          <cell r="E1116" t="str">
            <v>un</v>
          </cell>
          <cell r="F1116"/>
          <cell r="G1116">
            <v>745.74</v>
          </cell>
          <cell r="H1116">
            <v>0</v>
          </cell>
        </row>
        <row r="1117">
          <cell r="C1117" t="str">
            <v>8.9.1.3</v>
          </cell>
          <cell r="D1117" t="str">
            <v>Demolição De Concreto Armado</v>
          </cell>
          <cell r="E1117" t="str">
            <v>un</v>
          </cell>
          <cell r="F1117"/>
          <cell r="G1117">
            <v>182.86</v>
          </cell>
          <cell r="H1117">
            <v>0</v>
          </cell>
        </row>
        <row r="1118">
          <cell r="C1118" t="str">
            <v>8.9.2</v>
          </cell>
          <cell r="D1118" t="str">
            <v>FORNECIMENTO</v>
          </cell>
          <cell r="E1118"/>
          <cell r="F1118"/>
          <cell r="G1118">
            <v>96455.05</v>
          </cell>
          <cell r="H1118">
            <v>0</v>
          </cell>
        </row>
        <row r="1119">
          <cell r="C1119" t="str">
            <v>8.9.2.1</v>
          </cell>
          <cell r="D1119" t="str">
            <v>Comporta Avio 140/160</v>
          </cell>
          <cell r="E1119" t="str">
            <v>un</v>
          </cell>
          <cell r="F1119"/>
          <cell r="G1119">
            <v>93943.14</v>
          </cell>
          <cell r="H1119">
            <v>0</v>
          </cell>
        </row>
        <row r="1120">
          <cell r="C1120" t="str">
            <v>8.9.2.2</v>
          </cell>
          <cell r="D1120" t="str">
            <v>Comporta Plana Deslizante, Vg 125 X 125</v>
          </cell>
          <cell r="E1120" t="str">
            <v>un</v>
          </cell>
          <cell r="F1120"/>
          <cell r="G1120">
            <v>2511.91</v>
          </cell>
          <cell r="H1120">
            <v>0</v>
          </cell>
        </row>
        <row r="1121">
          <cell r="C1121" t="str">
            <v>8.10</v>
          </cell>
          <cell r="D1121" t="str">
            <v>ADUTORA PARA ALIMENTAÇÃO DOS LOTES EMPRESARIAIS - ÁREA INCRA</v>
          </cell>
          <cell r="E1121"/>
          <cell r="F1121"/>
          <cell r="G1121"/>
          <cell r="H1121">
            <v>0</v>
          </cell>
        </row>
        <row r="1122">
          <cell r="C1122" t="str">
            <v>8.10.1</v>
          </cell>
          <cell r="D1122" t="str">
            <v>OBRAS CIVIS E MONTAGEM</v>
          </cell>
          <cell r="E1122"/>
          <cell r="F1122"/>
          <cell r="G1122"/>
          <cell r="H1122">
            <v>0</v>
          </cell>
        </row>
        <row r="1123">
          <cell r="C1123" t="str">
            <v>8.10.1.1</v>
          </cell>
          <cell r="D1123" t="str">
            <v xml:space="preserve"> Escavação Mecânica Vala De Assentamento Dmt&lt;= 100 M (Até 2M)</v>
          </cell>
          <cell r="E1123" t="str">
            <v>m³</v>
          </cell>
          <cell r="F1123"/>
          <cell r="G1123">
            <v>3.23</v>
          </cell>
          <cell r="H1123">
            <v>0</v>
          </cell>
        </row>
        <row r="1124">
          <cell r="C1124" t="str">
            <v>8.10.1.2</v>
          </cell>
          <cell r="D1124" t="str">
            <v xml:space="preserve"> Reaterro Manual De Vala, Com Reaproveitamento Do  Material Escavado . </v>
          </cell>
          <cell r="E1124" t="str">
            <v>m³</v>
          </cell>
          <cell r="F1124"/>
          <cell r="G1124">
            <v>7.41</v>
          </cell>
          <cell r="H1124">
            <v>0</v>
          </cell>
        </row>
        <row r="1125">
          <cell r="C1125" t="str">
            <v>8.10.1.3</v>
          </cell>
          <cell r="D1125" t="str">
            <v>Desmatamento, Destocamento E Limpeza De Terreno.</v>
          </cell>
          <cell r="E1125" t="str">
            <v>ha</v>
          </cell>
          <cell r="F1125"/>
          <cell r="G1125">
            <v>1660.74</v>
          </cell>
          <cell r="H1125">
            <v>0</v>
          </cell>
        </row>
        <row r="1126">
          <cell r="C1126" t="str">
            <v>8.10.1.4</v>
          </cell>
          <cell r="D1126" t="str">
            <v>Ferro Dúctil Ø 400 Mm</v>
          </cell>
          <cell r="E1126" t="str">
            <v>m</v>
          </cell>
          <cell r="F1126"/>
          <cell r="G1126">
            <v>10.59</v>
          </cell>
          <cell r="H1126">
            <v>0</v>
          </cell>
        </row>
        <row r="1127">
          <cell r="C1127" t="str">
            <v>8.10.1.5</v>
          </cell>
          <cell r="D1127" t="str">
            <v>Ferro Dúctil Ø 600 Mm</v>
          </cell>
          <cell r="E1127" t="str">
            <v>m</v>
          </cell>
          <cell r="F1127"/>
          <cell r="G1127">
            <v>15.15</v>
          </cell>
          <cell r="H1127">
            <v>0</v>
          </cell>
        </row>
        <row r="1128">
          <cell r="C1128" t="str">
            <v>8.10.1.6</v>
          </cell>
          <cell r="D1128" t="str">
            <v>Demolição De Concreto Simples</v>
          </cell>
          <cell r="E1128" t="str">
            <v>m³</v>
          </cell>
          <cell r="F1128"/>
          <cell r="G1128">
            <v>134.41999999999999</v>
          </cell>
          <cell r="H1128">
            <v>0</v>
          </cell>
        </row>
        <row r="1129">
          <cell r="C1129" t="str">
            <v>8.10.2</v>
          </cell>
          <cell r="D1129" t="str">
            <v>FORNECIMENTO</v>
          </cell>
          <cell r="E1129"/>
          <cell r="F1129"/>
          <cell r="G1129">
            <v>6401.4313453614677</v>
          </cell>
          <cell r="H1129">
            <v>0</v>
          </cell>
        </row>
        <row r="1130">
          <cell r="C1130" t="str">
            <v>8.10.2.1</v>
          </cell>
          <cell r="D1130" t="str">
            <v xml:space="preserve">Curva 22º30' , Com Bolsas, Junta Elástica, Ferro Dúctil, Ø400 Mm.  </v>
          </cell>
          <cell r="E1130" t="str">
            <v>un</v>
          </cell>
          <cell r="F1130"/>
          <cell r="G1130">
            <v>774.94</v>
          </cell>
          <cell r="H1130">
            <v>0</v>
          </cell>
        </row>
        <row r="1131">
          <cell r="C1131" t="str">
            <v>8.10.2.2</v>
          </cell>
          <cell r="D1131" t="str">
            <v>Redução Com Ponta E Bolsa, Junta Elástica, Ferro Dúctil, Ø600 X 400 Mm.</v>
          </cell>
          <cell r="E1131" t="str">
            <v>un</v>
          </cell>
          <cell r="F1131"/>
          <cell r="G1131">
            <v>1308.27</v>
          </cell>
          <cell r="H1131">
            <v>0</v>
          </cell>
        </row>
        <row r="1132">
          <cell r="C1132" t="str">
            <v>8.10.2.3</v>
          </cell>
          <cell r="D1132" t="str">
            <v>Cruzeta Com Bolsas, Junta Elástica, Ferro Dúctil, Ø600 X 400 Mm</v>
          </cell>
          <cell r="E1132" t="str">
            <v>un</v>
          </cell>
          <cell r="F1132"/>
          <cell r="G1132">
            <v>3338.18</v>
          </cell>
          <cell r="H1132">
            <v>0</v>
          </cell>
        </row>
        <row r="1133">
          <cell r="C1133" t="str">
            <v>8.10.2.4</v>
          </cell>
          <cell r="D1133" t="str">
            <v>Tubo De Ferro Dúctil, Com Ponta E Bolsa, Junta Elástica, Classe K7, Ø400 Mm.</v>
          </cell>
          <cell r="E1133" t="str">
            <v>m</v>
          </cell>
          <cell r="F1133"/>
          <cell r="G1133">
            <v>251.77</v>
          </cell>
          <cell r="H1133">
            <v>0</v>
          </cell>
        </row>
        <row r="1134">
          <cell r="C1134" t="str">
            <v>8.10.2.5</v>
          </cell>
          <cell r="D1134" t="str">
            <v>Extremidade Flange E Bolsa, Junta Elástica, Ferro Dúctil, Ø400 Mm.</v>
          </cell>
          <cell r="E1134" t="str">
            <v>un</v>
          </cell>
          <cell r="F1134"/>
          <cell r="G1134">
            <v>492.69</v>
          </cell>
          <cell r="H1134">
            <v>0</v>
          </cell>
        </row>
        <row r="1135">
          <cell r="C1135" t="str">
            <v>8.10.2.6</v>
          </cell>
          <cell r="D1135" t="str">
            <v>Flange Cego, Ferro Dúctil,  Ø400 Mm</v>
          </cell>
          <cell r="E1135" t="str">
            <v>un</v>
          </cell>
          <cell r="F1135"/>
          <cell r="G1135">
            <v>41.09</v>
          </cell>
          <cell r="H1135">
            <v>0</v>
          </cell>
        </row>
        <row r="1136">
          <cell r="C1136" t="str">
            <v>8.10.2.7</v>
          </cell>
          <cell r="D1136" t="str">
            <v>Acessórios para flanges Ø400mm</v>
          </cell>
          <cell r="E1136" t="str">
            <v>un</v>
          </cell>
          <cell r="F1136"/>
          <cell r="G1136">
            <v>194.49134536146815</v>
          </cell>
          <cell r="H1136">
            <v>0</v>
          </cell>
        </row>
        <row r="1137">
          <cell r="C1137" t="str">
            <v>9.1</v>
          </cell>
          <cell r="D1137" t="str">
            <v>9 - ESTAÇÃO DE BOMBEAMENTO</v>
          </cell>
          <cell r="E1137"/>
          <cell r="F1137"/>
          <cell r="G1137"/>
          <cell r="H1137">
            <v>0</v>
          </cell>
        </row>
        <row r="1138">
          <cell r="C1138" t="str">
            <v>9.1.01</v>
          </cell>
          <cell r="D1138" t="str">
            <v>OBRAS CIVIS E MONTAGEM</v>
          </cell>
          <cell r="E1138"/>
          <cell r="F1138"/>
          <cell r="G1138"/>
          <cell r="H1138">
            <v>0</v>
          </cell>
        </row>
        <row r="1139">
          <cell r="C1139" t="str">
            <v>9.1.1</v>
          </cell>
          <cell r="D1139" t="str">
            <v>Cercas Com Estacas De Concreto Armado, Com 9 (Nove) Fios  De Arame Farpado</v>
          </cell>
          <cell r="E1139" t="str">
            <v>m</v>
          </cell>
          <cell r="F1139"/>
          <cell r="G1139">
            <v>19.05</v>
          </cell>
          <cell r="H1139">
            <v>0</v>
          </cell>
        </row>
        <row r="1140">
          <cell r="C1140" t="str">
            <v>9.1.2</v>
          </cell>
          <cell r="D1140" t="str">
            <v>Desmatamento, Destocamento E Limpeza De Terreno</v>
          </cell>
          <cell r="E1140" t="str">
            <v>ha</v>
          </cell>
          <cell r="F1140"/>
          <cell r="G1140">
            <v>1660.74</v>
          </cell>
          <cell r="H1140">
            <v>0</v>
          </cell>
        </row>
        <row r="1141">
          <cell r="C1141" t="str">
            <v>9.1.3</v>
          </cell>
          <cell r="D1141" t="str">
            <v>Escavação Mecânica Em Material De 1ª Categoria, Dmt &lt;= 300 M</v>
          </cell>
          <cell r="E1141" t="str">
            <v>m³</v>
          </cell>
          <cell r="F1141"/>
          <cell r="G1141">
            <v>5.54</v>
          </cell>
          <cell r="H1141">
            <v>0</v>
          </cell>
        </row>
        <row r="1142">
          <cell r="C1142" t="str">
            <v>9.1.4</v>
          </cell>
          <cell r="D1142" t="str">
            <v>Escavação Mecânica Em Material De 1ª Categoria, Dmt &lt;= 300 M</v>
          </cell>
          <cell r="E1142" t="str">
            <v>m³</v>
          </cell>
          <cell r="F1142"/>
          <cell r="G1142">
            <v>5.54</v>
          </cell>
          <cell r="H1142">
            <v>0</v>
          </cell>
        </row>
        <row r="1143">
          <cell r="C1143" t="str">
            <v>9.1.5</v>
          </cell>
          <cell r="D1143" t="str">
            <v>Escavação Mecânica Em Material De 2ª Categoria, Dmt&lt;=300 M</v>
          </cell>
          <cell r="E1143" t="str">
            <v>m³</v>
          </cell>
          <cell r="F1143"/>
          <cell r="G1143">
            <v>5.91</v>
          </cell>
          <cell r="H1143">
            <v>0</v>
          </cell>
        </row>
        <row r="1144">
          <cell r="C1144" t="str">
            <v>9.1.6</v>
          </cell>
          <cell r="D1144" t="str">
            <v>Escavação Mecânica Em Material De 2ª Categoria, Dmt&lt;=300 M</v>
          </cell>
          <cell r="E1144" t="str">
            <v>m³</v>
          </cell>
          <cell r="F1144"/>
          <cell r="G1144">
            <v>5.91</v>
          </cell>
          <cell r="H1144">
            <v>0</v>
          </cell>
        </row>
        <row r="1145">
          <cell r="C1145" t="str">
            <v>9.1.7</v>
          </cell>
          <cell r="D1145" t="str">
            <v>Reaterro Compactado Com Reaproveitamento Do Material Escavado</v>
          </cell>
          <cell r="E1145" t="str">
            <v>m³</v>
          </cell>
          <cell r="F1145"/>
          <cell r="G1145">
            <v>7.41</v>
          </cell>
          <cell r="H1145">
            <v>0</v>
          </cell>
        </row>
        <row r="1146">
          <cell r="C1146" t="str">
            <v>9.1.8</v>
          </cell>
          <cell r="D1146" t="str">
            <v>Momento Extraordinário De Transporte, Para Material De 1ª Categoria</v>
          </cell>
          <cell r="E1146" t="str">
            <v>m³xkm</v>
          </cell>
          <cell r="F1146"/>
          <cell r="G1146">
            <v>1.1499999999999999</v>
          </cell>
          <cell r="H1146">
            <v>0</v>
          </cell>
        </row>
        <row r="1147">
          <cell r="C1147" t="str">
            <v>9.1.9</v>
          </cell>
          <cell r="D1147" t="str">
            <v>Preparo, Lançamento E Adensamento De Concreto  (Ca-7 A)</v>
          </cell>
          <cell r="E1147" t="str">
            <v>m³</v>
          </cell>
          <cell r="F1147"/>
          <cell r="G1147">
            <v>236.36</v>
          </cell>
          <cell r="H1147">
            <v>0</v>
          </cell>
        </row>
        <row r="1148">
          <cell r="C1148" t="str">
            <v>9.1.10</v>
          </cell>
          <cell r="D1148" t="str">
            <v>Preparo, Lançamento E Adensamento De Concreto  (Ca-4 B)</v>
          </cell>
          <cell r="E1148" t="str">
            <v>m³</v>
          </cell>
          <cell r="F1148"/>
          <cell r="G1148">
            <v>284.41000000000003</v>
          </cell>
          <cell r="H1148">
            <v>0</v>
          </cell>
        </row>
        <row r="1149">
          <cell r="C1149" t="str">
            <v>9.1.11</v>
          </cell>
          <cell r="D1149" t="str">
            <v>Escoramento De Estacas, Pranchas Cravadas, Mad. Aço, Prof. Até 5,0 M</v>
          </cell>
          <cell r="E1149" t="str">
            <v>m²</v>
          </cell>
          <cell r="F1149"/>
          <cell r="G1149">
            <v>39.520000000000003</v>
          </cell>
          <cell r="H1149">
            <v>0</v>
          </cell>
        </row>
        <row r="1150">
          <cell r="C1150" t="str">
            <v>9.1.12</v>
          </cell>
          <cell r="D1150" t="str">
            <v>Formas Planas Para Concreto</v>
          </cell>
          <cell r="E1150" t="str">
            <v>m²</v>
          </cell>
          <cell r="F1150"/>
          <cell r="G1150">
            <v>53.52</v>
          </cell>
          <cell r="H1150">
            <v>0</v>
          </cell>
        </row>
        <row r="1151">
          <cell r="C1151" t="str">
            <v>9.1.13</v>
          </cell>
          <cell r="D1151" t="str">
            <v>Armadura Para Concreto Estrutural Aço Ca-50B</v>
          </cell>
          <cell r="E1151" t="str">
            <v xml:space="preserve"> kg</v>
          </cell>
          <cell r="F1151"/>
          <cell r="G1151">
            <v>3.87</v>
          </cell>
          <cell r="H1151">
            <v>0</v>
          </cell>
        </row>
        <row r="1152">
          <cell r="C1152" t="str">
            <v>9.1.14</v>
          </cell>
          <cell r="D1152" t="str">
            <v>Alvenaria De Tijolo Cerâmico, 10Cmx20Cmx20Cm, Espes.= De 15Cm</v>
          </cell>
          <cell r="E1152" t="str">
            <v>m²</v>
          </cell>
          <cell r="F1152"/>
          <cell r="G1152">
            <v>32.79</v>
          </cell>
          <cell r="H1152">
            <v>0</v>
          </cell>
        </row>
        <row r="1153">
          <cell r="C1153" t="str">
            <v>9.1.15</v>
          </cell>
          <cell r="D1153" t="str">
            <v>Concreto Betuminoso Usinado A Quente</v>
          </cell>
          <cell r="E1153" t="str">
            <v>t</v>
          </cell>
          <cell r="F1153"/>
          <cell r="G1153">
            <v>211.92</v>
          </cell>
          <cell r="H1153">
            <v>0</v>
          </cell>
        </row>
        <row r="1154">
          <cell r="C1154" t="str">
            <v>9.1.16</v>
          </cell>
          <cell r="D1154" t="str">
            <v>Chapisco</v>
          </cell>
          <cell r="E1154" t="str">
            <v>m²</v>
          </cell>
          <cell r="F1154"/>
          <cell r="G1154">
            <v>8.77</v>
          </cell>
          <cell r="H1154">
            <v>0</v>
          </cell>
        </row>
        <row r="1155">
          <cell r="C1155" t="str">
            <v>9.1.17</v>
          </cell>
          <cell r="D1155" t="str">
            <v>Base De Macadame Betuminoso Para Asfalto</v>
          </cell>
          <cell r="E1155" t="str">
            <v>m³</v>
          </cell>
          <cell r="F1155"/>
          <cell r="G1155">
            <v>512.14</v>
          </cell>
          <cell r="H1155">
            <v>0</v>
          </cell>
        </row>
        <row r="1156">
          <cell r="C1156" t="str">
            <v>9.1.18</v>
          </cell>
          <cell r="D1156" t="str">
            <v>Piso Tipo Plurigoma Cor Preta</v>
          </cell>
          <cell r="E1156" t="str">
            <v>m²</v>
          </cell>
          <cell r="F1156"/>
          <cell r="G1156">
            <v>81.17</v>
          </cell>
          <cell r="H1156">
            <v>0</v>
          </cell>
        </row>
        <row r="1157">
          <cell r="C1157" t="str">
            <v>9.1.19</v>
          </cell>
          <cell r="D1157" t="str">
            <v>Piso Cimentado</v>
          </cell>
          <cell r="E1157" t="str">
            <v>m²</v>
          </cell>
          <cell r="F1157"/>
          <cell r="G1157">
            <v>14.97</v>
          </cell>
          <cell r="H1157">
            <v>0</v>
          </cell>
        </row>
        <row r="1158">
          <cell r="C1158" t="str">
            <v>9.1.20</v>
          </cell>
          <cell r="D1158" t="str">
            <v>Porta De Ferro Para Acesso</v>
          </cell>
          <cell r="E1158" t="str">
            <v>m²</v>
          </cell>
          <cell r="F1158"/>
          <cell r="G1158">
            <v>483.6</v>
          </cell>
          <cell r="H1158">
            <v>0</v>
          </cell>
        </row>
        <row r="1159">
          <cell r="C1159" t="str">
            <v>9.1.21</v>
          </cell>
          <cell r="D1159" t="str">
            <v>Passeio Cimentado (Calçada), Sob Base Concreto</v>
          </cell>
          <cell r="E1159" t="str">
            <v>m²</v>
          </cell>
          <cell r="F1159"/>
          <cell r="G1159">
            <v>22.08</v>
          </cell>
          <cell r="H1159">
            <v>0</v>
          </cell>
        </row>
        <row r="1160">
          <cell r="C1160" t="str">
            <v>9.1.22</v>
          </cell>
          <cell r="D1160" t="str">
            <v>Fabricação, Montagem, Acabamento E Pintura De Guarda-Corpo Em Tubo Galvanizado, Ø 2"</v>
          </cell>
          <cell r="E1160" t="str">
            <v>m</v>
          </cell>
          <cell r="F1160"/>
          <cell r="G1160">
            <v>90.52</v>
          </cell>
          <cell r="H1160">
            <v>0</v>
          </cell>
        </row>
        <row r="1161">
          <cell r="C1161" t="str">
            <v>9.1.23</v>
          </cell>
          <cell r="D1161" t="str">
            <v>Fabricação E Instalação De Escada Tipo Marinheiro, Com Chapa , Espes.= ¼"</v>
          </cell>
          <cell r="E1161" t="str">
            <v>m</v>
          </cell>
          <cell r="F1161"/>
          <cell r="G1161">
            <v>77.069999999999993</v>
          </cell>
          <cell r="H1161">
            <v>0</v>
          </cell>
        </row>
        <row r="1162">
          <cell r="C1162" t="str">
            <v>9.1.24</v>
          </cell>
          <cell r="D1162" t="str">
            <v>Porta Em Esquadria De Madeira, Pintura Acrílica Cor Cinza</v>
          </cell>
          <cell r="E1162" t="str">
            <v>m²</v>
          </cell>
          <cell r="F1162"/>
          <cell r="G1162">
            <v>272.47000000000003</v>
          </cell>
          <cell r="H1162">
            <v>0</v>
          </cell>
        </row>
        <row r="1163">
          <cell r="C1163" t="str">
            <v>9.1.25</v>
          </cell>
          <cell r="D1163" t="str">
            <v>Porta,  2 Folhas, Em Chapa Galvanizada Nº 16, Lisa, Com Proteção Contra Oxidação E Anti-Corrosivo</v>
          </cell>
          <cell r="E1163" t="str">
            <v>m²</v>
          </cell>
          <cell r="F1163"/>
          <cell r="G1163">
            <v>301.31</v>
          </cell>
          <cell r="H1163">
            <v>0</v>
          </cell>
        </row>
        <row r="1164">
          <cell r="C1164" t="str">
            <v>9.1.26</v>
          </cell>
          <cell r="D1164" t="str">
            <v>Janela Em Esquadria Alumínio Anodizado Natural, Vidro Liso</v>
          </cell>
          <cell r="E1164" t="str">
            <v>m²</v>
          </cell>
          <cell r="F1164"/>
          <cell r="G1164">
            <v>507.36</v>
          </cell>
          <cell r="H1164">
            <v>0</v>
          </cell>
        </row>
        <row r="1165">
          <cell r="C1165" t="str">
            <v>9.1.27</v>
          </cell>
          <cell r="D1165" t="str">
            <v>Veneziana Horizontal Em Alumínio Anodizado Natural</v>
          </cell>
          <cell r="E1165" t="str">
            <v>m²</v>
          </cell>
          <cell r="F1165"/>
          <cell r="G1165">
            <v>354.86</v>
          </cell>
          <cell r="H1165">
            <v>0</v>
          </cell>
        </row>
        <row r="1166">
          <cell r="C1166" t="str">
            <v>9.1.28</v>
          </cell>
          <cell r="D1166" t="str">
            <v>Cobogó De Concreto</v>
          </cell>
          <cell r="E1166" t="str">
            <v>m²</v>
          </cell>
          <cell r="F1166"/>
          <cell r="G1166">
            <v>44.81</v>
          </cell>
          <cell r="H1166">
            <v>0</v>
          </cell>
        </row>
        <row r="1167">
          <cell r="C1167" t="str">
            <v>9.1.29</v>
          </cell>
          <cell r="D1167" t="str">
            <v xml:space="preserve">Painel De Vidro Liso Fixo </v>
          </cell>
          <cell r="E1167" t="str">
            <v>m²</v>
          </cell>
          <cell r="F1167"/>
          <cell r="G1167">
            <v>216.44</v>
          </cell>
          <cell r="H1167">
            <v>0</v>
          </cell>
        </row>
        <row r="1168">
          <cell r="C1168" t="str">
            <v>9.1.30</v>
          </cell>
          <cell r="D1168" t="str">
            <v>Vaso Sanitário Com Caixa Acoplada</v>
          </cell>
          <cell r="E1168" t="str">
            <v>un</v>
          </cell>
          <cell r="F1168"/>
          <cell r="G1168">
            <v>263.32</v>
          </cell>
          <cell r="H1168">
            <v>0</v>
          </cell>
        </row>
        <row r="1169">
          <cell r="C1169" t="str">
            <v>9.1.31</v>
          </cell>
          <cell r="D1169" t="str">
            <v>Lavatório Para Sanitário</v>
          </cell>
          <cell r="E1169" t="str">
            <v>un</v>
          </cell>
          <cell r="F1169"/>
          <cell r="G1169">
            <v>127.7</v>
          </cell>
          <cell r="H1169">
            <v>0</v>
          </cell>
        </row>
        <row r="1170">
          <cell r="C1170" t="str">
            <v>9.1.32</v>
          </cell>
          <cell r="D1170" t="str">
            <v>Chuveiro Para Sanitário</v>
          </cell>
          <cell r="E1170" t="str">
            <v>un</v>
          </cell>
          <cell r="F1170"/>
          <cell r="G1170">
            <v>52.09</v>
          </cell>
          <cell r="H1170">
            <v>0</v>
          </cell>
        </row>
        <row r="1171">
          <cell r="C1171" t="str">
            <v>9.1.33</v>
          </cell>
          <cell r="D1171" t="str">
            <v>Pia Para Copa (1,20 Mx0,60 M)</v>
          </cell>
          <cell r="E1171" t="str">
            <v>un</v>
          </cell>
          <cell r="F1171"/>
          <cell r="G1171">
            <v>387.22</v>
          </cell>
          <cell r="H1171">
            <v>0</v>
          </cell>
        </row>
        <row r="1172">
          <cell r="C1172" t="str">
            <v>9.1.34</v>
          </cell>
          <cell r="D1172" t="str">
            <v>Caixa D'Água (1,612 Mx1,062 Mx0,74 M) - Capac. 1000L</v>
          </cell>
          <cell r="E1172" t="str">
            <v>un</v>
          </cell>
          <cell r="F1172"/>
          <cell r="G1172">
            <v>556.29</v>
          </cell>
          <cell r="H1172">
            <v>0</v>
          </cell>
        </row>
        <row r="1173">
          <cell r="C1173" t="str">
            <v>9.1.35</v>
          </cell>
          <cell r="D1173" t="str">
            <v>Azulejo Branco 0,15X0,15 M</v>
          </cell>
          <cell r="E1173" t="str">
            <v>m²</v>
          </cell>
          <cell r="F1173"/>
          <cell r="G1173">
            <v>55.85</v>
          </cell>
          <cell r="H1173">
            <v>0</v>
          </cell>
        </row>
        <row r="1174">
          <cell r="C1174" t="str">
            <v>9.1.36</v>
          </cell>
          <cell r="D1174" t="str">
            <v>Escada Metálica, Chapa ¼", Com Corrimão 0,85 M Altura</v>
          </cell>
          <cell r="E1174" t="str">
            <v>m</v>
          </cell>
          <cell r="F1174"/>
          <cell r="G1174">
            <v>77.069999999999993</v>
          </cell>
          <cell r="H1174">
            <v>0</v>
          </cell>
        </row>
        <row r="1175">
          <cell r="C1175" t="str">
            <v>9.1.37</v>
          </cell>
          <cell r="D1175" t="str">
            <v>Plantio De Grama E Jardinagem</v>
          </cell>
          <cell r="E1175" t="str">
            <v>m²</v>
          </cell>
          <cell r="F1175"/>
          <cell r="G1175">
            <v>4.79</v>
          </cell>
          <cell r="H1175">
            <v>0</v>
          </cell>
        </row>
        <row r="1176">
          <cell r="C1176" t="str">
            <v>9.1.38</v>
          </cell>
          <cell r="D1176" t="str">
            <v>Chapa Xadrez 0,50 Mx0,50 Mx¼"</v>
          </cell>
          <cell r="E1176" t="str">
            <v>un</v>
          </cell>
          <cell r="F1176"/>
          <cell r="G1176">
            <v>41.92</v>
          </cell>
          <cell r="H1176">
            <v>0</v>
          </cell>
        </row>
        <row r="1177">
          <cell r="C1177" t="str">
            <v>9.1.39</v>
          </cell>
          <cell r="D1177" t="str">
            <v>Grade De Piso 1,00X2,50X‘¼"</v>
          </cell>
          <cell r="E1177" t="str">
            <v>un</v>
          </cell>
          <cell r="F1177"/>
          <cell r="G1177">
            <v>419.22</v>
          </cell>
          <cell r="H1177">
            <v>0</v>
          </cell>
        </row>
        <row r="1178">
          <cell r="C1178" t="str">
            <v>9.1.40</v>
          </cell>
          <cell r="D1178" t="str">
            <v>Cobertura Com Telha Tipo Canelete 90</v>
          </cell>
          <cell r="E1178" t="str">
            <v>m²</v>
          </cell>
          <cell r="F1178"/>
          <cell r="G1178">
            <v>122.91</v>
          </cell>
          <cell r="H1178">
            <v>0</v>
          </cell>
        </row>
        <row r="1179">
          <cell r="C1179" t="str">
            <v>9.1.41</v>
          </cell>
          <cell r="D1179" t="str">
            <v>Montagem De Conj. Motobomba Horizontal Com Motor De Indução, Tipo Gaiola, Trifásico, 380V , Inst. Abrigada Q=275L/S H=61,8 M</v>
          </cell>
          <cell r="E1179" t="str">
            <v>un</v>
          </cell>
          <cell r="F1179"/>
          <cell r="G1179">
            <v>2649.02</v>
          </cell>
          <cell r="H1179">
            <v>0</v>
          </cell>
        </row>
        <row r="1180">
          <cell r="C1180" t="str">
            <v>9.1.42</v>
          </cell>
          <cell r="D1180" t="str">
            <v>Montagem De Conj. Motobomba Horizontal Com Motor De Indução, Tipo Gaiola, Trifásico, 380V , Inst. Abrigada Q=138L/S H=61,8 M</v>
          </cell>
          <cell r="E1180" t="str">
            <v>un</v>
          </cell>
          <cell r="F1180"/>
          <cell r="G1180">
            <v>1589.41</v>
          </cell>
          <cell r="H1180">
            <v>0</v>
          </cell>
        </row>
        <row r="1181">
          <cell r="C1181" t="str">
            <v>9.1.43</v>
          </cell>
          <cell r="D1181" t="str">
            <v>Montagem De Conj. Motobomba Horizontal Com Motor De Indução, Tipo Gaiola, Trifásico, 380V , Inst. Abrigada Q=69L/S H=61,8 M</v>
          </cell>
          <cell r="E1181" t="str">
            <v>un</v>
          </cell>
          <cell r="F1181"/>
          <cell r="G1181">
            <v>794.7</v>
          </cell>
          <cell r="H1181">
            <v>0</v>
          </cell>
        </row>
        <row r="1182">
          <cell r="C1182" t="str">
            <v>9.1.44</v>
          </cell>
          <cell r="D1182" t="str">
            <v>Montagem De Conj. Motobomba De Drenagem, Motor Trifásico 380V, Q=5 M³/H, H=10 M</v>
          </cell>
          <cell r="E1182" t="str">
            <v>un</v>
          </cell>
          <cell r="F1182"/>
          <cell r="G1182">
            <v>529.79999999999995</v>
          </cell>
          <cell r="H1182">
            <v>0</v>
          </cell>
        </row>
        <row r="1183">
          <cell r="C1183" t="str">
            <v>9.1.45</v>
          </cell>
          <cell r="D1183" t="str">
            <v>Montagem De Conj. Motobomba De Drenagem, Motor Trifásico 380V, Q=40 M³/H, H=6 M</v>
          </cell>
          <cell r="E1183" t="str">
            <v>un</v>
          </cell>
          <cell r="F1183"/>
          <cell r="G1183">
            <v>794.7</v>
          </cell>
          <cell r="H1183">
            <v>0</v>
          </cell>
        </row>
        <row r="1184">
          <cell r="C1184" t="str">
            <v>9.1.46</v>
          </cell>
          <cell r="D1184" t="str">
            <v>Montagem Ponte Rolante Mecânica, Vão De 5,7 M, Capacidade 5 Ton, Talha 8,5 M</v>
          </cell>
          <cell r="E1184" t="str">
            <v>un</v>
          </cell>
          <cell r="F1184"/>
          <cell r="G1184">
            <v>2649.02</v>
          </cell>
          <cell r="H1184">
            <v>0</v>
          </cell>
        </row>
        <row r="1185">
          <cell r="C1185" t="str">
            <v>9.1.47</v>
          </cell>
          <cell r="D1185" t="str">
            <v>Montagem Conj. Filtro Rotativo, Completo, Motobomba, 380V, Mecanismo Comando D/L=2400/3350</v>
          </cell>
          <cell r="E1185" t="str">
            <v>un</v>
          </cell>
          <cell r="F1185"/>
          <cell r="G1185">
            <v>759.38</v>
          </cell>
          <cell r="H1185">
            <v>0</v>
          </cell>
        </row>
        <row r="1186">
          <cell r="C1186" t="str">
            <v>9.1.48</v>
          </cell>
          <cell r="D1186" t="str">
            <v>Montagem Redução Concêntrica Aço Carbono, Esp. ¼", Ø450 Mm Flange, Ø 300 Mm, Peso ±  201 Kg</v>
          </cell>
          <cell r="E1186" t="str">
            <v>un</v>
          </cell>
          <cell r="F1186"/>
          <cell r="G1186">
            <v>315.92</v>
          </cell>
          <cell r="H1186">
            <v>0</v>
          </cell>
        </row>
        <row r="1187">
          <cell r="C1187" t="str">
            <v>9.1.49</v>
          </cell>
          <cell r="D1187" t="str">
            <v>Montagem Redução Concêntrica Aço Carbono, Esp. ¼", Ø350 Mm Flange, Ø200 Mm, Peso ± 59 Kg</v>
          </cell>
          <cell r="E1187" t="str">
            <v>un</v>
          </cell>
          <cell r="F1187"/>
          <cell r="G1187">
            <v>92.73</v>
          </cell>
          <cell r="H1187">
            <v>0</v>
          </cell>
        </row>
        <row r="1188">
          <cell r="C1188" t="str">
            <v>9.1.50</v>
          </cell>
          <cell r="D1188" t="str">
            <v>Montagem Redução Concêntrica Aço Carbono, Esp. ¼", Ø200 Mm Flange, Ø150 Mm, Peso ±  32,5 Kg</v>
          </cell>
          <cell r="E1188" t="str">
            <v>un</v>
          </cell>
          <cell r="F1188"/>
          <cell r="G1188">
            <v>51.06</v>
          </cell>
          <cell r="H1188">
            <v>0</v>
          </cell>
        </row>
        <row r="1189">
          <cell r="C1189" t="str">
            <v>9.1.51</v>
          </cell>
          <cell r="D1189" t="str">
            <v>Montagem Redução Excêntrica Aço Carbono, Esp. ¼", Ø500 Mm Flange, Ø350 Mm, L=0,9 M, Peso  78 Kg</v>
          </cell>
          <cell r="E1189" t="str">
            <v>un</v>
          </cell>
          <cell r="F1189"/>
          <cell r="G1189">
            <v>122.59</v>
          </cell>
          <cell r="H1189">
            <v>0</v>
          </cell>
        </row>
        <row r="1190">
          <cell r="C1190" t="str">
            <v>9.1.52</v>
          </cell>
          <cell r="D1190" t="str">
            <v>Montagem Redução Excêntrica Aço Carbono, Esp. ¼", Ø350 Mm Flange, Ø200 Mm, L=0,9 M, Peso  52 Kg</v>
          </cell>
          <cell r="E1190" t="str">
            <v>un</v>
          </cell>
          <cell r="F1190"/>
          <cell r="G1190">
            <v>81.73</v>
          </cell>
          <cell r="H1190">
            <v>0</v>
          </cell>
        </row>
        <row r="1191">
          <cell r="C1191" t="str">
            <v>9.1.53</v>
          </cell>
          <cell r="D1191" t="str">
            <v>Montagem Redução Excêntrica Aço Carbono, Esp. ¼", Ø250 Mm Flange, Ø200 Mm, L=0,9 M, Peso  43 Kg</v>
          </cell>
          <cell r="E1191" t="str">
            <v>un</v>
          </cell>
          <cell r="F1191"/>
          <cell r="G1191">
            <v>67.58</v>
          </cell>
          <cell r="H1191">
            <v>0</v>
          </cell>
        </row>
        <row r="1192">
          <cell r="C1192" t="str">
            <v>9.1.54</v>
          </cell>
          <cell r="D1192" t="str">
            <v>Montagem Toco Flangeado Aba De Vedação Aço Carbono, Esp. ¼", Ø700 Mm, L=0,70 M, Peso ±  154 Kg</v>
          </cell>
          <cell r="E1192" t="str">
            <v>un</v>
          </cell>
          <cell r="F1192"/>
          <cell r="G1192">
            <v>242.04</v>
          </cell>
          <cell r="H1192">
            <v>0</v>
          </cell>
        </row>
        <row r="1193">
          <cell r="C1193" t="str">
            <v>9.1.55</v>
          </cell>
          <cell r="D1193" t="str">
            <v>Montagem Toco Flangeado Com Aba Vedação Aço Carbono Esp. ¼", Ø500 Mm, L=0,70 M, Peso ±110 Kg</v>
          </cell>
          <cell r="E1193" t="str">
            <v>un</v>
          </cell>
          <cell r="F1193"/>
          <cell r="G1193">
            <v>172.88</v>
          </cell>
          <cell r="H1193">
            <v>0</v>
          </cell>
        </row>
        <row r="1194">
          <cell r="C1194" t="str">
            <v>9.1.56</v>
          </cell>
          <cell r="D1194" t="str">
            <v>Montagem Toco Flangeado Com Aba Vedação Aço Carbono Esp. ¼", Ø350 Mm, L=0,70 M, Peso ±  73 Kg</v>
          </cell>
          <cell r="E1194" t="str">
            <v>un</v>
          </cell>
          <cell r="F1194"/>
          <cell r="G1194">
            <v>114.74</v>
          </cell>
          <cell r="H1194">
            <v>0</v>
          </cell>
        </row>
        <row r="1195">
          <cell r="C1195" t="str">
            <v>9.1.57</v>
          </cell>
          <cell r="D1195" t="str">
            <v>Montagem Toco Flangeado Com Aba  Vedação Aço Carbono Esp. ¼", Ø250 Mm, L=0,70 M, Peso ±  48 Kg</v>
          </cell>
          <cell r="E1195" t="str">
            <v>un</v>
          </cell>
          <cell r="F1195"/>
          <cell r="G1195">
            <v>75.44</v>
          </cell>
          <cell r="H1195">
            <v>0</v>
          </cell>
        </row>
        <row r="1196">
          <cell r="C1196" t="str">
            <v>9.1.58</v>
          </cell>
          <cell r="D1196" t="str">
            <v>Montagem Curva 90º Flange/Ponta, Em Aço Carbono, Esp. ¼", Ø500 Mm, Peso ±  158 Kg</v>
          </cell>
          <cell r="E1196" t="str">
            <v>un</v>
          </cell>
          <cell r="F1196"/>
          <cell r="G1196">
            <v>248.33</v>
          </cell>
          <cell r="H1196">
            <v>0</v>
          </cell>
        </row>
        <row r="1197">
          <cell r="C1197" t="str">
            <v>9.1.59</v>
          </cell>
          <cell r="D1197" t="str">
            <v>Montagem Curva 90º Flange/Ponta, Em Aço Carbono, Esp. ¼", Ø350 Mm, Peso ±  102 Kg</v>
          </cell>
          <cell r="E1197" t="str">
            <v>un</v>
          </cell>
          <cell r="F1197"/>
          <cell r="G1197">
            <v>160.31</v>
          </cell>
          <cell r="H1197">
            <v>0</v>
          </cell>
        </row>
        <row r="1198">
          <cell r="C1198" t="str">
            <v>9.1.60</v>
          </cell>
          <cell r="D1198" t="str">
            <v>Montagem Curva 90º Flange/Ponta, Em Aço Carbono, Esp. ¼", Ø250 Mm, Peso ±  66 Kg</v>
          </cell>
          <cell r="E1198" t="str">
            <v>un</v>
          </cell>
          <cell r="F1198"/>
          <cell r="G1198">
            <v>103.73</v>
          </cell>
          <cell r="H1198">
            <v>0</v>
          </cell>
        </row>
        <row r="1199">
          <cell r="C1199" t="str">
            <v>9.1.61</v>
          </cell>
          <cell r="D1199" t="str">
            <v>Montagem Curva 45º Flange/Ponta, Em Aço Carbono, Esp. ¼", Ø700 Mm, Peso ±  110 Kg</v>
          </cell>
          <cell r="E1199" t="str">
            <v>un</v>
          </cell>
          <cell r="F1199"/>
          <cell r="G1199">
            <v>172.88</v>
          </cell>
          <cell r="H1199">
            <v>0</v>
          </cell>
        </row>
        <row r="1200">
          <cell r="C1200" t="str">
            <v>9.1.62</v>
          </cell>
          <cell r="D1200" t="str">
            <v>Montagem Curva 90º Flange/Ponta, Em Aço Carbono, Esp. ¼", Ø450 Mm, Peso ±  110 Kg</v>
          </cell>
          <cell r="E1200" t="str">
            <v>un</v>
          </cell>
          <cell r="F1200"/>
          <cell r="G1200">
            <v>172.88</v>
          </cell>
          <cell r="H1200">
            <v>0</v>
          </cell>
        </row>
        <row r="1201">
          <cell r="C1201" t="str">
            <v>9.1.63</v>
          </cell>
          <cell r="D1201" t="str">
            <v>Montagem Curva 90º Flange/Ponta, Em Aço Carbono, Esp. ¼", Ø350 Mm, Peso ±  63 Kg</v>
          </cell>
          <cell r="E1201" t="str">
            <v>un</v>
          </cell>
          <cell r="F1201"/>
          <cell r="G1201">
            <v>99.02</v>
          </cell>
          <cell r="H1201">
            <v>0</v>
          </cell>
        </row>
        <row r="1202">
          <cell r="C1202" t="str">
            <v>9.1.64</v>
          </cell>
          <cell r="D1202" t="str">
            <v>Montagem Curva 90º Flange/Ponta, Em Aço Carbono, Esp. ¼", Ø200 Mm, Peso ±  31 Kg</v>
          </cell>
          <cell r="E1202" t="str">
            <v>un</v>
          </cell>
          <cell r="F1202"/>
          <cell r="G1202">
            <v>48.71</v>
          </cell>
          <cell r="H1202">
            <v>0</v>
          </cell>
        </row>
        <row r="1203">
          <cell r="C1203" t="str">
            <v>9.1.65</v>
          </cell>
          <cell r="D1203" t="str">
            <v>Montagem Junta De Expansão Metálica Ø1000 Mm, C/Deslocamento Máximo De 50 Mm</v>
          </cell>
          <cell r="E1203" t="str">
            <v>un</v>
          </cell>
          <cell r="F1203"/>
          <cell r="G1203">
            <v>1483.45</v>
          </cell>
          <cell r="H1203">
            <v>0</v>
          </cell>
        </row>
        <row r="1204">
          <cell r="C1204" t="str">
            <v>9.1.66</v>
          </cell>
          <cell r="D1204" t="str">
            <v>Montagem Junta Dresser Ø700 Mm</v>
          </cell>
          <cell r="E1204" t="str">
            <v>un</v>
          </cell>
          <cell r="F1204"/>
          <cell r="G1204">
            <v>900.66</v>
          </cell>
          <cell r="H1204">
            <v>0</v>
          </cell>
        </row>
        <row r="1205">
          <cell r="C1205" t="str">
            <v>9.1.67</v>
          </cell>
          <cell r="D1205" t="str">
            <v xml:space="preserve">Montagem Redução Concêntrica Ø1000 Mm/700 Mm Aço Carbono, Esp. 3/8", L=3,1 M, Peso ±  595 Kg    </v>
          </cell>
          <cell r="E1205" t="str">
            <v>un</v>
          </cell>
          <cell r="F1205"/>
          <cell r="G1205">
            <v>935.19</v>
          </cell>
          <cell r="H1205">
            <v>0</v>
          </cell>
        </row>
        <row r="1206">
          <cell r="C1206" t="str">
            <v>9.1.68</v>
          </cell>
          <cell r="D1206" t="str">
            <v>Montagem Junta Dresser Ø200 Mm</v>
          </cell>
          <cell r="E1206" t="str">
            <v>un</v>
          </cell>
          <cell r="F1206"/>
          <cell r="G1206">
            <v>123.62</v>
          </cell>
          <cell r="H1206">
            <v>0</v>
          </cell>
        </row>
        <row r="1207">
          <cell r="C1207" t="str">
            <v>9.1.69</v>
          </cell>
          <cell r="D1207" t="str">
            <v>Montagem Junta Dresser Ø200 Mm, Atirantada</v>
          </cell>
          <cell r="E1207" t="str">
            <v>un</v>
          </cell>
          <cell r="F1207"/>
          <cell r="G1207">
            <v>132.44999999999999</v>
          </cell>
          <cell r="H1207">
            <v>0</v>
          </cell>
        </row>
        <row r="1208">
          <cell r="C1208" t="str">
            <v>9.1.70</v>
          </cell>
          <cell r="D1208" t="str">
            <v>Montagem Junta Dresser Ø350 Mm</v>
          </cell>
          <cell r="E1208" t="str">
            <v>un</v>
          </cell>
          <cell r="F1208"/>
          <cell r="G1208">
            <v>144.81</v>
          </cell>
          <cell r="H1208">
            <v>0</v>
          </cell>
        </row>
        <row r="1209">
          <cell r="C1209" t="str">
            <v>9.1.71</v>
          </cell>
          <cell r="D1209" t="str">
            <v>Montagem Junta Dresser Ø350 Mm, Atirantada</v>
          </cell>
          <cell r="E1209" t="str">
            <v>un</v>
          </cell>
          <cell r="F1209"/>
          <cell r="G1209">
            <v>167.77</v>
          </cell>
          <cell r="H1209">
            <v>0</v>
          </cell>
        </row>
        <row r="1210">
          <cell r="C1210" t="str">
            <v>9.1.72</v>
          </cell>
          <cell r="D1210" t="str">
            <v>Montagem Junta Dresser Ø450 Mm, Atirantada</v>
          </cell>
          <cell r="E1210" t="str">
            <v>un</v>
          </cell>
          <cell r="F1210"/>
          <cell r="G1210">
            <v>238.41</v>
          </cell>
          <cell r="H1210">
            <v>0</v>
          </cell>
        </row>
        <row r="1211">
          <cell r="C1211" t="str">
            <v>9.1.73</v>
          </cell>
          <cell r="D1211" t="str">
            <v>Montagem Válvula Borboleta Ø450 Mm</v>
          </cell>
          <cell r="E1211" t="str">
            <v>un</v>
          </cell>
          <cell r="F1211"/>
          <cell r="G1211">
            <v>396.07</v>
          </cell>
          <cell r="H1211">
            <v>0</v>
          </cell>
        </row>
        <row r="1212">
          <cell r="C1212" t="str">
            <v>9.1.74</v>
          </cell>
          <cell r="D1212" t="str">
            <v>Montagem Válvula Borboleta Ø350 Mm</v>
          </cell>
          <cell r="E1212" t="str">
            <v>un</v>
          </cell>
          <cell r="F1212"/>
          <cell r="G1212">
            <v>295.49</v>
          </cell>
          <cell r="H1212">
            <v>0</v>
          </cell>
        </row>
        <row r="1213">
          <cell r="C1213" t="str">
            <v>9.1.75</v>
          </cell>
          <cell r="D1213" t="str">
            <v>Montagem Válvula Borboleta Ø300 Mm</v>
          </cell>
          <cell r="E1213" t="str">
            <v>un</v>
          </cell>
          <cell r="F1213"/>
          <cell r="G1213">
            <v>271.91000000000003</v>
          </cell>
          <cell r="H1213">
            <v>0</v>
          </cell>
        </row>
        <row r="1214">
          <cell r="C1214" t="str">
            <v>9.1.76</v>
          </cell>
          <cell r="D1214" t="str">
            <v>Montagem Válvula Borboleta Ø200 Mm</v>
          </cell>
          <cell r="E1214" t="str">
            <v>un</v>
          </cell>
          <cell r="F1214"/>
          <cell r="G1214">
            <v>163.46</v>
          </cell>
          <cell r="H1214">
            <v>0</v>
          </cell>
        </row>
        <row r="1215">
          <cell r="C1215" t="str">
            <v>9.1.77</v>
          </cell>
          <cell r="D1215" t="str">
            <v>Montagem Válvula Borboleta Ø1000 Mm</v>
          </cell>
          <cell r="E1215" t="str">
            <v>un</v>
          </cell>
          <cell r="F1215"/>
          <cell r="G1215">
            <v>2200.4499999999998</v>
          </cell>
          <cell r="H1215">
            <v>0</v>
          </cell>
        </row>
        <row r="1216">
          <cell r="C1216" t="str">
            <v>9.1.78</v>
          </cell>
          <cell r="D1216" t="str">
            <v>Montagem Válvula Retenção De Portinhola Dupla Ø450 Mm</v>
          </cell>
          <cell r="E1216" t="str">
            <v>un</v>
          </cell>
          <cell r="F1216"/>
          <cell r="G1216">
            <v>477.81</v>
          </cell>
          <cell r="H1216">
            <v>0</v>
          </cell>
        </row>
        <row r="1217">
          <cell r="C1217" t="str">
            <v>9.1.79</v>
          </cell>
          <cell r="D1217" t="str">
            <v>Montagem Válvula Retenção De Portinhola Dupla Ø350 Mm</v>
          </cell>
          <cell r="E1217" t="str">
            <v>un</v>
          </cell>
          <cell r="F1217"/>
          <cell r="G1217">
            <v>279.77</v>
          </cell>
          <cell r="H1217">
            <v>0</v>
          </cell>
        </row>
        <row r="1218">
          <cell r="C1218" t="str">
            <v>9.1.80</v>
          </cell>
          <cell r="D1218" t="str">
            <v>Montagem Válvula Retenção De Portinhola Dupla Ø200 Mm</v>
          </cell>
          <cell r="E1218" t="str">
            <v>un</v>
          </cell>
          <cell r="F1218"/>
          <cell r="G1218">
            <v>55.01</v>
          </cell>
          <cell r="H1218">
            <v>0</v>
          </cell>
        </row>
        <row r="1219">
          <cell r="C1219" t="str">
            <v>9.1.81</v>
          </cell>
          <cell r="D1219" t="str">
            <v>Montagem Toco Com Flanges Em Aço Carbono, Ø350 Mm, L=0,90 M, Peso ±  73 Kg</v>
          </cell>
          <cell r="E1219" t="str">
            <v>un</v>
          </cell>
          <cell r="F1219"/>
          <cell r="G1219">
            <v>114.74</v>
          </cell>
          <cell r="H1219">
            <v>0</v>
          </cell>
        </row>
        <row r="1220">
          <cell r="C1220" t="str">
            <v>9.1.82</v>
          </cell>
          <cell r="D1220" t="str">
            <v>Montagem Toco Com Flanges Em Aço Carbono, Ø200 Mm, L=0,90 M, Peso ±  50 Kg</v>
          </cell>
          <cell r="E1220" t="str">
            <v>un</v>
          </cell>
          <cell r="F1220"/>
          <cell r="G1220">
            <v>78.58</v>
          </cell>
          <cell r="H1220">
            <v>0</v>
          </cell>
        </row>
        <row r="1221">
          <cell r="C1221" t="str">
            <v>9.1.83</v>
          </cell>
          <cell r="D1221" t="str">
            <v>Montagem Toco, Flange/Ponta Em Aço Carbono, Ø700 Mm, L=0,85 M, Peso ±  141,5 Kg</v>
          </cell>
          <cell r="E1221" t="str">
            <v>un</v>
          </cell>
          <cell r="F1221"/>
          <cell r="G1221">
            <v>222.39</v>
          </cell>
          <cell r="H1221">
            <v>0</v>
          </cell>
        </row>
        <row r="1222">
          <cell r="C1222" t="str">
            <v>9.1.84</v>
          </cell>
          <cell r="D1222" t="str">
            <v>Tubo Em Aço Carbono Com Pontas, Com Derivações, Espes.=3/8" Dn = 1.000 Mm (Conf. Desenho):</v>
          </cell>
          <cell r="E1222"/>
          <cell r="F1222"/>
          <cell r="G1222">
            <v>0</v>
          </cell>
          <cell r="H1222">
            <v>0</v>
          </cell>
        </row>
        <row r="1223">
          <cell r="C1223" t="str">
            <v>9.1.84.1</v>
          </cell>
          <cell r="D1223" t="str">
            <v>Montagem Tubo Astm-A 283C ¼"X1596X3171 Mm, Ø1000 Mm, Peso ±  252 Kg</v>
          </cell>
          <cell r="E1223" t="str">
            <v>un</v>
          </cell>
          <cell r="F1223"/>
          <cell r="G1223">
            <v>396.07</v>
          </cell>
          <cell r="H1223">
            <v>0</v>
          </cell>
        </row>
        <row r="1224">
          <cell r="C1224" t="str">
            <v>9.1.84.2</v>
          </cell>
          <cell r="D1224" t="str">
            <v>Montagem Tubo Astm-A 283C ¼"X2000X3171 Mm, Ø1000 Mm, Peso ±  316 Kg</v>
          </cell>
          <cell r="E1224" t="str">
            <v>un</v>
          </cell>
          <cell r="F1224"/>
          <cell r="G1224">
            <v>496.67</v>
          </cell>
          <cell r="H1224">
            <v>0</v>
          </cell>
        </row>
        <row r="1225">
          <cell r="C1225" t="str">
            <v>9.1.84.3</v>
          </cell>
          <cell r="D1225" t="str">
            <v>Montagem Tubo Astm-A 283C ¼"X1000X1600 Mm, Ø500 Mm, Peso ±  80 Kg</v>
          </cell>
          <cell r="E1225" t="str">
            <v>un</v>
          </cell>
          <cell r="F1225"/>
          <cell r="G1225">
            <v>125.74</v>
          </cell>
          <cell r="H1225">
            <v>0</v>
          </cell>
        </row>
        <row r="1226">
          <cell r="C1226" t="str">
            <v>9.1.84.4</v>
          </cell>
          <cell r="D1226" t="str">
            <v>Montagem Tubo Astm-A 283C ¼"X2500X3171 Mm, Ø1000 Mm, Peso ±  395 Kg</v>
          </cell>
          <cell r="E1226" t="str">
            <v>un</v>
          </cell>
          <cell r="F1226"/>
          <cell r="G1226">
            <v>620.84</v>
          </cell>
          <cell r="H1226">
            <v>0</v>
          </cell>
        </row>
        <row r="1227">
          <cell r="C1227" t="str">
            <v>9.1.84.5</v>
          </cell>
          <cell r="D1227" t="str">
            <v>Montagem Colarinho Astm-A 283C ¼"X600X1600 Mm, Peso ±  48 Kg</v>
          </cell>
          <cell r="E1227" t="str">
            <v>un</v>
          </cell>
          <cell r="F1227"/>
          <cell r="G1227">
            <v>75.44</v>
          </cell>
          <cell r="H1227">
            <v>0</v>
          </cell>
        </row>
        <row r="1228">
          <cell r="C1228" t="str">
            <v>9.1.85</v>
          </cell>
          <cell r="D1228" t="str">
            <v>Montagem Curva 15,54º,  ± 20 Kg</v>
          </cell>
          <cell r="E1228" t="str">
            <v>un</v>
          </cell>
          <cell r="F1228"/>
          <cell r="G1228">
            <v>31.43</v>
          </cell>
          <cell r="H1228">
            <v>0</v>
          </cell>
        </row>
        <row r="1229">
          <cell r="C1229" t="str">
            <v>9.1.86</v>
          </cell>
          <cell r="D1229" t="str">
            <v>Montagem Tubo Em Aço Carbono, Flange/Ponta, Ø1000 Mm, Esp. 3/8", L=3.100 M, Peso 734 Kg</v>
          </cell>
          <cell r="E1229" t="str">
            <v>un</v>
          </cell>
          <cell r="F1229"/>
          <cell r="G1229">
            <v>1153.6600000000001</v>
          </cell>
          <cell r="H1229">
            <v>0</v>
          </cell>
        </row>
        <row r="1230">
          <cell r="C1230" t="str">
            <v>9.1.87</v>
          </cell>
          <cell r="D1230" t="str">
            <v>Montagem Toco Em Aço Carbono Com Flange, Esp.=3/8", Ø700 Mm, L =0,895 M, Peso ± 183 Kg</v>
          </cell>
          <cell r="E1230" t="str">
            <v>un</v>
          </cell>
          <cell r="F1230"/>
          <cell r="G1230">
            <v>287.62</v>
          </cell>
          <cell r="H1230">
            <v>0</v>
          </cell>
        </row>
        <row r="1231">
          <cell r="C1231" t="str">
            <v>9.1.88</v>
          </cell>
          <cell r="D1231" t="str">
            <v>Montagem Toco Em Aço Carbono Com Flange, Esp.=1/4", Ø450  Mm, Peso ±  43 Kg, L = 0,40 M</v>
          </cell>
          <cell r="E1231" t="str">
            <v>un</v>
          </cell>
          <cell r="F1231"/>
          <cell r="G1231">
            <v>67.58</v>
          </cell>
          <cell r="H1231">
            <v>0</v>
          </cell>
        </row>
        <row r="1232">
          <cell r="C1232" t="str">
            <v>9.1.89</v>
          </cell>
          <cell r="D1232" t="str">
            <v>Montagem Toco Em Aço Carbono Com Flange, Esp.=1/4", Ø350 Mm, Peso ±  30 Kg, L = 0,36 M</v>
          </cell>
          <cell r="E1232" t="str">
            <v>un</v>
          </cell>
          <cell r="F1232"/>
          <cell r="G1232">
            <v>47.15</v>
          </cell>
          <cell r="H1232">
            <v>0</v>
          </cell>
        </row>
        <row r="1233">
          <cell r="C1233" t="str">
            <v>9.1.90</v>
          </cell>
          <cell r="D1233" t="str">
            <v>Montagem Toco Em Aço Carbono Com Flange, Esp.=1/4", Ø200 Mm, Peso ±  17 Kg, L = 0,35 M</v>
          </cell>
          <cell r="E1233" t="str">
            <v>un</v>
          </cell>
          <cell r="F1233"/>
          <cell r="G1233">
            <v>26.71</v>
          </cell>
          <cell r="H1233">
            <v>0</v>
          </cell>
        </row>
        <row r="1234">
          <cell r="C1234" t="str">
            <v>9.1.91</v>
          </cell>
          <cell r="D1234" t="str">
            <v>Montagem Curva 90º Com Flanges, Aço Carbono, Esp.=3/8", Ø700 Mm, Peso ±  203 Kg</v>
          </cell>
          <cell r="E1234" t="str">
            <v>un</v>
          </cell>
          <cell r="F1234"/>
          <cell r="G1234">
            <v>319.06</v>
          </cell>
          <cell r="H1234">
            <v>0</v>
          </cell>
        </row>
        <row r="1235">
          <cell r="C1235" t="str">
            <v>9.1.92</v>
          </cell>
          <cell r="D1235" t="str">
            <v xml:space="preserve">Montagem Toco Com Flanges E Aba De Vedação, Ø300 Mm, Fofo, L = 0,70 M </v>
          </cell>
          <cell r="E1235" t="str">
            <v>un</v>
          </cell>
          <cell r="F1235"/>
          <cell r="G1235">
            <v>190.72</v>
          </cell>
          <cell r="H1235">
            <v>0</v>
          </cell>
        </row>
        <row r="1236">
          <cell r="C1236" t="str">
            <v>9.1.93</v>
          </cell>
          <cell r="D1236" t="str">
            <v>Montagem Curva 90º,  Com Flanges Em Fofo -Ø100 Mm</v>
          </cell>
          <cell r="E1236" t="str">
            <v>un</v>
          </cell>
          <cell r="F1236"/>
          <cell r="G1236">
            <v>18.86</v>
          </cell>
          <cell r="H1236">
            <v>0</v>
          </cell>
        </row>
        <row r="1237">
          <cell r="C1237" t="str">
            <v>9.1.94</v>
          </cell>
          <cell r="D1237" t="str">
            <v>Montagem Curva 90º Com Flanges Em Fofo, Ø300 Mm</v>
          </cell>
          <cell r="E1237" t="str">
            <v>un</v>
          </cell>
          <cell r="F1237"/>
          <cell r="G1237">
            <v>119.45</v>
          </cell>
          <cell r="H1237">
            <v>0</v>
          </cell>
        </row>
        <row r="1238">
          <cell r="C1238" t="str">
            <v>9.1.95</v>
          </cell>
          <cell r="D1238" t="str">
            <v>Montagem Tubo, Fofo, Ø 100 Mm - L= 6,60 M</v>
          </cell>
          <cell r="E1238" t="str">
            <v>un</v>
          </cell>
          <cell r="F1238"/>
          <cell r="G1238">
            <v>165.03</v>
          </cell>
          <cell r="H1238">
            <v>0</v>
          </cell>
        </row>
        <row r="1239">
          <cell r="C1239" t="str">
            <v>9.1.96</v>
          </cell>
          <cell r="D1239" t="str">
            <v>Montagem Curva 45º Com Pontas, Aço Carbono, Ø1000 Mm Esp=3/8", Peso ± 248 Kg</v>
          </cell>
          <cell r="E1239" t="str">
            <v>un</v>
          </cell>
          <cell r="F1239"/>
          <cell r="G1239">
            <v>389.79</v>
          </cell>
          <cell r="H1239">
            <v>0</v>
          </cell>
        </row>
        <row r="1240">
          <cell r="C1240" t="str">
            <v>9.1.97</v>
          </cell>
          <cell r="D1240" t="str">
            <v>Montagem De Toco Ponta/Ponta Com Anel De Engaste, Aço-Carbono, Peso ± 282 Kg, L=1,19 M, Ø1000 Mm</v>
          </cell>
          <cell r="E1240" t="str">
            <v>un</v>
          </cell>
          <cell r="F1240"/>
          <cell r="G1240">
            <v>443.23</v>
          </cell>
          <cell r="H1240">
            <v>0</v>
          </cell>
        </row>
        <row r="1241">
          <cell r="C1241" t="str">
            <v>9.1.98</v>
          </cell>
          <cell r="D1241" t="str">
            <v>Montagem Toco Ponta/Flange, Aço-Carbono, L=0,79 M, Ø1000 Mm, Peso ± 187 Kg</v>
          </cell>
          <cell r="E1241" t="str">
            <v>un</v>
          </cell>
          <cell r="F1241"/>
          <cell r="G1241">
            <v>293.92</v>
          </cell>
          <cell r="H1241">
            <v>0</v>
          </cell>
        </row>
        <row r="1242">
          <cell r="C1242" t="str">
            <v>9.1.99</v>
          </cell>
          <cell r="D1242" t="str">
            <v>Montagem Toco Com Flange, Anel De Engaste, Aço Carbono, L=1,30 M, Ø1000 Mm, Peso ±  308 Kg</v>
          </cell>
          <cell r="E1242" t="str">
            <v>un</v>
          </cell>
          <cell r="F1242"/>
          <cell r="G1242">
            <v>484.1</v>
          </cell>
          <cell r="H1242">
            <v>0</v>
          </cell>
        </row>
        <row r="1243">
          <cell r="C1243" t="str">
            <v>9.1.100</v>
          </cell>
          <cell r="D1243" t="str">
            <v>Montagem Tubo Em Aço Carbono, L=2020 Mm, Ø500 Mm, Peso ±  161 Kg</v>
          </cell>
          <cell r="E1243" t="str">
            <v>un</v>
          </cell>
          <cell r="F1243"/>
          <cell r="G1243">
            <v>253.05</v>
          </cell>
          <cell r="H1243">
            <v>0</v>
          </cell>
        </row>
        <row r="1244">
          <cell r="C1244" t="str">
            <v>9.1.101</v>
          </cell>
          <cell r="D1244" t="str">
            <v>Montagem Tubo Em Aço Carbono, L=5420 Mm, Ø500 Mm, Peso ±  365,5 Kg</v>
          </cell>
          <cell r="E1244" t="str">
            <v>un</v>
          </cell>
          <cell r="F1244"/>
          <cell r="G1244">
            <v>574.46</v>
          </cell>
          <cell r="H1244">
            <v>0</v>
          </cell>
        </row>
        <row r="1245">
          <cell r="C1245" t="str">
            <v>9.1.102</v>
          </cell>
          <cell r="D1245" t="str">
            <v>Montagem Curva 90º, Aço Carbono, Ø500 Mm, Espes.= 1/4", Peso ±  126 Kg</v>
          </cell>
          <cell r="E1245" t="str">
            <v>un</v>
          </cell>
          <cell r="F1245"/>
          <cell r="G1245">
            <v>198.04</v>
          </cell>
          <cell r="H1245">
            <v>0</v>
          </cell>
        </row>
        <row r="1246">
          <cell r="C1246" t="str">
            <v>9.1.103</v>
          </cell>
          <cell r="D1246" t="str">
            <v>Montagem Junta Dresser Ø1000 Mm</v>
          </cell>
          <cell r="E1246" t="str">
            <v>un</v>
          </cell>
          <cell r="F1246"/>
          <cell r="G1246">
            <v>1328.04</v>
          </cell>
          <cell r="H1246">
            <v>0</v>
          </cell>
        </row>
        <row r="1247">
          <cell r="C1247" t="str">
            <v>9.1.104</v>
          </cell>
          <cell r="D1247" t="str">
            <v>Montagem Curva 90º, Aço-Carbono, Ø500 Mm, Esp.=1/4", Peso ± 113 Kg</v>
          </cell>
          <cell r="E1247" t="str">
            <v>un</v>
          </cell>
          <cell r="F1247"/>
          <cell r="G1247">
            <v>177.6</v>
          </cell>
          <cell r="H1247">
            <v>0</v>
          </cell>
        </row>
        <row r="1248">
          <cell r="C1248" t="str">
            <v>9.1.105</v>
          </cell>
          <cell r="D1248" t="str">
            <v>Montagem Curva 90º, Aço-Carbono, Ø500 Mm, Esp.=1/4", Peso ± 330 Kg</v>
          </cell>
          <cell r="E1248" t="str">
            <v>un</v>
          </cell>
          <cell r="F1248"/>
          <cell r="G1248">
            <v>518.66999999999996</v>
          </cell>
          <cell r="H1248">
            <v>0</v>
          </cell>
        </row>
        <row r="1249">
          <cell r="C1249" t="str">
            <v>9.1.106</v>
          </cell>
          <cell r="D1249" t="str">
            <v>Barrilete Em Aço Carbono, Espes.=3/8", Dn = 1.000 Mm, L = 12,70 M, Com Duas Reduções 1000 X 700 Mm, Com Saídas Flangedas De 3 X Dn = 450 Mm, 1 X Dn = 350 Mm E 2 X Dn = 200 Mm ( Conforme Desenho) :</v>
          </cell>
          <cell r="E1249"/>
          <cell r="F1249"/>
          <cell r="G1249">
            <v>0</v>
          </cell>
          <cell r="H1249">
            <v>0</v>
          </cell>
        </row>
        <row r="1250">
          <cell r="C1250" t="str">
            <v>9.1.107</v>
          </cell>
          <cell r="D1250" t="str">
            <v>Montagem Tubo 3/8"X1400X2229 Mm, Ø700 Mm, Peso ± 308 Kg</v>
          </cell>
          <cell r="E1250" t="str">
            <v>un</v>
          </cell>
          <cell r="F1250"/>
          <cell r="G1250">
            <v>484.1</v>
          </cell>
          <cell r="H1250">
            <v>0</v>
          </cell>
        </row>
        <row r="1251">
          <cell r="C1251" t="str">
            <v>9.1.108</v>
          </cell>
          <cell r="D1251" t="str">
            <v>Montagem Redução Excêntrica  3/8"X2100 Mm, Ø1000 Mm/700 Mm, Peso ± 423 Kg</v>
          </cell>
          <cell r="E1251" t="str">
            <v>un</v>
          </cell>
          <cell r="F1251"/>
          <cell r="G1251">
            <v>664.85</v>
          </cell>
          <cell r="H1251">
            <v>0</v>
          </cell>
        </row>
        <row r="1252">
          <cell r="C1252" t="str">
            <v>9.1.109</v>
          </cell>
          <cell r="D1252" t="str">
            <v>Montagem Tubo 3/8"X1100X1444 Mm, Ø450 Mm, Peso ± 119 Kg</v>
          </cell>
          <cell r="E1252" t="str">
            <v>un</v>
          </cell>
          <cell r="F1252"/>
          <cell r="G1252">
            <v>187.03</v>
          </cell>
          <cell r="H1252">
            <v>0</v>
          </cell>
        </row>
        <row r="1253">
          <cell r="C1253" t="str">
            <v>9.1.110</v>
          </cell>
          <cell r="D1253" t="str">
            <v>Montagem Tubo 3/8"X2055X3171 Mm, Ø1000 Mm, Peso ± 486 Kg</v>
          </cell>
          <cell r="E1253" t="str">
            <v>un</v>
          </cell>
          <cell r="F1253"/>
          <cell r="G1253">
            <v>763.87</v>
          </cell>
          <cell r="H1253">
            <v>0</v>
          </cell>
        </row>
        <row r="1254">
          <cell r="C1254" t="str">
            <v>9.1.111</v>
          </cell>
          <cell r="D1254" t="str">
            <v>Montagem Curva-Tubo 3/8"X550X344 Mm, Ø100 Mm, Peso ± 29 Kg</v>
          </cell>
          <cell r="E1254" t="str">
            <v>un</v>
          </cell>
          <cell r="F1254"/>
          <cell r="G1254">
            <v>45.58</v>
          </cell>
          <cell r="H1254">
            <v>0</v>
          </cell>
        </row>
        <row r="1255">
          <cell r="C1255" t="str">
            <v>9.1.112</v>
          </cell>
          <cell r="D1255" t="str">
            <v>Montagem Tubo 3/8"X700X1129 Mm, Ø350 Mm, Peso ± 59 Kg</v>
          </cell>
          <cell r="E1255" t="str">
            <v>un</v>
          </cell>
          <cell r="F1255"/>
          <cell r="G1255">
            <v>92.73</v>
          </cell>
          <cell r="H1255">
            <v>0</v>
          </cell>
        </row>
        <row r="1256">
          <cell r="C1256" t="str">
            <v>9.1.113</v>
          </cell>
          <cell r="D1256" t="str">
            <v>Montagem Tubo 3/8"X2600X3171 Mm, Ø1000 Mm, Peso ± 615,5 Kg</v>
          </cell>
          <cell r="E1256" t="str">
            <v>un</v>
          </cell>
          <cell r="F1256"/>
          <cell r="G1256">
            <v>967.4</v>
          </cell>
          <cell r="H1256">
            <v>0</v>
          </cell>
        </row>
        <row r="1257">
          <cell r="C1257" t="str">
            <v>9.1.114</v>
          </cell>
          <cell r="D1257" t="str">
            <v>Montagem Tubo 3/8"X500X658 Mm, Ø200 Mm, Peso ± 24,5 Kg</v>
          </cell>
          <cell r="E1257" t="str">
            <v>un</v>
          </cell>
          <cell r="F1257"/>
          <cell r="G1257">
            <v>38.49</v>
          </cell>
          <cell r="H1257">
            <v>0</v>
          </cell>
        </row>
        <row r="1258">
          <cell r="C1258" t="str">
            <v>9.1.115</v>
          </cell>
          <cell r="D1258" t="str">
            <v>Montagem Tubo 3/8"X1645X3171 Mm, Ø1000 Mm, Peso ± 389,5 Kg</v>
          </cell>
          <cell r="E1258" t="str">
            <v>un</v>
          </cell>
          <cell r="F1258"/>
          <cell r="G1258">
            <v>612.19000000000005</v>
          </cell>
          <cell r="H1258">
            <v>0</v>
          </cell>
        </row>
        <row r="1259">
          <cell r="C1259" t="str">
            <v>9.1.116</v>
          </cell>
          <cell r="D1259" t="str">
            <v>Montagem Redução Concêntrica 3/8"X1258 Mm, Ø1000 Mm/700 Mm, Peso ± 197 Kg</v>
          </cell>
          <cell r="E1259" t="str">
            <v>un</v>
          </cell>
          <cell r="F1259"/>
          <cell r="G1259">
            <v>309.64</v>
          </cell>
          <cell r="H1259">
            <v>0</v>
          </cell>
        </row>
        <row r="1260">
          <cell r="C1260" t="str">
            <v>9.1.117</v>
          </cell>
          <cell r="D1260" t="str">
            <v>Montagem Tubo 3/8"X750X2229 Mm, Ø700 Mm, Peso ± 125 Kg</v>
          </cell>
          <cell r="E1260" t="str">
            <v>un</v>
          </cell>
          <cell r="F1260"/>
          <cell r="G1260">
            <v>196.47</v>
          </cell>
          <cell r="H1260">
            <v>0</v>
          </cell>
        </row>
        <row r="1261">
          <cell r="C1261" t="str">
            <v>9.1.118</v>
          </cell>
          <cell r="D1261" t="str">
            <v>Montagem Colarinho 3/8"X600X1444 Mm, Peso ± 65 Kg</v>
          </cell>
          <cell r="E1261" t="str">
            <v>un</v>
          </cell>
          <cell r="F1261"/>
          <cell r="G1261">
            <v>102.16</v>
          </cell>
          <cell r="H1261">
            <v>0</v>
          </cell>
        </row>
        <row r="1262">
          <cell r="C1262" t="str">
            <v>9.1.119</v>
          </cell>
          <cell r="D1262" t="str">
            <v>Montagem Colarinho 3/8"X500X1129 Mm, Peso ± 42 Kg</v>
          </cell>
          <cell r="E1262" t="str">
            <v>un</v>
          </cell>
          <cell r="F1262"/>
          <cell r="G1262">
            <v>66.89</v>
          </cell>
          <cell r="H1262">
            <v>0</v>
          </cell>
        </row>
        <row r="1263">
          <cell r="C1263" t="str">
            <v>9.1.120</v>
          </cell>
          <cell r="D1263" t="str">
            <v>Montagem Colarinho 3/8"X350X658 Mm, Peso ± 17 Kg</v>
          </cell>
          <cell r="E1263" t="str">
            <v>un</v>
          </cell>
          <cell r="F1263"/>
          <cell r="G1263">
            <v>26.71</v>
          </cell>
          <cell r="H1263">
            <v>0</v>
          </cell>
        </row>
        <row r="1264">
          <cell r="C1264" t="str">
            <v>9.1.121</v>
          </cell>
          <cell r="D1264" t="str">
            <v>Montagem Colarinho 3/8"X255X344 Mm, Peso ± 6,5 Kg</v>
          </cell>
          <cell r="E1264" t="str">
            <v>un</v>
          </cell>
          <cell r="F1264"/>
          <cell r="G1264">
            <v>10.199999999999999</v>
          </cell>
          <cell r="H1264">
            <v>0</v>
          </cell>
        </row>
        <row r="1265">
          <cell r="C1265" t="str">
            <v>9.1.122</v>
          </cell>
          <cell r="D1265" t="str">
            <v>Montagem Flange Ø 18"X150 Mm - Astm-Aibi-Gri, Peso ± 10,5 Kg</v>
          </cell>
          <cell r="E1265" t="str">
            <v>un</v>
          </cell>
          <cell r="F1265"/>
          <cell r="G1265">
            <v>16.489999999999998</v>
          </cell>
          <cell r="H1265">
            <v>0</v>
          </cell>
        </row>
        <row r="1266">
          <cell r="C1266" t="str">
            <v>9.1.123</v>
          </cell>
          <cell r="D1266" t="str">
            <v>Montagem Flange Ø 14"X150 Mm - Astm-Aibi-Gri, Peso ± 17 Kg</v>
          </cell>
          <cell r="E1266" t="str">
            <v>un</v>
          </cell>
          <cell r="F1266"/>
          <cell r="G1266">
            <v>26.71</v>
          </cell>
          <cell r="H1266">
            <v>0</v>
          </cell>
        </row>
        <row r="1267">
          <cell r="C1267" t="str">
            <v>9.1.124</v>
          </cell>
          <cell r="D1267" t="str">
            <v>Montagem Flange Ø 8"X150 Mm - Astm-Aibi-Gri, Peso ± 4 Kg</v>
          </cell>
          <cell r="E1267" t="str">
            <v>un</v>
          </cell>
          <cell r="F1267"/>
          <cell r="G1267">
            <v>6.29</v>
          </cell>
          <cell r="H1267">
            <v>0</v>
          </cell>
        </row>
        <row r="1268">
          <cell r="C1268" t="str">
            <v>9.1.125</v>
          </cell>
          <cell r="D1268" t="str">
            <v>Montagem Flange Ø 4"X150 Mm - Astm-Aibi-Gri, Peso ± 3,5 Kg</v>
          </cell>
          <cell r="E1268" t="str">
            <v>un</v>
          </cell>
          <cell r="F1268"/>
          <cell r="G1268">
            <v>5.49</v>
          </cell>
          <cell r="H1268">
            <v>0</v>
          </cell>
        </row>
        <row r="1269">
          <cell r="C1269" t="str">
            <v>9.1.126</v>
          </cell>
          <cell r="D1269" t="str">
            <v>Montagem Flange Ø 12"X150 Mm - Astm-Aibi-Gri, Peso ± 13 Kg</v>
          </cell>
          <cell r="E1269" t="str">
            <v>un</v>
          </cell>
          <cell r="F1269"/>
          <cell r="G1269">
            <v>20.43</v>
          </cell>
          <cell r="H1269">
            <v>0</v>
          </cell>
        </row>
        <row r="1270">
          <cell r="C1270" t="str">
            <v>9.1.127</v>
          </cell>
          <cell r="D1270" t="str">
            <v>Montagem Tubo 3/8"X420X972 Mm, Ø300 Mm, Peso ± 30,5 Kg</v>
          </cell>
          <cell r="E1270" t="str">
            <v>un</v>
          </cell>
          <cell r="F1270"/>
          <cell r="G1270">
            <v>47.93</v>
          </cell>
          <cell r="H1270">
            <v>0</v>
          </cell>
        </row>
        <row r="1271">
          <cell r="C1271" t="str">
            <v>9.1.128</v>
          </cell>
          <cell r="D1271" t="str">
            <v>Montagem De Medidor Eletromagnético De Vazões Para Água Bruta Ø 700  Mm</v>
          </cell>
          <cell r="E1271" t="str">
            <v>un</v>
          </cell>
          <cell r="F1271"/>
          <cell r="G1271">
            <v>529.79999999999995</v>
          </cell>
          <cell r="H1271">
            <v>0</v>
          </cell>
        </row>
        <row r="1272">
          <cell r="C1272" t="str">
            <v>9.1.129</v>
          </cell>
          <cell r="D1272" t="str">
            <v>Montagem Tanque Hidropneumático, Mont. Vertical, Com Balão Interno De Borracha Para Separação Água/Ar, Em Aço Carbono Esp. 3/8", Indic. Nível, Saídas Flangeadas, V= 20 M³</v>
          </cell>
          <cell r="E1272" t="str">
            <v>un</v>
          </cell>
          <cell r="F1272"/>
          <cell r="G1272">
            <v>54138.55</v>
          </cell>
          <cell r="H1272">
            <v>0</v>
          </cell>
        </row>
        <row r="1273">
          <cell r="C1273" t="str">
            <v>9.1.130</v>
          </cell>
          <cell r="D1273" t="str">
            <v>Montagem Tanque Hidropneumático, Mont. Vertical, Com Balão Interno De Borracha Para Separação Água/Ar, Em Aço Carbono Esp. 3/8", Indic. Nível, Saídas Flangeadas, V= 25 M³</v>
          </cell>
          <cell r="E1273" t="str">
            <v>un</v>
          </cell>
          <cell r="F1273"/>
          <cell r="G1273">
            <v>56492.4</v>
          </cell>
          <cell r="H1273">
            <v>0</v>
          </cell>
        </row>
        <row r="1274">
          <cell r="C1274" t="str">
            <v>9.1.131</v>
          </cell>
          <cell r="D1274" t="str">
            <v>Montagem De Monovia</v>
          </cell>
          <cell r="E1274" t="str">
            <v>m</v>
          </cell>
          <cell r="F1274"/>
          <cell r="G1274">
            <v>17.66</v>
          </cell>
          <cell r="H1274">
            <v>0</v>
          </cell>
        </row>
        <row r="1275">
          <cell r="C1275" t="str">
            <v>9.1.132</v>
          </cell>
          <cell r="D1275" t="str">
            <v>Montagem De Turco, H = 4,10 M</v>
          </cell>
          <cell r="E1275" t="str">
            <v>un</v>
          </cell>
          <cell r="F1275"/>
          <cell r="G1275">
            <v>208.07</v>
          </cell>
          <cell r="H1275">
            <v>0</v>
          </cell>
        </row>
        <row r="1276">
          <cell r="C1276" t="str">
            <v>9.1.133</v>
          </cell>
          <cell r="D1276" t="str">
            <v>Montagem De Guia De Deslizamento Dos Stop-Log'S, Completa, Com Peça De Ancoragem</v>
          </cell>
          <cell r="E1276" t="str">
            <v>un</v>
          </cell>
          <cell r="F1276"/>
          <cell r="G1276">
            <v>113.76</v>
          </cell>
          <cell r="H1276">
            <v>0</v>
          </cell>
        </row>
        <row r="1277">
          <cell r="C1277" t="str">
            <v>9.1.134</v>
          </cell>
          <cell r="D1277" t="str">
            <v>Montagem De Guia De Deslizamento Das Grades, Em Viga "U", 3"X3", Completa, Com Peça De Ancoragem</v>
          </cell>
          <cell r="E1277" t="str">
            <v>un</v>
          </cell>
          <cell r="F1277"/>
          <cell r="G1277">
            <v>61.2</v>
          </cell>
          <cell r="H1277">
            <v>0</v>
          </cell>
        </row>
        <row r="1278">
          <cell r="C1278" t="str">
            <v>9.1.135</v>
          </cell>
          <cell r="D1278" t="str">
            <v>Montagem De Ventosa De Tríplice Função. Ø100 Mm</v>
          </cell>
          <cell r="E1278" t="str">
            <v>un</v>
          </cell>
          <cell r="F1278"/>
          <cell r="G1278">
            <v>52.98</v>
          </cell>
          <cell r="H1278">
            <v>0</v>
          </cell>
        </row>
        <row r="1279">
          <cell r="C1279" t="str">
            <v>9.1.136</v>
          </cell>
          <cell r="D1279" t="str">
            <v>Montagem De Válvula De Retenção C/Portinhola Dupla, Ø700 Mm</v>
          </cell>
          <cell r="E1279" t="str">
            <v>un</v>
          </cell>
          <cell r="F1279"/>
          <cell r="G1279">
            <v>600.44000000000005</v>
          </cell>
          <cell r="H1279">
            <v>0</v>
          </cell>
        </row>
        <row r="1280">
          <cell r="C1280" t="str">
            <v>9.1.137</v>
          </cell>
          <cell r="D1280" t="str">
            <v>Montagem De Flange Cego, Fofo, P/Manutenção Das Bombas, Ø300 Mm</v>
          </cell>
          <cell r="E1280" t="str">
            <v>un</v>
          </cell>
          <cell r="F1280"/>
          <cell r="G1280">
            <v>38.85</v>
          </cell>
          <cell r="H1280">
            <v>0</v>
          </cell>
        </row>
        <row r="1281">
          <cell r="C1281" t="str">
            <v>9.1.138</v>
          </cell>
          <cell r="D1281" t="str">
            <v>Montagem De Flange Cego, Fofo, P/Manutenção Das Bombas, Ø200 Mm</v>
          </cell>
          <cell r="E1281" t="str">
            <v>un</v>
          </cell>
          <cell r="F1281"/>
          <cell r="G1281">
            <v>31.78</v>
          </cell>
          <cell r="H1281">
            <v>0</v>
          </cell>
        </row>
        <row r="1282">
          <cell r="C1282" t="str">
            <v>9.1.139</v>
          </cell>
          <cell r="D1282" t="str">
            <v>Montagem De Flange Cego, Fofo, P/Manutenção Das Bombas, Ø150 Mm</v>
          </cell>
          <cell r="E1282" t="str">
            <v>un</v>
          </cell>
          <cell r="F1282"/>
          <cell r="G1282">
            <v>28.25</v>
          </cell>
          <cell r="H1282">
            <v>0</v>
          </cell>
        </row>
        <row r="1283">
          <cell r="C1283" t="str">
            <v>9.1.140</v>
          </cell>
          <cell r="D1283" t="str">
            <v>Montagem De Tubo, Fogo, Roscável, Ø1/2", L = 1,85 M</v>
          </cell>
          <cell r="E1283" t="str">
            <v>un</v>
          </cell>
          <cell r="F1283"/>
          <cell r="G1283">
            <v>2.1800000000000002</v>
          </cell>
          <cell r="H1283">
            <v>0</v>
          </cell>
        </row>
        <row r="1284">
          <cell r="C1284" t="str">
            <v>9.1.141</v>
          </cell>
          <cell r="D1284" t="str">
            <v>Montagem De Registro De Gaveta, Fofo,  Roscável, Ø1/2"</v>
          </cell>
          <cell r="E1284" t="str">
            <v>un</v>
          </cell>
          <cell r="F1284"/>
          <cell r="G1284">
            <v>11.29</v>
          </cell>
          <cell r="H1284">
            <v>0</v>
          </cell>
        </row>
        <row r="1285">
          <cell r="C1285" t="str">
            <v>9.1.142</v>
          </cell>
          <cell r="D1285" t="str">
            <v>Montagem De Te, Fogo,  Roscável, Ø1/2"</v>
          </cell>
          <cell r="E1285" t="str">
            <v>un</v>
          </cell>
          <cell r="F1285"/>
          <cell r="G1285">
            <v>0.84</v>
          </cell>
          <cell r="H1285">
            <v>0</v>
          </cell>
        </row>
        <row r="1286">
          <cell r="C1286" t="str">
            <v>9.1.143</v>
          </cell>
          <cell r="D1286" t="str">
            <v>Montagem De Ventosa Simples, C/Rosca, Ø1/2"</v>
          </cell>
          <cell r="E1286" t="str">
            <v>un</v>
          </cell>
          <cell r="F1286"/>
          <cell r="G1286">
            <v>28.25</v>
          </cell>
          <cell r="H1286">
            <v>0</v>
          </cell>
        </row>
        <row r="1287">
          <cell r="C1287" t="str">
            <v>9.1.144</v>
          </cell>
          <cell r="D1287" t="str">
            <v>Montagem De Medidor De Pressão Com Emissão De Sinal De 4-20 Ma, Roscável, Ø1/2"</v>
          </cell>
          <cell r="E1287" t="str">
            <v>un</v>
          </cell>
          <cell r="F1287"/>
          <cell r="G1287">
            <v>472.97</v>
          </cell>
          <cell r="H1287">
            <v>0</v>
          </cell>
        </row>
        <row r="1288">
          <cell r="C1288" t="str">
            <v>9.1.145</v>
          </cell>
          <cell r="D1288" t="str">
            <v>Montagem De Luva, Fogo, Ø1/2"</v>
          </cell>
          <cell r="E1288" t="str">
            <v>un</v>
          </cell>
          <cell r="F1288"/>
          <cell r="G1288">
            <v>0.65</v>
          </cell>
          <cell r="H1288">
            <v>0</v>
          </cell>
        </row>
        <row r="1289">
          <cell r="C1289" t="str">
            <v>9.1.146</v>
          </cell>
          <cell r="D1289" t="str">
            <v>Montagem De Válvula De Retenção, Portinhola Dupla Perfurada, Ø500 Mm, P/Tanque Hidropneumático</v>
          </cell>
          <cell r="E1289" t="str">
            <v>un</v>
          </cell>
          <cell r="F1289"/>
          <cell r="G1289">
            <v>441.5</v>
          </cell>
          <cell r="H1289">
            <v>0</v>
          </cell>
        </row>
        <row r="1290">
          <cell r="C1290" t="str">
            <v>9.1.147</v>
          </cell>
          <cell r="D1290" t="str">
            <v>Montagem De Junta Dresser Ø500 Mm</v>
          </cell>
          <cell r="E1290" t="str">
            <v>un</v>
          </cell>
          <cell r="F1290"/>
          <cell r="G1290">
            <v>317.88</v>
          </cell>
          <cell r="H1290">
            <v>0</v>
          </cell>
        </row>
        <row r="1291">
          <cell r="C1291" t="str">
            <v>9.1.148</v>
          </cell>
          <cell r="D1291" t="str">
            <v>Montagem De Curva 45º, Fºfº, C/Flanges, Dn = 300 Mm</v>
          </cell>
          <cell r="E1291" t="str">
            <v>un</v>
          </cell>
          <cell r="F1291"/>
          <cell r="G1291">
            <v>103.73</v>
          </cell>
          <cell r="H1291">
            <v>0</v>
          </cell>
        </row>
        <row r="1292">
          <cell r="C1292" t="str">
            <v>9.1.149</v>
          </cell>
          <cell r="D1292" t="str">
            <v>Montagem De  Válvula De Gaveta, Fºfº, Dn = 100 Mm</v>
          </cell>
          <cell r="E1292" t="str">
            <v>un</v>
          </cell>
          <cell r="F1292"/>
          <cell r="G1292">
            <v>62.86</v>
          </cell>
          <cell r="H1292">
            <v>0</v>
          </cell>
        </row>
        <row r="1293">
          <cell r="C1293" t="str">
            <v>9.1.150</v>
          </cell>
          <cell r="D1293" t="str">
            <v>Montagem De Ventilador Axial</v>
          </cell>
          <cell r="E1293" t="str">
            <v>un</v>
          </cell>
          <cell r="F1293"/>
          <cell r="G1293">
            <v>780.53</v>
          </cell>
          <cell r="H1293">
            <v>0</v>
          </cell>
        </row>
        <row r="1294">
          <cell r="C1294" t="str">
            <v>9.1.151</v>
          </cell>
          <cell r="D1294" t="str">
            <v>Montagem De Para-Raios Monopolares 12 Kv,  5 Ka</v>
          </cell>
          <cell r="E1294" t="str">
            <v>pç</v>
          </cell>
          <cell r="F1294"/>
          <cell r="G1294">
            <v>166.83</v>
          </cell>
          <cell r="H1294">
            <v>0</v>
          </cell>
        </row>
        <row r="1295">
          <cell r="C1295" t="str">
            <v>9.1.152</v>
          </cell>
          <cell r="D1295" t="str">
            <v>Montagem De Chaves Fusíveis Indicadora Monopolar,15Kv-100A-5Ka,Elos 40 K</v>
          </cell>
          <cell r="E1295" t="str">
            <v>pç</v>
          </cell>
          <cell r="F1295"/>
          <cell r="G1295">
            <v>77</v>
          </cell>
          <cell r="H1295">
            <v>0</v>
          </cell>
        </row>
        <row r="1296">
          <cell r="C1296" t="str">
            <v>9.1.153</v>
          </cell>
          <cell r="D1296" t="str">
            <v>Montagem De Transformador  De Corrente,15 Kv, Relação 400/5A</v>
          </cell>
          <cell r="E1296" t="str">
            <v>pç</v>
          </cell>
          <cell r="F1296"/>
          <cell r="G1296">
            <v>96.23</v>
          </cell>
          <cell r="H1296">
            <v>0</v>
          </cell>
        </row>
        <row r="1297">
          <cell r="C1297" t="str">
            <v>9.1.154</v>
          </cell>
          <cell r="D1297" t="str">
            <v>Montagem De Chave Secionadora Tripolar ,15 Kv-400A</v>
          </cell>
          <cell r="E1297" t="str">
            <v>pç</v>
          </cell>
          <cell r="F1297"/>
          <cell r="G1297">
            <v>384.95</v>
          </cell>
          <cell r="H1297">
            <v>0</v>
          </cell>
        </row>
        <row r="1298">
          <cell r="C1298" t="str">
            <v>9.1.155</v>
          </cell>
          <cell r="D1298" t="str">
            <v>Montagem De Disjuntor Tripolar,15 Kv-630A,350 Mva De Ruptura</v>
          </cell>
          <cell r="E1298" t="str">
            <v>pç</v>
          </cell>
          <cell r="F1298"/>
          <cell r="G1298">
            <v>12296.98</v>
          </cell>
          <cell r="H1298">
            <v>0</v>
          </cell>
        </row>
        <row r="1299">
          <cell r="C1299" t="str">
            <v>9.1.156</v>
          </cell>
          <cell r="D1299" t="str">
            <v>Montagem De Transformador De Potencia,13800/380-220V-750 Kva</v>
          </cell>
          <cell r="E1299" t="str">
            <v>pç</v>
          </cell>
          <cell r="F1299"/>
          <cell r="G1299">
            <v>4508.8599999999997</v>
          </cell>
          <cell r="H1299">
            <v>0</v>
          </cell>
        </row>
        <row r="1300">
          <cell r="C1300" t="str">
            <v>9.1.157</v>
          </cell>
          <cell r="D1300" t="str">
            <v>Montagem De Painel De Relés De Proteção Da Subestação</v>
          </cell>
          <cell r="E1300" t="str">
            <v>pç</v>
          </cell>
          <cell r="F1300"/>
          <cell r="G1300">
            <v>5082.7700000000004</v>
          </cell>
          <cell r="H1300">
            <v>0</v>
          </cell>
        </row>
        <row r="1301">
          <cell r="C1301" t="str">
            <v>9.1.158</v>
          </cell>
          <cell r="D1301" t="str">
            <v>Montagem De Poste De Concreto Duplo T, 7,00 M De Altura</v>
          </cell>
          <cell r="E1301" t="str">
            <v>pç</v>
          </cell>
          <cell r="F1301"/>
          <cell r="G1301">
            <v>128.33000000000001</v>
          </cell>
          <cell r="H1301">
            <v>0</v>
          </cell>
        </row>
        <row r="1302">
          <cell r="C1302" t="str">
            <v>9.1.159</v>
          </cell>
          <cell r="D1302" t="str">
            <v>Montagem De Tubo De Ferro Galvanizado Diam 4"X 3,00M ,Para Mourão De Cerca</v>
          </cell>
          <cell r="E1302" t="str">
            <v>pç</v>
          </cell>
          <cell r="F1302"/>
          <cell r="G1302">
            <v>77</v>
          </cell>
          <cell r="H1302">
            <v>0</v>
          </cell>
        </row>
        <row r="1303">
          <cell r="C1303" t="str">
            <v>9.1.160</v>
          </cell>
          <cell r="D1303" t="str">
            <v>Montagem De Painel Para Cerca Em Perfis, Ferro Chato E Tela De Arame Galv. 2,00 X 2,50M</v>
          </cell>
          <cell r="E1303" t="str">
            <v>pç</v>
          </cell>
          <cell r="F1303"/>
          <cell r="G1303">
            <v>166.83</v>
          </cell>
          <cell r="H1303">
            <v>0</v>
          </cell>
        </row>
        <row r="1304">
          <cell r="C1304" t="str">
            <v>9.1.161</v>
          </cell>
          <cell r="D1304" t="str">
            <v>Montagem De Painel Para Cerca Em Perfis, Ferro Chato E Tela De Arame Galv. 2,50 X 2,50M</v>
          </cell>
          <cell r="E1304" t="str">
            <v>pç</v>
          </cell>
          <cell r="F1304"/>
          <cell r="G1304">
            <v>205.3</v>
          </cell>
          <cell r="H1304">
            <v>0</v>
          </cell>
        </row>
        <row r="1305">
          <cell r="C1305" t="str">
            <v>9.1.162</v>
          </cell>
          <cell r="D1305" t="str">
            <v>Montagem De Painel Para Cerca Em Perfis, Ferro Chato E Tela De Arame Galv. 2,30 X 2,50M</v>
          </cell>
          <cell r="E1305" t="str">
            <v>pç</v>
          </cell>
          <cell r="F1305"/>
          <cell r="G1305">
            <v>205.3</v>
          </cell>
          <cell r="H1305">
            <v>0</v>
          </cell>
        </row>
        <row r="1306">
          <cell r="C1306" t="str">
            <v>9.1.163</v>
          </cell>
          <cell r="D1306" t="str">
            <v>Montagem De Portão Em Perfis, Ferro Chato E Tela De Arame Galv. 1,20 X 2,20M</v>
          </cell>
          <cell r="E1306" t="str">
            <v>pç</v>
          </cell>
          <cell r="F1306"/>
          <cell r="G1306">
            <v>102.05</v>
          </cell>
          <cell r="H1306">
            <v>0</v>
          </cell>
        </row>
        <row r="1307">
          <cell r="C1307" t="str">
            <v>9.1.164</v>
          </cell>
          <cell r="D1307" t="str">
            <v>Montagem De Cabo De Cobre Nú, Tempera Meio Dura, Seção De 70Mm2</v>
          </cell>
          <cell r="E1307" t="str">
            <v>m</v>
          </cell>
          <cell r="F1307"/>
          <cell r="G1307">
            <v>7.69</v>
          </cell>
          <cell r="H1307">
            <v>0</v>
          </cell>
        </row>
        <row r="1308">
          <cell r="C1308" t="str">
            <v>9.1.165</v>
          </cell>
          <cell r="D1308" t="str">
            <v>Montagem De Cabo De Cobre Nú,Tempera Meio Dura, Seção De 35Mm2</v>
          </cell>
          <cell r="E1308" t="str">
            <v>m</v>
          </cell>
          <cell r="F1308"/>
          <cell r="G1308">
            <v>3.85</v>
          </cell>
          <cell r="H1308">
            <v>0</v>
          </cell>
        </row>
        <row r="1309">
          <cell r="C1309" t="str">
            <v>9.1.166</v>
          </cell>
          <cell r="D1309" t="str">
            <v>Montagem De Cabo De Cobre Nú, Tempera Meio Dura, Seção 16Mm2</v>
          </cell>
          <cell r="E1309" t="str">
            <v>m</v>
          </cell>
          <cell r="F1309"/>
          <cell r="G1309">
            <v>2.5299999999999998</v>
          </cell>
          <cell r="H1309">
            <v>0</v>
          </cell>
        </row>
        <row r="1310">
          <cell r="C1310" t="str">
            <v>9.1.167</v>
          </cell>
          <cell r="D1310" t="str">
            <v>Montagem De Luminária Com Lâmpada Mista 250W-220V</v>
          </cell>
          <cell r="E1310" t="str">
            <v>pç</v>
          </cell>
          <cell r="F1310"/>
          <cell r="G1310">
            <v>160.4</v>
          </cell>
          <cell r="H1310">
            <v>0</v>
          </cell>
        </row>
        <row r="1311">
          <cell r="C1311" t="str">
            <v>9.1.168</v>
          </cell>
          <cell r="D1311" t="str">
            <v>Montagem De Eletroduto De Pvc Rígido ,Diam 4"X 3,0M Com 1 Luva</v>
          </cell>
          <cell r="E1311" t="str">
            <v>pç</v>
          </cell>
          <cell r="F1311"/>
          <cell r="G1311">
            <v>32.07</v>
          </cell>
          <cell r="H1311">
            <v>0</v>
          </cell>
        </row>
        <row r="1312">
          <cell r="C1312" t="str">
            <v>9.1.169</v>
          </cell>
          <cell r="D1312" t="str">
            <v>Montagem De Eletroduto De Pvc Rígido ,Diam 1"X 3,0M Com 1 Luva</v>
          </cell>
          <cell r="E1312" t="str">
            <v>pç</v>
          </cell>
          <cell r="F1312"/>
          <cell r="G1312">
            <v>5.77</v>
          </cell>
          <cell r="H1312">
            <v>0</v>
          </cell>
        </row>
        <row r="1313">
          <cell r="C1313" t="str">
            <v>9.1.170</v>
          </cell>
          <cell r="D1313" t="str">
            <v>Montagem De Caixa  De Ligação ,4'X 4" Com Espelho Cego</v>
          </cell>
          <cell r="E1313" t="str">
            <v>pç</v>
          </cell>
          <cell r="F1313"/>
          <cell r="G1313">
            <v>12.84</v>
          </cell>
          <cell r="H1313">
            <v>0</v>
          </cell>
        </row>
        <row r="1314">
          <cell r="C1314" t="str">
            <v>9.1.171</v>
          </cell>
          <cell r="D1314" t="str">
            <v>Montagem De Caixa Padronizada Para Medição De Energia Ativa E Reativa , Para Embutir Em Parede, Padrão Cepisa</v>
          </cell>
          <cell r="E1314" t="str">
            <v>pç</v>
          </cell>
          <cell r="F1314"/>
          <cell r="G1314">
            <v>192.46</v>
          </cell>
          <cell r="H1314">
            <v>0</v>
          </cell>
        </row>
        <row r="1315">
          <cell r="C1315" t="str">
            <v>9.1.172</v>
          </cell>
          <cell r="D1315" t="str">
            <v>Mc Calha De Madeira  Com 3,00 M De Comprimento, Para Proteção Do  Cabo Terra</v>
          </cell>
          <cell r="E1315" t="str">
            <v>pç</v>
          </cell>
          <cell r="F1315"/>
          <cell r="G1315">
            <v>19.23</v>
          </cell>
          <cell r="H1315">
            <v>0</v>
          </cell>
        </row>
        <row r="1316">
          <cell r="C1316" t="str">
            <v>9.1.173</v>
          </cell>
          <cell r="D1316" t="str">
            <v>Montagem De Poste De Ferro Galvanizado Duplo, Curvo, Com Base  300X300Mm Com 4 Chumbadores, Diam. 3/4" X 700 Mm, Altura De 8,00 M, Tipo 222B Da Aço Poste, Ou Similar</v>
          </cell>
          <cell r="E1316" t="str">
            <v>pç</v>
          </cell>
          <cell r="F1316"/>
          <cell r="G1316">
            <v>166.83</v>
          </cell>
          <cell r="H1316">
            <v>0</v>
          </cell>
        </row>
        <row r="1317">
          <cell r="C1317" t="str">
            <v>9.1.174</v>
          </cell>
          <cell r="D1317" t="str">
            <v xml:space="preserve">Montagem De Poste De Ferro Galvanizado,Curvo,Com Base 300 X 300 Mm, Com 4 Chumbadores, Diam. 3/4" X 700 Mm, Altura = 8 M </v>
          </cell>
          <cell r="E1317" t="str">
            <v>pç</v>
          </cell>
          <cell r="F1317"/>
          <cell r="G1317">
            <v>115.49</v>
          </cell>
          <cell r="H1317">
            <v>0</v>
          </cell>
        </row>
        <row r="1318">
          <cell r="C1318" t="str">
            <v>9.1.175</v>
          </cell>
          <cell r="D1318" t="str">
            <v>Montagem De Luminária Para Lâmpada Vapor De Mercúrio 250W,Com Reator Afp Embutido Na Montagem De Luminária Com Base E Relé Fotoelétrico Instalado Na Parte Superior, Inclusive Lâmpada.</v>
          </cell>
          <cell r="E1318" t="str">
            <v>pç</v>
          </cell>
          <cell r="F1318"/>
          <cell r="G1318">
            <v>192.46</v>
          </cell>
          <cell r="H1318">
            <v>0</v>
          </cell>
        </row>
        <row r="1319">
          <cell r="C1319" t="str">
            <v>9.1.176</v>
          </cell>
          <cell r="D1319" t="str">
            <v xml:space="preserve">Montagem De Eletroduto De Pvc Rígido Diam 3/4"X3,00M Com 1 Luva </v>
          </cell>
          <cell r="E1319" t="str">
            <v>pç</v>
          </cell>
          <cell r="F1319"/>
          <cell r="G1319">
            <v>4.62</v>
          </cell>
          <cell r="H1319">
            <v>0</v>
          </cell>
        </row>
        <row r="1320">
          <cell r="C1320" t="str">
            <v>9.1.177</v>
          </cell>
          <cell r="D1320" t="str">
            <v>Montagem De Eletroduto De Pvc Rígido Diam 1 "X 3,00M Com 1 Luva</v>
          </cell>
          <cell r="E1320" t="str">
            <v>pç</v>
          </cell>
          <cell r="F1320"/>
          <cell r="G1320">
            <v>5.77</v>
          </cell>
          <cell r="H1320">
            <v>0</v>
          </cell>
        </row>
        <row r="1321">
          <cell r="C1321" t="str">
            <v>9.1.178</v>
          </cell>
          <cell r="D1321" t="str">
            <v>Montagem De Cabo De Cobre ,Singelo, Isolamento De Pvc,750V,70 Oc ,Seção 4 Mm2</v>
          </cell>
          <cell r="E1321" t="str">
            <v>m</v>
          </cell>
          <cell r="F1321"/>
          <cell r="G1321">
            <v>0.43</v>
          </cell>
          <cell r="H1321">
            <v>0</v>
          </cell>
        </row>
        <row r="1322">
          <cell r="C1322" t="str">
            <v>9.1.179</v>
          </cell>
          <cell r="D1322" t="str">
            <v>Montagem De Cabo De Cobre ,Singelo, Isolamento De Pvc,750V,70 Oc ,Seção 6 Mm2</v>
          </cell>
          <cell r="E1322" t="str">
            <v>m</v>
          </cell>
          <cell r="F1322"/>
          <cell r="G1322">
            <v>0.65</v>
          </cell>
          <cell r="H1322">
            <v>0</v>
          </cell>
        </row>
        <row r="1323">
          <cell r="C1323" t="str">
            <v>9.1.180</v>
          </cell>
          <cell r="D1323" t="str">
            <v>Montagem De Cabo De Cobre ,Singelo, Isolamento De Pvc,750V,70 Oc ,Seção 10 Mm2</v>
          </cell>
          <cell r="E1323" t="str">
            <v>m</v>
          </cell>
          <cell r="F1323"/>
          <cell r="G1323">
            <v>1</v>
          </cell>
          <cell r="H1323">
            <v>0</v>
          </cell>
        </row>
        <row r="1324">
          <cell r="C1324" t="str">
            <v>9.1.181</v>
          </cell>
          <cell r="D1324" t="str">
            <v>Fio De Cobre ,Isolamento De Pvc,750V,70 Oc, Seção 2,5 Mm 2</v>
          </cell>
          <cell r="E1324" t="str">
            <v>m</v>
          </cell>
          <cell r="F1324"/>
          <cell r="G1324">
            <v>0.31</v>
          </cell>
          <cell r="H1324">
            <v>0</v>
          </cell>
        </row>
        <row r="1325">
          <cell r="C1325" t="str">
            <v>9.1.182</v>
          </cell>
          <cell r="D1325" t="str">
            <v>Montagem Painel Distribuição Luz, Para Sobrepor Em Parede,Sem Disjuntor Geral E Contendo 1 Disjunt. Tripolar Para 15 A E 16 Disjuntores Monopolares Para 15A Para Sistema De 380/220V-60Hz, 10Ka</v>
          </cell>
          <cell r="E1325" t="str">
            <v>pç</v>
          </cell>
          <cell r="F1325"/>
          <cell r="G1325">
            <v>1539.76</v>
          </cell>
          <cell r="H1325">
            <v>0</v>
          </cell>
        </row>
        <row r="1326">
          <cell r="C1326" t="str">
            <v>9.1.183</v>
          </cell>
          <cell r="D1326" t="str">
            <v>Montagem De Quadro De Comando De Bomba, Para Operação Manual E Automática, Com 2 Chaves De Bóia, Cisterna E Caixa D'Água, Para Motor De 1/4 Cv</v>
          </cell>
          <cell r="E1326" t="str">
            <v>pç</v>
          </cell>
          <cell r="F1326"/>
          <cell r="G1326">
            <v>551.73</v>
          </cell>
          <cell r="H1326">
            <v>0</v>
          </cell>
        </row>
        <row r="1327">
          <cell r="C1327" t="str">
            <v>9.1.184</v>
          </cell>
          <cell r="D1327" t="str">
            <v>Montagem De Chave De Nível Tipo Bóia, De Pvc, Contato Normalmente Aberto Para 5 A - 220V,  Montagem De Cabo Condutor Com 10,0 M De Comprimento</v>
          </cell>
          <cell r="E1327" t="str">
            <v>pç</v>
          </cell>
          <cell r="F1327"/>
          <cell r="G1327">
            <v>77</v>
          </cell>
          <cell r="H1327">
            <v>0</v>
          </cell>
        </row>
        <row r="1328">
          <cell r="C1328" t="str">
            <v>9.1.185</v>
          </cell>
          <cell r="D1328" t="str">
            <v>Montagem De Luminária Tipo Projetor, Com Lâmpada Halógena De 300W-220V</v>
          </cell>
          <cell r="E1328" t="str">
            <v>pç</v>
          </cell>
          <cell r="F1328"/>
          <cell r="G1328">
            <v>44.89</v>
          </cell>
          <cell r="H1328">
            <v>0</v>
          </cell>
        </row>
        <row r="1329">
          <cell r="C1329" t="str">
            <v>9.1.186</v>
          </cell>
          <cell r="D1329" t="str">
            <v>Montagem De Luminária Tipo Drops, Com Lâmpada Incandescente 100W-220V</v>
          </cell>
          <cell r="E1329" t="str">
            <v>pç</v>
          </cell>
          <cell r="F1329"/>
          <cell r="G1329">
            <v>19.23</v>
          </cell>
          <cell r="H1329">
            <v>0</v>
          </cell>
        </row>
        <row r="1330">
          <cell r="C1330" t="str">
            <v>9.1.187</v>
          </cell>
          <cell r="D1330" t="str">
            <v>Montagem De Luminária Com Lâmpada Incandescente 200W-220V</v>
          </cell>
          <cell r="E1330" t="str">
            <v>pç</v>
          </cell>
          <cell r="F1330"/>
          <cell r="G1330">
            <v>57.72</v>
          </cell>
          <cell r="H1330">
            <v>0</v>
          </cell>
        </row>
        <row r="1331">
          <cell r="C1331" t="str">
            <v>9.1.188</v>
          </cell>
          <cell r="D1331" t="str">
            <v xml:space="preserve">Montagem De Equipamento Para Iluminação De Emergência, Sistema Monofásico, Entrada Para 220/60Hz, Autonomia Para 90 Min, Com 2 Lâmpadas De 75W, </v>
          </cell>
          <cell r="E1331" t="str">
            <v>pç</v>
          </cell>
          <cell r="F1331"/>
          <cell r="G1331">
            <v>449.11</v>
          </cell>
          <cell r="H1331">
            <v>0</v>
          </cell>
        </row>
        <row r="1332">
          <cell r="C1332" t="str">
            <v>9.1.189</v>
          </cell>
          <cell r="D1332" t="str">
            <v>Montagem De Eletroduto De Pvc Rígido Diam 3/4"X3,00M,Com 1 Luva</v>
          </cell>
          <cell r="E1332" t="str">
            <v>pç</v>
          </cell>
          <cell r="F1332"/>
          <cell r="G1332">
            <v>4.62</v>
          </cell>
          <cell r="H1332">
            <v>0</v>
          </cell>
        </row>
        <row r="1333">
          <cell r="C1333" t="str">
            <v>9.1.190</v>
          </cell>
          <cell r="D1333" t="str">
            <v>Montagem De Tubo Sealtite Com 850Mm De Comprimento</v>
          </cell>
          <cell r="E1333" t="str">
            <v>pç</v>
          </cell>
          <cell r="F1333"/>
          <cell r="G1333">
            <v>27.58</v>
          </cell>
          <cell r="H1333">
            <v>0</v>
          </cell>
        </row>
        <row r="1334">
          <cell r="C1334" t="str">
            <v>9.1.191</v>
          </cell>
          <cell r="D1334" t="str">
            <v>Montagem De Petrolete Em Liga De Alumínio Fundida R-15/Lr-22</v>
          </cell>
          <cell r="E1334" t="str">
            <v>pç</v>
          </cell>
          <cell r="F1334"/>
          <cell r="G1334">
            <v>7.06</v>
          </cell>
          <cell r="H1334">
            <v>0</v>
          </cell>
        </row>
        <row r="1335">
          <cell r="C1335" t="str">
            <v>9.1.192</v>
          </cell>
          <cell r="D1335" t="str">
            <v>Montagem De Petrolete Em Liga De Alumínio Fundida R-15/Ll-22</v>
          </cell>
          <cell r="E1335" t="str">
            <v>pç</v>
          </cell>
          <cell r="F1335"/>
          <cell r="G1335">
            <v>7.06</v>
          </cell>
          <cell r="H1335">
            <v>0</v>
          </cell>
        </row>
        <row r="1336">
          <cell r="C1336" t="str">
            <v>9.1.193</v>
          </cell>
          <cell r="D1336" t="str">
            <v>Montagem De Petrolete Em Liga De Alumínio Fundida R-15/ T-22</v>
          </cell>
          <cell r="E1336" t="str">
            <v>pç</v>
          </cell>
          <cell r="F1336"/>
          <cell r="G1336">
            <v>7.06</v>
          </cell>
          <cell r="H1336">
            <v>0</v>
          </cell>
        </row>
        <row r="1337">
          <cell r="C1337" t="str">
            <v>9.1.194</v>
          </cell>
          <cell r="D1337" t="str">
            <v>Montagem De Petrolete Em Liga De Alumínio Fundida R-15/Lb-22</v>
          </cell>
          <cell r="E1337" t="str">
            <v>pç</v>
          </cell>
          <cell r="F1337"/>
          <cell r="G1337">
            <v>7.06</v>
          </cell>
          <cell r="H1337">
            <v>0</v>
          </cell>
        </row>
        <row r="1338">
          <cell r="C1338" t="str">
            <v>9.1.195</v>
          </cell>
          <cell r="D1338" t="str">
            <v>Montagem De Petrolete C Em Liga De Alumínio Fundida ,Para Tubo Diam 3/4",Com Tampa ,Com Tomada 2 Pinos Para 250V-10A</v>
          </cell>
          <cell r="E1338" t="str">
            <v>pç</v>
          </cell>
          <cell r="F1338"/>
          <cell r="G1338">
            <v>15.38</v>
          </cell>
          <cell r="H1338">
            <v>0</v>
          </cell>
        </row>
        <row r="1339">
          <cell r="C1339" t="str">
            <v>9.1.196</v>
          </cell>
          <cell r="D1339" t="str">
            <v>Montagem De Petrolete E Em Liga De Alumínio Fundida ,Para Tubo Diam 3/4",Com Tampa ,Com Tomada 2 Pinos Para 250V-10A</v>
          </cell>
          <cell r="E1339" t="str">
            <v>pç</v>
          </cell>
          <cell r="F1339"/>
          <cell r="G1339">
            <v>15.38</v>
          </cell>
          <cell r="H1339">
            <v>0</v>
          </cell>
        </row>
        <row r="1340">
          <cell r="C1340" t="str">
            <v>9.1.197</v>
          </cell>
          <cell r="D1340" t="str">
            <v>Montagem De Petrolete T Em Liga De Alumínio Fundida ,Para Tubo Diam 3/4",Com Tampa ,Com Tomada 2 Pinos Para 250V-10A</v>
          </cell>
          <cell r="E1340" t="str">
            <v>pç</v>
          </cell>
          <cell r="F1340"/>
          <cell r="G1340">
            <v>15.38</v>
          </cell>
          <cell r="H1340">
            <v>0</v>
          </cell>
        </row>
        <row r="1341">
          <cell r="C1341" t="str">
            <v>9.1.198</v>
          </cell>
          <cell r="D1341" t="str">
            <v>Montagem De Petrolete Lr Em Liga De Alumínio Fundida ,Para Tubo Diam 3/4",Com Tampa ,Com Tomada 2 Pinos Para 250V-10A</v>
          </cell>
          <cell r="E1341" t="str">
            <v>pç</v>
          </cell>
          <cell r="F1341"/>
          <cell r="G1341">
            <v>15.38</v>
          </cell>
          <cell r="H1341">
            <v>0</v>
          </cell>
        </row>
        <row r="1342">
          <cell r="C1342" t="str">
            <v>9.1.199</v>
          </cell>
          <cell r="D1342" t="str">
            <v>Montagem De Petrolete E Em Liga De Alumínio Fundida ,Para Tubo Diam 3/4",Com Tampa ,Com Interruptor De Uma Seção Para 250V-10A</v>
          </cell>
          <cell r="E1342" t="str">
            <v>pç</v>
          </cell>
          <cell r="F1342"/>
          <cell r="G1342">
            <v>19.23</v>
          </cell>
          <cell r="H1342">
            <v>0</v>
          </cell>
        </row>
        <row r="1343">
          <cell r="C1343" t="str">
            <v>9.1.200</v>
          </cell>
          <cell r="D1343" t="str">
            <v>Montagem De Tomada Trifásica ,Três Fases Mais Terra ,Para Uso Ao Tempo ,Para 380V</v>
          </cell>
          <cell r="E1343" t="str">
            <v>pç</v>
          </cell>
          <cell r="F1343"/>
          <cell r="G1343">
            <v>44.89</v>
          </cell>
          <cell r="H1343">
            <v>0</v>
          </cell>
        </row>
        <row r="1344">
          <cell r="C1344" t="str">
            <v>9.1.201</v>
          </cell>
          <cell r="D1344" t="str">
            <v>Montagem De Plug Para Tomada  R-20Tr/415</v>
          </cell>
          <cell r="E1344" t="str">
            <v>pç</v>
          </cell>
          <cell r="F1344"/>
          <cell r="G1344">
            <v>32.07</v>
          </cell>
          <cell r="H1344">
            <v>0</v>
          </cell>
        </row>
        <row r="1345">
          <cell r="C1345" t="str">
            <v>9.1.202</v>
          </cell>
          <cell r="D1345" t="str">
            <v>Montagem De Caixa De Ferro Esmaltado  4"X2"</v>
          </cell>
          <cell r="E1345" t="str">
            <v>pç</v>
          </cell>
          <cell r="F1345"/>
          <cell r="G1345">
            <v>1.92</v>
          </cell>
          <cell r="H1345">
            <v>0</v>
          </cell>
        </row>
        <row r="1346">
          <cell r="C1346" t="str">
            <v>9.1.203</v>
          </cell>
          <cell r="D1346" t="str">
            <v>Montagem De Espelho  4"X 2",Com Um Interruptor De Uma Seção</v>
          </cell>
          <cell r="E1346" t="str">
            <v>pç</v>
          </cell>
          <cell r="F1346"/>
          <cell r="G1346">
            <v>5.15</v>
          </cell>
          <cell r="H1346">
            <v>0</v>
          </cell>
        </row>
        <row r="1347">
          <cell r="C1347" t="str">
            <v>9.1.204</v>
          </cell>
          <cell r="D1347" t="str">
            <v>Montagem De Cabo De Cobre Singelo, Isolamento Pvc,750V,70Oc,Seção 2,5 Mm2</v>
          </cell>
          <cell r="E1347" t="str">
            <v>m</v>
          </cell>
          <cell r="F1347"/>
          <cell r="G1347">
            <v>0.31</v>
          </cell>
          <cell r="H1347">
            <v>0</v>
          </cell>
        </row>
        <row r="1348">
          <cell r="C1348" t="str">
            <v>9.1.205</v>
          </cell>
          <cell r="D1348" t="str">
            <v>Montagem De Quadro Geral De Baixa Tensão</v>
          </cell>
          <cell r="E1348" t="str">
            <v>cj</v>
          </cell>
          <cell r="F1348"/>
          <cell r="G1348">
            <v>36890.93</v>
          </cell>
          <cell r="H1348">
            <v>0</v>
          </cell>
        </row>
        <row r="1349">
          <cell r="C1349" t="str">
            <v>9.1.206</v>
          </cell>
          <cell r="D1349" t="str">
            <v>Montagem De Quadro De Serviços Auxiliares</v>
          </cell>
          <cell r="E1349" t="str">
            <v>pç</v>
          </cell>
          <cell r="F1349"/>
          <cell r="G1349">
            <v>3443.14</v>
          </cell>
          <cell r="H1349">
            <v>0</v>
          </cell>
        </row>
        <row r="1350">
          <cell r="C1350" t="str">
            <v>9.1.207</v>
          </cell>
          <cell r="D1350" t="str">
            <v>Montagem De Quadro De Comando Dos Motores Dos Exaustores</v>
          </cell>
          <cell r="E1350" t="str">
            <v>pç</v>
          </cell>
          <cell r="F1350"/>
          <cell r="G1350">
            <v>962.36</v>
          </cell>
          <cell r="H1350">
            <v>0</v>
          </cell>
        </row>
        <row r="1351">
          <cell r="C1351" t="str">
            <v>9.1.208</v>
          </cell>
          <cell r="D1351" t="str">
            <v>Montagem De Quadro De Partida  De Motor Por Tensão Reduzida, Transistorizada, Para Motor Trifásico De 250 Kw, 380 V/60Hz</v>
          </cell>
          <cell r="E1351" t="str">
            <v>pç</v>
          </cell>
          <cell r="F1351"/>
          <cell r="G1351">
            <v>6148.49</v>
          </cell>
          <cell r="H1351">
            <v>0</v>
          </cell>
        </row>
        <row r="1352">
          <cell r="C1352" t="str">
            <v>9.1.209</v>
          </cell>
          <cell r="D1352" t="str">
            <v>Montagem De Quadro De Partida  De Motor Por Tensão Reduzida, Transistorizada, Para Motor Trifásico De 150 Kw, 380 V/60Hz</v>
          </cell>
          <cell r="E1352" t="str">
            <v>pç</v>
          </cell>
          <cell r="F1352"/>
          <cell r="G1352">
            <v>5164.71</v>
          </cell>
          <cell r="H1352">
            <v>0</v>
          </cell>
        </row>
        <row r="1353">
          <cell r="C1353" t="str">
            <v>9.1.210</v>
          </cell>
          <cell r="D1353" t="str">
            <v>Montagem De Quadro De Partida  De Motor Por Tensão Reduzida, Transistorizada, Para Motor Trifásico De 75 Kw, 380 V/60Hz</v>
          </cell>
          <cell r="E1353" t="str">
            <v>pç</v>
          </cell>
          <cell r="F1353"/>
          <cell r="G1353">
            <v>5164.71</v>
          </cell>
          <cell r="H1353">
            <v>0</v>
          </cell>
        </row>
        <row r="1354">
          <cell r="C1354" t="str">
            <v>9.1.211</v>
          </cell>
          <cell r="D1354" t="str">
            <v>Montagem De Mesa De Comando E Medição</v>
          </cell>
          <cell r="E1354" t="str">
            <v>pç</v>
          </cell>
          <cell r="F1354"/>
          <cell r="G1354">
            <v>17215.740000000002</v>
          </cell>
          <cell r="H1354">
            <v>0</v>
          </cell>
        </row>
        <row r="1355">
          <cell r="C1355" t="str">
            <v>9.1.212</v>
          </cell>
          <cell r="D1355" t="str">
            <v>Montagem De Retificador Carregador Da Bateria,Monofasico,220V-60Hz,Saida 25A-48Vcc</v>
          </cell>
          <cell r="E1355" t="str">
            <v>pç</v>
          </cell>
          <cell r="F1355"/>
          <cell r="G1355">
            <v>3443.14</v>
          </cell>
          <cell r="H1355">
            <v>0</v>
          </cell>
        </row>
        <row r="1356">
          <cell r="C1356" t="str">
            <v>9.1.213</v>
          </cell>
          <cell r="D1356" t="str">
            <v>Montagem De Prateleira De Chapa Dobrada E Galvanizada, Tipo Srs 300, Comprimento De 2000 Mm</v>
          </cell>
          <cell r="E1356" t="str">
            <v>pç</v>
          </cell>
          <cell r="F1356"/>
          <cell r="G1356">
            <v>230.95</v>
          </cell>
          <cell r="H1356">
            <v>0</v>
          </cell>
        </row>
        <row r="1357">
          <cell r="C1357" t="str">
            <v>9.1.214</v>
          </cell>
          <cell r="D1357" t="str">
            <v xml:space="preserve">Montagem De Prateleira De Chapa Dobrada E Galvanizada, Tipo Srs 300, Comprimento De 2500 Mm </v>
          </cell>
          <cell r="E1357" t="str">
            <v>pç</v>
          </cell>
          <cell r="F1357"/>
          <cell r="G1357">
            <v>295.11</v>
          </cell>
          <cell r="H1357">
            <v>0</v>
          </cell>
        </row>
        <row r="1358">
          <cell r="C1358" t="str">
            <v>9.1.215</v>
          </cell>
          <cell r="D1358" t="str">
            <v xml:space="preserve">Montagem De Prateleira De Chapa Dobrada E Galvanizada, Tipo Srs 300, Comprimento De 3000 Mm </v>
          </cell>
          <cell r="E1358" t="str">
            <v>pç</v>
          </cell>
          <cell r="F1358"/>
          <cell r="G1358">
            <v>359.29</v>
          </cell>
          <cell r="H1358">
            <v>0</v>
          </cell>
        </row>
        <row r="1359">
          <cell r="C1359" t="str">
            <v>9.1.216</v>
          </cell>
          <cell r="D1359" t="str">
            <v xml:space="preserve">Montagem De Prateleira De Chapa Dobrada E Galvanizada, Tipo Srs 300, Comprimento De 3500 Mm </v>
          </cell>
          <cell r="E1359" t="str">
            <v>pç</v>
          </cell>
          <cell r="F1359"/>
          <cell r="G1359">
            <v>423.45</v>
          </cell>
          <cell r="H1359">
            <v>0</v>
          </cell>
        </row>
        <row r="1360">
          <cell r="C1360" t="str">
            <v>9.1.217</v>
          </cell>
          <cell r="D1360" t="str">
            <v>Montagem De Mensola Simples Para Montagem De Prateleira, Comprimento De 300Mm,Tipo Srs-553</v>
          </cell>
          <cell r="E1360" t="str">
            <v>pç</v>
          </cell>
          <cell r="F1360"/>
          <cell r="G1360">
            <v>48.73</v>
          </cell>
          <cell r="H1360">
            <v>0</v>
          </cell>
        </row>
        <row r="1361">
          <cell r="C1361" t="str">
            <v>9.1.218</v>
          </cell>
          <cell r="D1361" t="str">
            <v>Montagem De Curva Horizontal, Galvanizada, Tipo Srs-301</v>
          </cell>
          <cell r="E1361" t="str">
            <v>pç</v>
          </cell>
          <cell r="F1361"/>
          <cell r="G1361">
            <v>449.11</v>
          </cell>
          <cell r="H1361">
            <v>0</v>
          </cell>
        </row>
        <row r="1362">
          <cell r="C1362" t="str">
            <v>9.1.219</v>
          </cell>
          <cell r="D1362" t="str">
            <v>Montagem De Junção Articulada ,Galvanizada, Tipo Srs-325</v>
          </cell>
          <cell r="E1362" t="str">
            <v>pç</v>
          </cell>
          <cell r="F1362"/>
          <cell r="G1362">
            <v>29.5</v>
          </cell>
          <cell r="H1362">
            <v>0</v>
          </cell>
        </row>
        <row r="1363">
          <cell r="C1363" t="str">
            <v>9.1.220</v>
          </cell>
          <cell r="D1363" t="str">
            <v>Montagem De Junção Simples, Galvanizada, Tipo Srs-326</v>
          </cell>
          <cell r="E1363" t="str">
            <v>pç</v>
          </cell>
          <cell r="F1363"/>
          <cell r="G1363">
            <v>12.84</v>
          </cell>
          <cell r="H1363">
            <v>0</v>
          </cell>
        </row>
        <row r="1364">
          <cell r="C1364" t="str">
            <v>9.1.221</v>
          </cell>
          <cell r="D1364" t="str">
            <v>Montagem De Grapa Galvanizada Para Montagem De Prateleira</v>
          </cell>
          <cell r="E1364" t="str">
            <v>pç</v>
          </cell>
          <cell r="F1364"/>
          <cell r="G1364">
            <v>4.46</v>
          </cell>
          <cell r="H1364">
            <v>0</v>
          </cell>
        </row>
        <row r="1365">
          <cell r="C1365" t="str">
            <v>9.1.222</v>
          </cell>
          <cell r="D1365" t="str">
            <v>Montagem De Eletroduto De Pvc Rígido, Diam 3"X 3,00M,Com1 Luva</v>
          </cell>
          <cell r="E1365" t="str">
            <v>pç</v>
          </cell>
          <cell r="F1365"/>
          <cell r="G1365">
            <v>25.66</v>
          </cell>
          <cell r="H1365">
            <v>0</v>
          </cell>
        </row>
        <row r="1366">
          <cell r="C1366" t="str">
            <v>9.1.223</v>
          </cell>
          <cell r="D1366" t="str">
            <v>Montagem De Eletroduto De Pvc Rígido, Diam 2 1/2"X 3,00M,Com1 Luva</v>
          </cell>
          <cell r="E1366" t="str">
            <v>pç</v>
          </cell>
          <cell r="F1366"/>
          <cell r="G1366">
            <v>21.81</v>
          </cell>
          <cell r="H1366">
            <v>0</v>
          </cell>
        </row>
        <row r="1367">
          <cell r="C1367" t="str">
            <v>9.1.224</v>
          </cell>
          <cell r="D1367" t="str">
            <v>Montagem De Eletroduto De Pvc Rígido, Diam 2"X 3,00M,Com1 Luva</v>
          </cell>
          <cell r="E1367" t="str">
            <v>pç</v>
          </cell>
          <cell r="F1367"/>
          <cell r="G1367">
            <v>17.309999999999999</v>
          </cell>
          <cell r="H1367">
            <v>0</v>
          </cell>
        </row>
        <row r="1368">
          <cell r="C1368" t="str">
            <v>9.1.225</v>
          </cell>
          <cell r="D1368" t="str">
            <v>Montagem De Eletroduto De Pvc Rígido, Diam 1 1/2"X 3,00M,Com1 Luva</v>
          </cell>
          <cell r="E1368" t="str">
            <v>pç</v>
          </cell>
          <cell r="F1368"/>
          <cell r="G1368">
            <v>11.52</v>
          </cell>
          <cell r="H1368">
            <v>0</v>
          </cell>
        </row>
        <row r="1369">
          <cell r="C1369" t="str">
            <v>9.1.226</v>
          </cell>
          <cell r="D1369" t="str">
            <v>Montagem De Eletroduto De Pvc Rígido, Diam 1 1/4"X 3,00M,Com1 Luva</v>
          </cell>
          <cell r="E1369" t="str">
            <v>pç</v>
          </cell>
          <cell r="F1369"/>
          <cell r="G1369">
            <v>9.74</v>
          </cell>
          <cell r="H1369">
            <v>0</v>
          </cell>
        </row>
        <row r="1370">
          <cell r="C1370" t="str">
            <v>9.1.227</v>
          </cell>
          <cell r="D1370" t="str">
            <v>Montagem De Eletroduto De Pvc Rígido, Diam 1"X 3,00M,Com1 Luva</v>
          </cell>
          <cell r="E1370" t="str">
            <v>pç</v>
          </cell>
          <cell r="F1370"/>
          <cell r="G1370">
            <v>5.77</v>
          </cell>
          <cell r="H1370">
            <v>0</v>
          </cell>
        </row>
        <row r="1371">
          <cell r="C1371" t="str">
            <v>9.1.228</v>
          </cell>
          <cell r="D1371" t="str">
            <v>Montagem De Eletroduto De Pvc Rígido, Diam 3/4"X 3,00M,Com1 Luva</v>
          </cell>
          <cell r="E1371" t="str">
            <v>pç</v>
          </cell>
          <cell r="F1371"/>
          <cell r="G1371">
            <v>4.62</v>
          </cell>
          <cell r="H1371">
            <v>0</v>
          </cell>
        </row>
        <row r="1372">
          <cell r="C1372" t="str">
            <v>9.1.229</v>
          </cell>
          <cell r="D1372" t="str">
            <v>Tubo Sealtaite Diam 3/4"X 1,2M,Tipo Cp-B/22</v>
          </cell>
          <cell r="E1372" t="str">
            <v>pç</v>
          </cell>
          <cell r="F1372"/>
          <cell r="G1372">
            <v>38.49</v>
          </cell>
          <cell r="H1372">
            <v>0</v>
          </cell>
        </row>
        <row r="1373">
          <cell r="C1373" t="str">
            <v>9.1.230</v>
          </cell>
          <cell r="D1373" t="str">
            <v>Montagem De Petrolete Em Liga De Alumínio Fundida R-15/Lr-22</v>
          </cell>
          <cell r="E1373" t="str">
            <v>pç</v>
          </cell>
          <cell r="F1373"/>
          <cell r="G1373">
            <v>7.06</v>
          </cell>
          <cell r="H1373">
            <v>0</v>
          </cell>
        </row>
        <row r="1374">
          <cell r="C1374" t="str">
            <v>9.1.231</v>
          </cell>
          <cell r="D1374" t="str">
            <v>Montagem De Petrolete Em Liga De Alumínio Fundida R-15/Ll-22</v>
          </cell>
          <cell r="E1374" t="str">
            <v>pç</v>
          </cell>
          <cell r="F1374"/>
          <cell r="G1374">
            <v>7.06</v>
          </cell>
          <cell r="H1374">
            <v>0</v>
          </cell>
        </row>
        <row r="1375">
          <cell r="C1375" t="str">
            <v>9.1.232</v>
          </cell>
          <cell r="D1375" t="str">
            <v>Montagem De Petrolete Em Liga De Alumínio Fundida R-15/ T-22</v>
          </cell>
          <cell r="E1375" t="str">
            <v>pç</v>
          </cell>
          <cell r="F1375"/>
          <cell r="G1375">
            <v>7.06</v>
          </cell>
          <cell r="H1375">
            <v>0</v>
          </cell>
        </row>
        <row r="1376">
          <cell r="C1376" t="str">
            <v>9.1.233</v>
          </cell>
          <cell r="D1376" t="str">
            <v>Montagem De Petrolete Em Liga De Alumínio Fundida R-15/Lb-22</v>
          </cell>
          <cell r="E1376" t="str">
            <v>pç</v>
          </cell>
          <cell r="F1376"/>
          <cell r="G1376">
            <v>7.06</v>
          </cell>
          <cell r="H1376">
            <v>0</v>
          </cell>
        </row>
        <row r="1377">
          <cell r="C1377" t="str">
            <v>9.1.234</v>
          </cell>
          <cell r="D1377" t="str">
            <v>Montagem De Petrolete Em Liga De Alumínio Fundida R-15/Lr-33</v>
          </cell>
          <cell r="E1377" t="str">
            <v>pç</v>
          </cell>
          <cell r="F1377"/>
          <cell r="G1377">
            <v>8.35</v>
          </cell>
          <cell r="H1377">
            <v>0</v>
          </cell>
        </row>
        <row r="1378">
          <cell r="C1378" t="str">
            <v>9.1.235</v>
          </cell>
          <cell r="D1378" t="str">
            <v>Montagem De Petrolete Em Liga De Alumínio Fundida R-15/Ll-33</v>
          </cell>
          <cell r="E1378" t="str">
            <v>pç</v>
          </cell>
          <cell r="F1378"/>
          <cell r="G1378">
            <v>8.35</v>
          </cell>
          <cell r="H1378">
            <v>0</v>
          </cell>
        </row>
        <row r="1379">
          <cell r="C1379" t="str">
            <v>9.1.236</v>
          </cell>
          <cell r="D1379" t="str">
            <v>Montagem De Petrolete Em Liga De Alumínio Fundida R-15/ T-33</v>
          </cell>
          <cell r="E1379" t="str">
            <v>pç</v>
          </cell>
          <cell r="F1379"/>
          <cell r="G1379">
            <v>8.35</v>
          </cell>
          <cell r="H1379">
            <v>0</v>
          </cell>
        </row>
        <row r="1380">
          <cell r="C1380" t="str">
            <v>9.1.237</v>
          </cell>
          <cell r="D1380" t="str">
            <v>Montagem De Petrolete Em Liga De Alumínio Fundida R-15/Lb-33</v>
          </cell>
          <cell r="E1380" t="str">
            <v>pç</v>
          </cell>
          <cell r="F1380"/>
          <cell r="G1380">
            <v>8.35</v>
          </cell>
          <cell r="H1380">
            <v>0</v>
          </cell>
        </row>
        <row r="1381">
          <cell r="C1381" t="str">
            <v>9.1.238</v>
          </cell>
          <cell r="D1381" t="str">
            <v>Montagem De Tomada Trifásica ,Três Fases Mais Terra ,Para Uso Ao Tempo ,Para 380V, R-20Tr/415</v>
          </cell>
          <cell r="E1381" t="str">
            <v>pç</v>
          </cell>
          <cell r="F1381"/>
          <cell r="G1381">
            <v>44.89</v>
          </cell>
          <cell r="H1381">
            <v>0</v>
          </cell>
        </row>
        <row r="1382">
          <cell r="C1382" t="str">
            <v>9.1.239</v>
          </cell>
          <cell r="D1382" t="str">
            <v>Montagem De Plug Para Tomada  R-20Tr/415,Tipo R-40T/415</v>
          </cell>
          <cell r="E1382" t="str">
            <v>pç</v>
          </cell>
          <cell r="F1382"/>
          <cell r="G1382">
            <v>32.07</v>
          </cell>
          <cell r="H1382">
            <v>0</v>
          </cell>
        </row>
        <row r="1383">
          <cell r="C1383" t="str">
            <v>9.1.240</v>
          </cell>
          <cell r="D1383" t="str">
            <v xml:space="preserve">Montagem De Tomada Bifásica ,Com Fase Mais Terra ,Para Uso Ao Tempo , Para 220V, Tipo R-20Tr/415 </v>
          </cell>
          <cell r="E1383" t="str">
            <v>pç</v>
          </cell>
          <cell r="F1383"/>
          <cell r="G1383">
            <v>44.89</v>
          </cell>
          <cell r="H1383">
            <v>0</v>
          </cell>
        </row>
        <row r="1384">
          <cell r="C1384" t="str">
            <v>9.1.241</v>
          </cell>
          <cell r="D1384" t="str">
            <v>Montagem De Plug Para Tomada  R-20Tr/210, Tipo R-40T/210</v>
          </cell>
          <cell r="E1384" t="str">
            <v>pç</v>
          </cell>
          <cell r="F1384"/>
          <cell r="G1384">
            <v>32.07</v>
          </cell>
          <cell r="H1384">
            <v>0</v>
          </cell>
        </row>
        <row r="1385">
          <cell r="C1385" t="str">
            <v>9.1.242</v>
          </cell>
          <cell r="D1385" t="str">
            <v>Montagem De Caixa Em Liga De Alumínio Fundida, Com Tampa ,Para Fixação Em Parede, Com Furos Lisos</v>
          </cell>
          <cell r="E1385" t="str">
            <v>pç</v>
          </cell>
          <cell r="F1385"/>
          <cell r="G1385">
            <v>417.02</v>
          </cell>
          <cell r="H1385">
            <v>0</v>
          </cell>
        </row>
        <row r="1386">
          <cell r="C1386" t="str">
            <v>9.1.243</v>
          </cell>
          <cell r="D1386" t="str">
            <v xml:space="preserve">Montagem De Caixa Em Liga De Alumínio Fundida, Com Tampa ,Para Fixação Em Parede, Com Furos Lisos </v>
          </cell>
          <cell r="E1386" t="str">
            <v>pç</v>
          </cell>
          <cell r="F1386"/>
          <cell r="G1386">
            <v>359.29</v>
          </cell>
          <cell r="H1386">
            <v>0</v>
          </cell>
        </row>
        <row r="1387">
          <cell r="C1387" t="str">
            <v>9.1.244</v>
          </cell>
          <cell r="D1387" t="str">
            <v xml:space="preserve">Montagem De Caixa Em Liga De Alumínio Fundida, Com Tampa ,Para Fixação Em Parede, Com Furos Lisos </v>
          </cell>
          <cell r="E1387" t="str">
            <v>pç</v>
          </cell>
          <cell r="F1387"/>
          <cell r="G1387">
            <v>487.61</v>
          </cell>
          <cell r="H1387">
            <v>0</v>
          </cell>
        </row>
        <row r="1388">
          <cell r="C1388" t="str">
            <v>9.1.245</v>
          </cell>
          <cell r="D1388" t="str">
            <v>Montagem De Caixa Em Liga De Alumínio Fundida, Com Tampa , Para Fixação No Piso, Com Furos Lisos</v>
          </cell>
          <cell r="E1388" t="str">
            <v>pç</v>
          </cell>
          <cell r="F1388"/>
          <cell r="G1388">
            <v>256.61</v>
          </cell>
          <cell r="H1388">
            <v>0</v>
          </cell>
        </row>
        <row r="1389">
          <cell r="C1389" t="str">
            <v>9.1.246</v>
          </cell>
          <cell r="D1389" t="str">
            <v xml:space="preserve">Montagem De Caixa Em Liga De Alumínio Fundida, Com Tampa , Para Fixação No Piso, Com Furos Lisos </v>
          </cell>
          <cell r="E1389" t="str">
            <v>pç</v>
          </cell>
          <cell r="F1389"/>
          <cell r="G1389">
            <v>346.44</v>
          </cell>
          <cell r="H1389">
            <v>0</v>
          </cell>
        </row>
        <row r="1390">
          <cell r="C1390" t="str">
            <v>9.1.247</v>
          </cell>
          <cell r="D1390" t="str">
            <v xml:space="preserve">Montagem De Cabo  De Cobre Singelo, Isolamento Epr, 0,6/1 Kv, 90 Graus Centígrados, Seção Do Condutor = 185 Mm² </v>
          </cell>
          <cell r="E1390" t="str">
            <v>m</v>
          </cell>
          <cell r="F1390"/>
          <cell r="G1390">
            <v>17.97</v>
          </cell>
          <cell r="H1390">
            <v>0</v>
          </cell>
        </row>
        <row r="1391">
          <cell r="C1391" t="str">
            <v>9.1.248</v>
          </cell>
          <cell r="D1391" t="str">
            <v xml:space="preserve">Montagem De Cabo  De Cobre Singelo, Isolamento Epr, 0,6/1 Kv, 90 Graus Centígrados, Seção Do Condutor = 120 Mm² </v>
          </cell>
          <cell r="E1391" t="str">
            <v>m</v>
          </cell>
          <cell r="F1391"/>
          <cell r="G1391">
            <v>11.52</v>
          </cell>
          <cell r="H1391">
            <v>0</v>
          </cell>
        </row>
        <row r="1392">
          <cell r="C1392" t="str">
            <v>9.1.249</v>
          </cell>
          <cell r="D1392" t="str">
            <v xml:space="preserve">Montagem De Cabo  De Cobre Singelo, Isolamento Epr, 0,6/1 Kv, 90 Graus Centígrados, Seção Do Condutor = 70 Mm² </v>
          </cell>
          <cell r="E1392" t="str">
            <v>m</v>
          </cell>
          <cell r="F1392"/>
          <cell r="G1392">
            <v>6.67</v>
          </cell>
          <cell r="H1392">
            <v>0</v>
          </cell>
        </row>
        <row r="1393">
          <cell r="C1393" t="str">
            <v>9.1.250</v>
          </cell>
          <cell r="D1393" t="str">
            <v xml:space="preserve">Montagem De Cabo  De Cobre Singelo, Isolamento Epr, 0,6/1 Kv, 90 Graus Centígrados, Seção Do Condutor = 16 Mm² </v>
          </cell>
          <cell r="E1393" t="str">
            <v>m</v>
          </cell>
          <cell r="F1393"/>
          <cell r="G1393">
            <v>1.68</v>
          </cell>
          <cell r="H1393">
            <v>0</v>
          </cell>
        </row>
        <row r="1394">
          <cell r="C1394" t="str">
            <v>9.1.251</v>
          </cell>
          <cell r="D1394" t="str">
            <v>Montagem De Cabo  De Cobre Singelo, Isolamento Epr, 0,6/1 Kv, 90 Graus Centígrados, Seção Do Condutor = 4 Mm²</v>
          </cell>
          <cell r="E1394" t="str">
            <v>m</v>
          </cell>
          <cell r="F1394"/>
          <cell r="G1394">
            <v>0.43</v>
          </cell>
          <cell r="H1394">
            <v>0</v>
          </cell>
        </row>
        <row r="1395">
          <cell r="C1395" t="str">
            <v>9.1.252</v>
          </cell>
          <cell r="D1395" t="str">
            <v xml:space="preserve">Montagem De Cabo  De Cobre Singelo, Isolamento Epr, 0,6/1 Kv, 90 Graus Centígrados, Seção Do Condutor = 2,5 Mm² </v>
          </cell>
          <cell r="E1395" t="str">
            <v>m</v>
          </cell>
          <cell r="F1395"/>
          <cell r="G1395">
            <v>0.31</v>
          </cell>
          <cell r="H1395">
            <v>0</v>
          </cell>
        </row>
        <row r="1396">
          <cell r="C1396" t="str">
            <v>9.1.253</v>
          </cell>
          <cell r="D1396" t="str">
            <v>Montagem De Cabo De Controle, Condutores De Cobre Estanhados, Tentos Coloridos, Com Blindagem, Isolamento Epr, 750V, Seção 4 X 1,5 Mm²</v>
          </cell>
          <cell r="E1396" t="str">
            <v>m</v>
          </cell>
          <cell r="F1396"/>
          <cell r="G1396">
            <v>1.53</v>
          </cell>
          <cell r="H1396">
            <v>0</v>
          </cell>
        </row>
        <row r="1397">
          <cell r="C1397" t="str">
            <v>9.1.254</v>
          </cell>
          <cell r="D1397" t="str">
            <v>Montagem De Cabo De Controle, Condutores De Cobre Estanhados, Tentos Coloridos, Com Blindagem, Isolamento Epr, 750V, Seção 4 X 1,5 Mm²</v>
          </cell>
          <cell r="E1397" t="str">
            <v>m</v>
          </cell>
          <cell r="F1397"/>
          <cell r="G1397">
            <v>2.92</v>
          </cell>
          <cell r="H1397">
            <v>0</v>
          </cell>
        </row>
        <row r="1398">
          <cell r="C1398" t="str">
            <v>9.1.255</v>
          </cell>
          <cell r="D1398" t="str">
            <v>Montagem De Cabo De Controle, Condutores De Cobre Estanhados, Tentos Coloridos, Com Blindagem, Isolamento Epr, 750V, Seção 6 X 1,5 Mm²</v>
          </cell>
          <cell r="E1398" t="str">
            <v>m</v>
          </cell>
          <cell r="F1398"/>
          <cell r="G1398">
            <v>5.77</v>
          </cell>
          <cell r="H1398">
            <v>0</v>
          </cell>
        </row>
        <row r="1399">
          <cell r="C1399" t="str">
            <v>9.1.256</v>
          </cell>
          <cell r="D1399" t="str">
            <v>Montagem De Cabo De Controle, Condutores De Cobre Estanhados, Tentos Coloridos, Com Blindagem, Isolamento Epr, 750V, Seção 8 X 1,5 Mm²</v>
          </cell>
          <cell r="E1399" t="str">
            <v>m</v>
          </cell>
          <cell r="F1399"/>
          <cell r="G1399">
            <v>7.96</v>
          </cell>
          <cell r="H1399">
            <v>0</v>
          </cell>
        </row>
        <row r="1400">
          <cell r="C1400" t="str">
            <v>9.1.257</v>
          </cell>
          <cell r="D1400" t="str">
            <v>Montagem De Cabo De Controle, Condutores De Cobre Estanhados, Tentos Coloridos, Com Blindagem, Isolamento Epr, 750V, Seção 2 X 4 Mm²</v>
          </cell>
          <cell r="E1400" t="str">
            <v>m</v>
          </cell>
          <cell r="F1400"/>
          <cell r="G1400">
            <v>6.16</v>
          </cell>
          <cell r="H1400">
            <v>0</v>
          </cell>
        </row>
        <row r="1401">
          <cell r="C1401" t="str">
            <v>9.1.258</v>
          </cell>
          <cell r="D1401" t="str">
            <v>Montagem De Cabo De Controle, Condutores De Cobre Estanhados, Tentos Coloridos, Com Blindagem, Isolamento Epr, 750V, Seção 4 X 4 Mm²</v>
          </cell>
          <cell r="E1401" t="str">
            <v>m</v>
          </cell>
          <cell r="F1401"/>
          <cell r="G1401">
            <v>10.52</v>
          </cell>
          <cell r="H1401">
            <v>0</v>
          </cell>
        </row>
        <row r="1402">
          <cell r="C1402" t="str">
            <v>9.1.259</v>
          </cell>
          <cell r="D1402" t="str">
            <v>Montagem De Cabo De Cobre Nú, Tempera Mio Duro, Seção 70Mm2,Formação 7 Fios</v>
          </cell>
          <cell r="E1402" t="str">
            <v>m</v>
          </cell>
          <cell r="F1402"/>
          <cell r="G1402">
            <v>7.69</v>
          </cell>
          <cell r="H1402">
            <v>0</v>
          </cell>
        </row>
        <row r="1403">
          <cell r="C1403" t="str">
            <v>9.1.260</v>
          </cell>
          <cell r="D1403" t="str">
            <v>Montagem De Cabo De Cobre Nú, Tempera Macia, Seção De 35Mm2,Formação 7 Fios</v>
          </cell>
          <cell r="E1403" t="str">
            <v>m</v>
          </cell>
          <cell r="F1403"/>
          <cell r="G1403">
            <v>2.4500000000000002</v>
          </cell>
          <cell r="H1403">
            <v>0</v>
          </cell>
        </row>
        <row r="1404">
          <cell r="C1404" t="str">
            <v>9.1.261</v>
          </cell>
          <cell r="D1404" t="str">
            <v>Montagem De Haste De Aterramento Cobreada, Diam 3/4"X 2,50M</v>
          </cell>
          <cell r="E1404" t="str">
            <v>pç</v>
          </cell>
          <cell r="F1404"/>
          <cell r="G1404">
            <v>64.150000000000006</v>
          </cell>
          <cell r="H1404">
            <v>0</v>
          </cell>
        </row>
        <row r="1405">
          <cell r="C1405" t="str">
            <v>9.1.262</v>
          </cell>
          <cell r="D1405" t="str">
            <v>Material Para Fixação Do  Geosintético</v>
          </cell>
          <cell r="E1405" t="str">
            <v>m</v>
          </cell>
          <cell r="F1405"/>
          <cell r="G1405">
            <v>16.59</v>
          </cell>
          <cell r="H1405">
            <v>0</v>
          </cell>
        </row>
        <row r="1406">
          <cell r="C1406" t="str">
            <v>9.1.263</v>
          </cell>
          <cell r="D1406" t="str">
            <v>Emboço Para Revestimento De Azuleijo, Argamassa Cal Hidratada 1:4 Com 130 Kg De Cimento</v>
          </cell>
          <cell r="E1406" t="str">
            <v>m²</v>
          </cell>
          <cell r="F1406"/>
          <cell r="G1406">
            <v>19.12</v>
          </cell>
          <cell r="H1406">
            <v>0</v>
          </cell>
        </row>
        <row r="1407">
          <cell r="C1407" t="str">
            <v>9.1.264</v>
          </cell>
          <cell r="D1407" t="str">
            <v>Reboco Interno Ou Externo, Argamassa De Cal Hidratada 1:3</v>
          </cell>
          <cell r="E1407" t="str">
            <v>m²</v>
          </cell>
          <cell r="F1407"/>
          <cell r="G1407">
            <v>13.25</v>
          </cell>
          <cell r="H1407">
            <v>0</v>
          </cell>
        </row>
        <row r="1408">
          <cell r="C1408" t="str">
            <v>9.1.265</v>
          </cell>
          <cell r="D1408" t="str">
            <v>Escoramento</v>
          </cell>
          <cell r="E1408" t="str">
            <v>m³</v>
          </cell>
          <cell r="F1408"/>
          <cell r="G1408">
            <v>27.72</v>
          </cell>
          <cell r="H1408">
            <v>0</v>
          </cell>
        </row>
        <row r="1409">
          <cell r="C1409" t="str">
            <v>9.1.266</v>
          </cell>
          <cell r="D1409" t="str">
            <v>Montagem - Curva 90º Com Flanges 450 Mm, Esp 1/4", Aço Carbono.</v>
          </cell>
          <cell r="E1409" t="str">
            <v>un</v>
          </cell>
          <cell r="F1409"/>
          <cell r="G1409">
            <v>975.44</v>
          </cell>
          <cell r="H1409">
            <v>0</v>
          </cell>
        </row>
        <row r="1410">
          <cell r="C1410" t="str">
            <v>9.1.267</v>
          </cell>
          <cell r="D1410" t="str">
            <v>Montagem - Tubo Ponta/Flange Com Aba De Vedação Esp. 1/4", 450 Mm, Localizado A 35Cm Do Flange - L = 847 Mm, Aço Carbono.</v>
          </cell>
          <cell r="E1410" t="str">
            <v>un</v>
          </cell>
          <cell r="F1410"/>
          <cell r="G1410">
            <v>638.65</v>
          </cell>
          <cell r="H1410">
            <v>0</v>
          </cell>
        </row>
        <row r="1411">
          <cell r="C1411" t="str">
            <v>9.1.268</v>
          </cell>
          <cell r="D1411" t="str">
            <v>Montagem - Tubo Flange/Ponta Esp. 1/4", 450 Mm - L = 350 Mm, Aço Carbono.</v>
          </cell>
          <cell r="E1411" t="str">
            <v>un</v>
          </cell>
          <cell r="F1411"/>
          <cell r="G1411">
            <v>398.32</v>
          </cell>
          <cell r="H1411">
            <v>0</v>
          </cell>
        </row>
        <row r="1412">
          <cell r="C1412" t="str">
            <v>9.1.269</v>
          </cell>
          <cell r="D1412" t="str">
            <v>Montagem - Tubo Flange/Ponta Esp. 1/4", 450 Mm - L = 339 Mm, Aço Carbono.</v>
          </cell>
          <cell r="E1412" t="str">
            <v>un</v>
          </cell>
          <cell r="F1412"/>
          <cell r="G1412">
            <v>392.51</v>
          </cell>
          <cell r="H1412">
            <v>0</v>
          </cell>
        </row>
        <row r="1413">
          <cell r="C1413" t="str">
            <v>9.1.270</v>
          </cell>
          <cell r="D1413" t="str">
            <v>Montagem - Tê Com Flanges Esp. 1/4" - 450 X 50 Mm - L = 250 Mm, Aço Carbono.</v>
          </cell>
          <cell r="E1413" t="str">
            <v>un</v>
          </cell>
          <cell r="F1413"/>
          <cell r="G1413">
            <v>612.87</v>
          </cell>
          <cell r="H1413">
            <v>0</v>
          </cell>
        </row>
        <row r="1414">
          <cell r="C1414" t="str">
            <v>9.1.271</v>
          </cell>
          <cell r="D1414" t="str">
            <v>Montagem - Tubo Flangeado Esp. 1/4", 450 Mm - L = 600 Mm, Aço Carbono.</v>
          </cell>
          <cell r="E1414" t="str">
            <v>un</v>
          </cell>
          <cell r="F1414"/>
          <cell r="G1414">
            <v>747.58</v>
          </cell>
          <cell r="H1414">
            <v>0</v>
          </cell>
        </row>
        <row r="1415">
          <cell r="C1415" t="str">
            <v>9.1.272</v>
          </cell>
          <cell r="D1415" t="str">
            <v>Montagem - Curva 90° Com Flange E Pé 450 Mm Esp. 1/4", Aço Carbono.</v>
          </cell>
          <cell r="E1415" t="str">
            <v>un</v>
          </cell>
          <cell r="F1415"/>
          <cell r="G1415">
            <v>1078.56</v>
          </cell>
          <cell r="H1415">
            <v>0</v>
          </cell>
        </row>
        <row r="1416">
          <cell r="C1416" t="str">
            <v>9.1.273</v>
          </cell>
          <cell r="D1416" t="str">
            <v>Montagem - Tubo Dn=1.000 Mm Com 04 Derivações 450 Mm E Duas 500 Mm, Esp. 3/8" - L = 10.450 Mm, Aço Carbono.</v>
          </cell>
          <cell r="E1416" t="str">
            <v>un</v>
          </cell>
          <cell r="F1416"/>
          <cell r="G1416">
            <v>16946.669999999998</v>
          </cell>
          <cell r="H1416">
            <v>0</v>
          </cell>
        </row>
        <row r="1417">
          <cell r="C1417" t="str">
            <v>9.1.274</v>
          </cell>
          <cell r="D1417" t="str">
            <v>Montagem - Tubo Flange/Ponta Esp. 1/4", 450 Mm - L = 2.000 Mm, Aço Carbono.</v>
          </cell>
          <cell r="E1417" t="str">
            <v>un</v>
          </cell>
          <cell r="F1417"/>
          <cell r="G1417">
            <v>1196.6300000000001</v>
          </cell>
          <cell r="H1417">
            <v>0</v>
          </cell>
        </row>
        <row r="1418">
          <cell r="C1418" t="str">
            <v>9.1.275</v>
          </cell>
          <cell r="D1418" t="str">
            <v>Montagem - Calota Torisférica Esp. 3/8",  1.000 Mm, Aço Carbono.</v>
          </cell>
          <cell r="E1418" t="str">
            <v>un</v>
          </cell>
          <cell r="F1418"/>
          <cell r="G1418">
            <v>489.8</v>
          </cell>
          <cell r="H1418">
            <v>0</v>
          </cell>
        </row>
        <row r="1419">
          <cell r="C1419" t="str">
            <v>9.1.276</v>
          </cell>
          <cell r="D1419" t="str">
            <v>Montagem - Derivação Com Pontas Esp. 1/4",  450 Mm - L = 425 Mm, Aço Carbono.</v>
          </cell>
          <cell r="E1419" t="str">
            <v>un</v>
          </cell>
          <cell r="F1419"/>
          <cell r="G1419">
            <v>205.4</v>
          </cell>
          <cell r="H1419">
            <v>0</v>
          </cell>
        </row>
        <row r="1420">
          <cell r="C1420" t="str">
            <v>9.1.277</v>
          </cell>
          <cell r="D1420" t="str">
            <v>Montagem - Colarinho  Esp. 1/4", 450 Mm, Aço Carbono.</v>
          </cell>
          <cell r="E1420" t="str">
            <v>un</v>
          </cell>
          <cell r="F1420"/>
          <cell r="G1420">
            <v>54.05</v>
          </cell>
          <cell r="H1420">
            <v>0</v>
          </cell>
        </row>
        <row r="1421">
          <cell r="C1421" t="str">
            <v>9.1.278</v>
          </cell>
          <cell r="D1421" t="str">
            <v>Montagem - Derivação Flangeada Com Ponta Esp. 1/4",  500 Mm - L = 425 Mm, Aço Carbono.</v>
          </cell>
          <cell r="E1421" t="str">
            <v>un</v>
          </cell>
          <cell r="F1421"/>
          <cell r="G1421">
            <v>491.46</v>
          </cell>
          <cell r="H1421">
            <v>0</v>
          </cell>
        </row>
        <row r="1422">
          <cell r="C1422" t="str">
            <v>9.1.279</v>
          </cell>
          <cell r="D1422" t="str">
            <v>Montagem - Colarinho Esp. 1/4", 500 Mm, Aço Carbono.</v>
          </cell>
          <cell r="E1422" t="str">
            <v>un</v>
          </cell>
          <cell r="F1422"/>
          <cell r="G1422">
            <v>67.36</v>
          </cell>
          <cell r="H1422">
            <v>0</v>
          </cell>
        </row>
        <row r="1423">
          <cell r="C1423" t="str">
            <v>9.1.280</v>
          </cell>
          <cell r="D1423" t="str">
            <v>Montagem - Tubo Ponta/Ponta Esp. 1/4", 500 Mm - L = 1.640 Mm, Aço Carbono.</v>
          </cell>
          <cell r="E1423" t="str">
            <v>un</v>
          </cell>
          <cell r="F1423"/>
          <cell r="G1423">
            <v>881.47</v>
          </cell>
          <cell r="H1423">
            <v>0</v>
          </cell>
        </row>
        <row r="1424">
          <cell r="C1424" t="str">
            <v>9.1.281</v>
          </cell>
          <cell r="D1424" t="str">
            <v>Montagem - Tubo Flange/Ponta Esp. 1/4" 500 Mm - L = 800 Mm, Aço Carbono.</v>
          </cell>
          <cell r="E1424" t="str">
            <v>un</v>
          </cell>
          <cell r="F1424"/>
          <cell r="G1424">
            <v>693.53</v>
          </cell>
          <cell r="H1424">
            <v>0</v>
          </cell>
        </row>
        <row r="1425">
          <cell r="C1425" t="str">
            <v>9.1.282</v>
          </cell>
          <cell r="D1425" t="str">
            <v>Montagem - Válvula Borboleta Flangeada Esp. 1/4" Awwa  500 Mm, Aço Carbono.</v>
          </cell>
          <cell r="E1425" t="str">
            <v>un</v>
          </cell>
          <cell r="F1425"/>
          <cell r="G1425">
            <v>2147.96</v>
          </cell>
          <cell r="H1425">
            <v>0</v>
          </cell>
        </row>
        <row r="1426">
          <cell r="C1426" t="str">
            <v>9.1.283</v>
          </cell>
          <cell r="D1426" t="str">
            <v>Montagem - Tubo Flangeado Esp. 1/4", 500 Mm - L = 800 Mm, Aço Carbono.</v>
          </cell>
          <cell r="E1426" t="str">
            <v>un</v>
          </cell>
          <cell r="F1426"/>
          <cell r="G1426">
            <v>957.14</v>
          </cell>
          <cell r="H1426">
            <v>0</v>
          </cell>
        </row>
        <row r="1427">
          <cell r="C1427" t="str">
            <v>9.1.284</v>
          </cell>
          <cell r="D1427" t="str">
            <v>Montagem - Curva 90º Com Flange E Pé Esp. 1/4", 500 Mm, Aço Carbono.</v>
          </cell>
          <cell r="E1427" t="str">
            <v>un</v>
          </cell>
          <cell r="F1427"/>
          <cell r="G1427">
            <v>1288.1099999999999</v>
          </cell>
          <cell r="H1427">
            <v>0</v>
          </cell>
        </row>
        <row r="1428">
          <cell r="C1428" t="str">
            <v>9.1.285</v>
          </cell>
          <cell r="D1428" t="str">
            <v>Montagem - Tubo Com Flange E Ponta Esp. 1/4", 450 Mm - L = 600 Mm, Aço Carbono.</v>
          </cell>
          <cell r="E1428" t="str">
            <v>un</v>
          </cell>
          <cell r="F1428"/>
          <cell r="G1428">
            <v>518.9</v>
          </cell>
          <cell r="H1428">
            <v>0</v>
          </cell>
        </row>
        <row r="1429">
          <cell r="C1429" t="str">
            <v>9.1.286</v>
          </cell>
          <cell r="D1429" t="str">
            <v>Montagem - Tubo Ponta Flange Esp. 5/16", 700 Mm - L = 7.000 Mm, Aço Carbono.</v>
          </cell>
          <cell r="E1429" t="str">
            <v>un</v>
          </cell>
          <cell r="F1429"/>
          <cell r="G1429">
            <v>7366.09</v>
          </cell>
          <cell r="H1429">
            <v>0</v>
          </cell>
        </row>
        <row r="1430">
          <cell r="C1430" t="str">
            <v>9.1.287</v>
          </cell>
          <cell r="D1430" t="str">
            <v>Pedra Argamassada</v>
          </cell>
          <cell r="E1430" t="str">
            <v>m³</v>
          </cell>
          <cell r="F1430"/>
          <cell r="G1430">
            <v>165.44</v>
          </cell>
          <cell r="H1430">
            <v>0</v>
          </cell>
        </row>
        <row r="1431">
          <cell r="C1431" t="str">
            <v>9.1.288</v>
          </cell>
          <cell r="D1431" t="str">
            <v>Pintura Em Parede Com Tinta Hidrocor</v>
          </cell>
          <cell r="E1431" t="str">
            <v>m²</v>
          </cell>
          <cell r="F1431"/>
          <cell r="G1431">
            <v>8.84</v>
          </cell>
          <cell r="H1431">
            <v>0</v>
          </cell>
        </row>
        <row r="1432">
          <cell r="C1432" t="str">
            <v>9.1.289</v>
          </cell>
          <cell r="D1432" t="str">
            <v>Alvenaria De Pedra</v>
          </cell>
          <cell r="E1432" t="str">
            <v>m³</v>
          </cell>
          <cell r="F1432"/>
          <cell r="G1432">
            <v>165.43</v>
          </cell>
          <cell r="H1432">
            <v>0</v>
          </cell>
        </row>
        <row r="1433">
          <cell r="C1433" t="str">
            <v>9.1.290</v>
          </cell>
          <cell r="D1433" t="str">
            <v>Meiofio De Concreto Prefabricado</v>
          </cell>
          <cell r="E1433" t="str">
            <v>m</v>
          </cell>
          <cell r="F1433"/>
          <cell r="G1433">
            <v>17.37</v>
          </cell>
          <cell r="H1433">
            <v>0</v>
          </cell>
        </row>
        <row r="1434">
          <cell r="C1434" t="str">
            <v>9.1.291</v>
          </cell>
          <cell r="D1434" t="str">
            <v>Aterro Compactado, Compreendendo Escavação, Carga, Descarga E Transporte Até 300 M, Umedecimento, Espalhamento, Homogenização E Compactação</v>
          </cell>
          <cell r="E1434" t="str">
            <v>m³</v>
          </cell>
          <cell r="F1434"/>
          <cell r="G1434">
            <v>9.69</v>
          </cell>
          <cell r="H1434">
            <v>0</v>
          </cell>
        </row>
        <row r="1435">
          <cell r="C1435" t="str">
            <v>9.1.292</v>
          </cell>
          <cell r="D1435" t="str">
            <v>Revestimento Primário Com Laterita, Espes.= De 15 Cm</v>
          </cell>
          <cell r="E1435" t="str">
            <v>m³</v>
          </cell>
          <cell r="F1435"/>
          <cell r="G1435">
            <v>11.55</v>
          </cell>
          <cell r="H1435">
            <v>0</v>
          </cell>
        </row>
        <row r="1436">
          <cell r="C1436" t="str">
            <v>9.1.293</v>
          </cell>
          <cell r="D1436" t="str">
            <v>Colchão De Areia</v>
          </cell>
          <cell r="E1436" t="str">
            <v>m³</v>
          </cell>
          <cell r="F1436"/>
          <cell r="G1436">
            <v>63.2</v>
          </cell>
          <cell r="H1436">
            <v>0</v>
          </cell>
        </row>
        <row r="1437">
          <cell r="C1437" t="str">
            <v>9.1.294</v>
          </cell>
          <cell r="D1437" t="str">
            <v>Tubulação Ponta E Bolsa De Concreto Armado, Ø 600  Mm</v>
          </cell>
          <cell r="E1437" t="str">
            <v>m</v>
          </cell>
          <cell r="F1437"/>
          <cell r="G1437">
            <v>120.95</v>
          </cell>
          <cell r="H1437">
            <v>0</v>
          </cell>
        </row>
        <row r="1438">
          <cell r="C1438" t="str">
            <v>9.1.295</v>
          </cell>
          <cell r="D1438" t="str">
            <v>Serviços De Rejuvenescimento E Manutenção Preventiva Dos Motores De 300 Cv</v>
          </cell>
          <cell r="E1438" t="str">
            <v>un</v>
          </cell>
          <cell r="F1438"/>
          <cell r="G1438">
            <v>3293.3808078134075</v>
          </cell>
          <cell r="H1438">
            <v>0</v>
          </cell>
        </row>
        <row r="1439">
          <cell r="C1439" t="str">
            <v>9.1.296</v>
          </cell>
          <cell r="D1439" t="str">
            <v>Montagem de ventosa Ø 50 mm</v>
          </cell>
          <cell r="E1439" t="str">
            <v>un</v>
          </cell>
          <cell r="F1439"/>
          <cell r="G1439">
            <v>45.91</v>
          </cell>
          <cell r="H1439">
            <v>0</v>
          </cell>
        </row>
        <row r="1440">
          <cell r="C1440" t="str">
            <v>9.1.297</v>
          </cell>
          <cell r="D1440" t="str">
            <v>Suporte para Tubulação de Descarga das Bombas</v>
          </cell>
          <cell r="E1440" t="str">
            <v>un</v>
          </cell>
          <cell r="F1440"/>
          <cell r="G1440">
            <v>1035.8487062587508</v>
          </cell>
          <cell r="H1440">
            <v>0</v>
          </cell>
        </row>
        <row r="1441">
          <cell r="C1441" t="str">
            <v>9.1.298</v>
          </cell>
          <cell r="D1441" t="str">
            <v>Forro PVC em placas com largura de 10 cm</v>
          </cell>
          <cell r="E1441" t="str">
            <v>m²</v>
          </cell>
          <cell r="F1441"/>
          <cell r="G1441">
            <v>21.85</v>
          </cell>
          <cell r="H1441">
            <v>0</v>
          </cell>
        </row>
        <row r="1442">
          <cell r="C1442" t="str">
            <v>9.1.299</v>
          </cell>
          <cell r="D1442" t="str">
            <v>Fornecimento e instalação de tubo de concreto CA-2, Ø 1,500  mm</v>
          </cell>
          <cell r="E1442" t="str">
            <v>m</v>
          </cell>
          <cell r="F1442"/>
          <cell r="G1442">
            <v>434.41</v>
          </cell>
          <cell r="H1442">
            <v>0</v>
          </cell>
        </row>
        <row r="1443">
          <cell r="C1443" t="str">
            <v>9.1.300</v>
          </cell>
          <cell r="D1443" t="str">
            <v>Montagem redução concêntrica aço carbono, esp. ¼", Ø450 mm flange, Ø 250 mm.</v>
          </cell>
          <cell r="E1443" t="str">
            <v>un</v>
          </cell>
          <cell r="F1443"/>
          <cell r="G1443">
            <v>305.31</v>
          </cell>
          <cell r="H1443">
            <v>0</v>
          </cell>
        </row>
        <row r="1444">
          <cell r="C1444" t="str">
            <v>9.1.301</v>
          </cell>
          <cell r="D1444" t="str">
            <v>Montagem redução excêntrica aço carbono, esp. ¼", Ø450 mm flange, Ø 250 mm.</v>
          </cell>
          <cell r="E1444" t="str">
            <v>un</v>
          </cell>
          <cell r="F1444"/>
          <cell r="G1444">
            <v>153.58000000000001</v>
          </cell>
          <cell r="H1444">
            <v>0</v>
          </cell>
        </row>
        <row r="1445">
          <cell r="C1445" t="str">
            <v>9.1.302</v>
          </cell>
          <cell r="D1445" t="str">
            <v>Montagem Curva 45º Flange/Ponta, Em Aço Carbono, Esp. ¼", Ø700 Mm, Peso ±  110 Kg</v>
          </cell>
          <cell r="E1445" t="str">
            <v>un</v>
          </cell>
          <cell r="F1445"/>
          <cell r="G1445">
            <v>172.88</v>
          </cell>
          <cell r="H1445">
            <v>0</v>
          </cell>
        </row>
        <row r="1446">
          <cell r="C1446" t="str">
            <v>9.1.303</v>
          </cell>
          <cell r="D1446" t="str">
            <v>Serviços de manutenção corretiva dos tanques hidropneumáticos</v>
          </cell>
          <cell r="E1446" t="str">
            <v>un</v>
          </cell>
          <cell r="F1446"/>
          <cell r="G1446">
            <v>3244.7698181185092</v>
          </cell>
          <cell r="H1446">
            <v>0</v>
          </cell>
        </row>
        <row r="1447">
          <cell r="C1447" t="str">
            <v>9.1.304</v>
          </cell>
          <cell r="D1447" t="str">
            <v>Prateleira Para Cabos Comprimento Por Peça De 3,0 M. (Pos 79) Ref.: Tipo Srs-500-3 Da Sisa Ou Similar.</v>
          </cell>
          <cell r="E1447" t="str">
            <v>un</v>
          </cell>
          <cell r="F1447"/>
          <cell r="G1447">
            <v>76.3</v>
          </cell>
          <cell r="H1447">
            <v>0</v>
          </cell>
        </row>
        <row r="1448">
          <cell r="C1448" t="str">
            <v>9.2</v>
          </cell>
          <cell r="D1448" t="str">
            <v>FORNECIMENTO (O BDI do item 9.2 foi reduzido de 40% para 37,2%)</v>
          </cell>
          <cell r="E1448"/>
          <cell r="F1448"/>
          <cell r="G1448">
            <v>0</v>
          </cell>
          <cell r="H1448">
            <v>0</v>
          </cell>
        </row>
        <row r="1449">
          <cell r="C1449" t="str">
            <v>9.2.1</v>
          </cell>
          <cell r="D1449" t="str">
            <v>Conj. Motobomba Horizontal Com Motor De Indução, Tipo Gaiola, Trifásico, 380V , Inst. Abrigada Q=275L/S H=61,8 M</v>
          </cell>
          <cell r="E1449" t="str">
            <v>un</v>
          </cell>
          <cell r="F1449"/>
          <cell r="G1449">
            <v>62631.55</v>
          </cell>
          <cell r="H1449">
            <v>0</v>
          </cell>
        </row>
        <row r="1450">
          <cell r="C1450" t="str">
            <v>9.2.2</v>
          </cell>
          <cell r="D1450" t="str">
            <v>Conj. Motobomba Horizontal Com Motor De Indução, Tipo Gaiola, Trifásico, 380V , Inst. Abrigada Q=138L/S H=61,8 M</v>
          </cell>
          <cell r="E1450" t="str">
            <v>un</v>
          </cell>
          <cell r="F1450"/>
          <cell r="G1450">
            <v>26571.63</v>
          </cell>
          <cell r="H1450">
            <v>0</v>
          </cell>
        </row>
        <row r="1451">
          <cell r="C1451" t="str">
            <v>9.2.3</v>
          </cell>
          <cell r="D1451" t="str">
            <v>Conj. Motobomba Horizontal Com Motor De Indução, Tipo Gaiola, Trifásico, 380V , Inst. Abrigada Q=69L/S H=61,8 M</v>
          </cell>
          <cell r="E1451" t="str">
            <v>un</v>
          </cell>
          <cell r="F1451"/>
          <cell r="G1451">
            <v>14987.95</v>
          </cell>
          <cell r="H1451">
            <v>0</v>
          </cell>
        </row>
        <row r="1452">
          <cell r="C1452" t="str">
            <v>9.2.4</v>
          </cell>
          <cell r="D1452" t="str">
            <v>Conj. Motobomba De Drenagem, Motor Trifásico 380V, Q=5 M³/H, H=10 M</v>
          </cell>
          <cell r="E1452" t="str">
            <v>un</v>
          </cell>
          <cell r="F1452"/>
          <cell r="G1452">
            <v>601.65</v>
          </cell>
          <cell r="H1452">
            <v>0</v>
          </cell>
        </row>
        <row r="1453">
          <cell r="C1453" t="str">
            <v>9.2.5</v>
          </cell>
          <cell r="D1453" t="str">
            <v>Conj. Motobomba De Drenagem, Motor Trifásico 380V, Q=40 M³/H, H=6 M</v>
          </cell>
          <cell r="E1453" t="str">
            <v>un</v>
          </cell>
          <cell r="F1453"/>
          <cell r="G1453">
            <v>1113.81</v>
          </cell>
          <cell r="H1453">
            <v>0</v>
          </cell>
        </row>
        <row r="1454">
          <cell r="C1454" t="str">
            <v>9.2.6</v>
          </cell>
          <cell r="D1454" t="str">
            <v>Ponte Rolante Mecânica, Vão De 5,7 M, Capacidade 5 Ton, Talha 8,5 M</v>
          </cell>
          <cell r="E1454" t="str">
            <v>un</v>
          </cell>
          <cell r="F1454"/>
          <cell r="G1454">
            <v>12946.91</v>
          </cell>
          <cell r="H1454">
            <v>0</v>
          </cell>
        </row>
        <row r="1455">
          <cell r="C1455" t="str">
            <v>9.2.7</v>
          </cell>
          <cell r="D1455" t="str">
            <v>Conj. Filtro Rotativo, Completo, Motobomba, 380V, Mecanismo Comando D/L=2400/3350</v>
          </cell>
          <cell r="E1455" t="str">
            <v>un</v>
          </cell>
          <cell r="F1455"/>
          <cell r="G1455">
            <v>4874.1099999999997</v>
          </cell>
          <cell r="H1455">
            <v>0</v>
          </cell>
        </row>
        <row r="1456">
          <cell r="C1456" t="str">
            <v>9.2.8</v>
          </cell>
          <cell r="D1456" t="str">
            <v>Redução Concêntrica Em Aço Carbono, Esp. ¼", Ø450 Mm Com Flange, Ø 300 Mm, Peso ±  201 Kg</v>
          </cell>
          <cell r="E1456" t="str">
            <v>un</v>
          </cell>
          <cell r="F1456"/>
          <cell r="G1456">
            <v>778.89</v>
          </cell>
          <cell r="H1456">
            <v>0</v>
          </cell>
        </row>
        <row r="1457">
          <cell r="C1457" t="str">
            <v>9.2.9</v>
          </cell>
          <cell r="D1457" t="str">
            <v>Redução Concêntrica Em Aço Carbono, Esp. ¼", Ø350 Mm Com Flange, Ø200 Mm, Peso ± 59 Kg</v>
          </cell>
          <cell r="E1457" t="str">
            <v>un</v>
          </cell>
          <cell r="F1457"/>
          <cell r="G1457">
            <v>718.3</v>
          </cell>
          <cell r="H1457">
            <v>0</v>
          </cell>
        </row>
        <row r="1458">
          <cell r="C1458" t="str">
            <v>9.2.10</v>
          </cell>
          <cell r="D1458" t="str">
            <v>Redução Concêntrica Em Aço Carbono, Esp. ¼", Ø200 Mm Com Flange, Ø150 Mm, Peso ±  32,5 Kg</v>
          </cell>
          <cell r="E1458" t="str">
            <v>un</v>
          </cell>
          <cell r="F1458"/>
          <cell r="G1458">
            <v>320.2</v>
          </cell>
          <cell r="H1458">
            <v>0</v>
          </cell>
        </row>
        <row r="1459">
          <cell r="C1459" t="str">
            <v>9.2.11</v>
          </cell>
          <cell r="D1459" t="str">
            <v>Redução Excêntrica Em Aço Carbono, Esp. ¼", Ø500 Mm Com Flange, Ø350 Mm, L=0,9 M, Peso ±  78 Kg</v>
          </cell>
          <cell r="E1459" t="str">
            <v>un</v>
          </cell>
          <cell r="F1459"/>
          <cell r="G1459">
            <v>1332.76</v>
          </cell>
          <cell r="H1459">
            <v>0</v>
          </cell>
        </row>
        <row r="1460">
          <cell r="C1460" t="str">
            <v>9.2.12</v>
          </cell>
          <cell r="D1460" t="str">
            <v>Redução Excêntrica Em Aço Carbono, Esp. ¼", Ø350 Mm Com Flange, Ø200 Mm, L=0,9 M, Peso ±  52 Kg</v>
          </cell>
          <cell r="E1460" t="str">
            <v>un</v>
          </cell>
          <cell r="F1460"/>
          <cell r="G1460">
            <v>865.43</v>
          </cell>
          <cell r="H1460">
            <v>0</v>
          </cell>
        </row>
        <row r="1461">
          <cell r="C1461" t="str">
            <v>9.2.13</v>
          </cell>
          <cell r="D1461" t="str">
            <v>Redução Excêntrica Em Aço Carbono, Esp. ¼", Ø250 Mm Com Flange, Ø200 Mm, L=0,9 M, Peso ±  43 Kg</v>
          </cell>
          <cell r="E1461" t="str">
            <v>un</v>
          </cell>
          <cell r="F1461"/>
          <cell r="G1461">
            <v>346.17</v>
          </cell>
          <cell r="H1461">
            <v>0</v>
          </cell>
        </row>
        <row r="1462">
          <cell r="C1462" t="str">
            <v>9.2.14</v>
          </cell>
          <cell r="D1462" t="str">
            <v>Toco Flangeado Com Aba De Vedação Em Aço Carbono, Esp. ¼", Ø700 Mm, L=0,70 M, Peso ±  154 Kg</v>
          </cell>
          <cell r="E1462" t="str">
            <v>un</v>
          </cell>
          <cell r="F1462"/>
          <cell r="G1462">
            <v>2579</v>
          </cell>
          <cell r="H1462">
            <v>0</v>
          </cell>
        </row>
        <row r="1463">
          <cell r="C1463" t="str">
            <v>9.2.15</v>
          </cell>
          <cell r="D1463" t="str">
            <v>Toco Flangeado Com Aba De Vedação Em Aço Carbono Esp. ¼", Ø500 Mm, L=0,70 M, Peso ±  110 Kg</v>
          </cell>
          <cell r="E1463" t="str">
            <v>un</v>
          </cell>
          <cell r="F1463"/>
          <cell r="G1463">
            <v>1557.78</v>
          </cell>
          <cell r="H1463">
            <v>0</v>
          </cell>
        </row>
        <row r="1464">
          <cell r="C1464" t="str">
            <v>9.2.16</v>
          </cell>
          <cell r="D1464" t="str">
            <v>Toco Flangeado Com Aba De Vedação Em Aço Carbono Esp. ¼", Ø350 Mm, L=0,70 M, Peso ±  73 Kg</v>
          </cell>
          <cell r="E1464" t="str">
            <v>un</v>
          </cell>
          <cell r="F1464"/>
          <cell r="G1464">
            <v>813.51</v>
          </cell>
          <cell r="H1464">
            <v>0</v>
          </cell>
        </row>
        <row r="1465">
          <cell r="C1465" t="str">
            <v>9.2.17</v>
          </cell>
          <cell r="D1465" t="str">
            <v>Toco Flangeado Com Aba De Vedação Em Aço Carbono Esp. ¼", Ø250 Mm, L=0,70 M, Peso ±  48 Kg</v>
          </cell>
          <cell r="E1465" t="str">
            <v>un</v>
          </cell>
          <cell r="F1465"/>
          <cell r="G1465">
            <v>545.23</v>
          </cell>
          <cell r="H1465">
            <v>0</v>
          </cell>
        </row>
        <row r="1466">
          <cell r="C1466" t="str">
            <v>9.2.18</v>
          </cell>
          <cell r="D1466" t="str">
            <v xml:space="preserve"> Curva 90º Flange/Ponta, Em Aço Carbono, Esp. ¼", Ø500 Mm, Peso ±  158 Kg</v>
          </cell>
          <cell r="E1466" t="str">
            <v>un</v>
          </cell>
          <cell r="F1466"/>
          <cell r="G1466">
            <v>1350.07</v>
          </cell>
          <cell r="H1466">
            <v>0</v>
          </cell>
        </row>
        <row r="1467">
          <cell r="C1467" t="str">
            <v>9.2.19</v>
          </cell>
          <cell r="D1467" t="str">
            <v xml:space="preserve"> Curva 90º Flange/Ponta, Em Aço Carbono, Esp. ¼", Ø350 Mm, Peso ±  102 Kg</v>
          </cell>
          <cell r="E1467" t="str">
            <v>un</v>
          </cell>
          <cell r="F1467"/>
          <cell r="G1467">
            <v>623.11</v>
          </cell>
          <cell r="H1467">
            <v>0</v>
          </cell>
        </row>
        <row r="1468">
          <cell r="C1468" t="str">
            <v>9.2.20</v>
          </cell>
          <cell r="D1468" t="str">
            <v xml:space="preserve"> Curva 90º Flange/Ponta, Em Aço Carbono, Esp. ¼", Ø250 Mm, Peso ±  66 Kg</v>
          </cell>
          <cell r="E1468" t="str">
            <v>un</v>
          </cell>
          <cell r="F1468"/>
          <cell r="G1468">
            <v>337.51</v>
          </cell>
          <cell r="H1468">
            <v>0</v>
          </cell>
        </row>
        <row r="1469">
          <cell r="C1469" t="str">
            <v>9.2.21</v>
          </cell>
          <cell r="D1469" t="str">
            <v xml:space="preserve"> Curva 45º Flange/Ponta, Em Aço Carbono, Esp. ¼", Ø700 Mm, Peso ±  110 Kg</v>
          </cell>
          <cell r="E1469" t="str">
            <v>un</v>
          </cell>
          <cell r="F1469"/>
          <cell r="G1469">
            <v>1903.95</v>
          </cell>
          <cell r="H1469">
            <v>0</v>
          </cell>
        </row>
        <row r="1470">
          <cell r="C1470" t="str">
            <v>9.2.22</v>
          </cell>
          <cell r="D1470" t="str">
            <v xml:space="preserve"> Curva 90º Flange/Ponta, Em Aço Carbono, Esp. ¼", Ø450 Mm, Peso ±  110 Kg</v>
          </cell>
          <cell r="E1470" t="str">
            <v>un</v>
          </cell>
          <cell r="F1470"/>
          <cell r="G1470">
            <v>951.97</v>
          </cell>
          <cell r="H1470">
            <v>0</v>
          </cell>
        </row>
        <row r="1471">
          <cell r="C1471" t="str">
            <v>9.2.23</v>
          </cell>
          <cell r="D1471" t="str">
            <v xml:space="preserve"> Curva 90º Flange/Ponta, Em Aço Carbono, Esp. ¼", Ø350 Mm, Peso ±  63 Kg</v>
          </cell>
          <cell r="E1471" t="str">
            <v>un</v>
          </cell>
          <cell r="F1471"/>
          <cell r="G1471">
            <v>675.04</v>
          </cell>
          <cell r="H1471">
            <v>0</v>
          </cell>
        </row>
        <row r="1472">
          <cell r="C1472" t="str">
            <v>9.2.24</v>
          </cell>
          <cell r="D1472" t="str">
            <v xml:space="preserve"> Curva 90º Flange/Ponta, Em Aço Carbono, Esp. ¼", Ø200 Mm, Peso ±  31 Kg</v>
          </cell>
          <cell r="E1472" t="str">
            <v>un</v>
          </cell>
          <cell r="F1472"/>
          <cell r="G1472">
            <v>380.78</v>
          </cell>
          <cell r="H1472">
            <v>0</v>
          </cell>
        </row>
        <row r="1473">
          <cell r="C1473" t="str">
            <v>9.2.25</v>
          </cell>
          <cell r="D1473" t="str">
            <v xml:space="preserve"> Junta De Expansão Metálica Ø1000 Mm, C/Deslocamento Máximo De 50 Mm</v>
          </cell>
          <cell r="E1473" t="str">
            <v>un</v>
          </cell>
          <cell r="F1473"/>
          <cell r="G1473">
            <v>8979.0499999999993</v>
          </cell>
          <cell r="H1473">
            <v>0</v>
          </cell>
        </row>
        <row r="1474">
          <cell r="C1474" t="str">
            <v>9.2.26</v>
          </cell>
          <cell r="D1474" t="str">
            <v xml:space="preserve"> Junta Dresser Ø700 Mm</v>
          </cell>
          <cell r="E1474" t="str">
            <v>un</v>
          </cell>
          <cell r="F1474"/>
          <cell r="G1474">
            <v>4179.18</v>
          </cell>
          <cell r="H1474">
            <v>0</v>
          </cell>
        </row>
        <row r="1475">
          <cell r="C1475" t="str">
            <v>9.2.27</v>
          </cell>
          <cell r="D1475" t="str">
            <v xml:space="preserve"> Redução Concêntrica Ø1000 Mm/700 Mm Em Aço Carbono, Esp. 3/8", L=3,1 M, Peso ±  595 Kg    </v>
          </cell>
          <cell r="E1475" t="str">
            <v>un</v>
          </cell>
          <cell r="F1475"/>
          <cell r="G1475">
            <v>6386.9</v>
          </cell>
          <cell r="H1475">
            <v>0</v>
          </cell>
        </row>
        <row r="1476">
          <cell r="C1476" t="str">
            <v>9.2.28</v>
          </cell>
          <cell r="D1476" t="str">
            <v xml:space="preserve"> Junta Dresser Ø200 Mm</v>
          </cell>
          <cell r="E1476" t="str">
            <v>un</v>
          </cell>
          <cell r="F1476"/>
          <cell r="G1476">
            <v>1163.32</v>
          </cell>
          <cell r="H1476">
            <v>0</v>
          </cell>
        </row>
        <row r="1477">
          <cell r="C1477" t="str">
            <v>9.2.29</v>
          </cell>
          <cell r="D1477" t="str">
            <v xml:space="preserve"> Junta Dresser Ø200 Mm, Atirantada</v>
          </cell>
          <cell r="E1477" t="str">
            <v>un</v>
          </cell>
          <cell r="F1477"/>
          <cell r="G1477">
            <v>3067.28</v>
          </cell>
          <cell r="H1477">
            <v>0</v>
          </cell>
        </row>
        <row r="1478">
          <cell r="C1478" t="str">
            <v>9.2.30</v>
          </cell>
          <cell r="D1478" t="str">
            <v xml:space="preserve"> Junta Dresser Ø350 Mm</v>
          </cell>
          <cell r="E1478" t="str">
            <v>un</v>
          </cell>
          <cell r="F1478"/>
          <cell r="G1478">
            <v>2168.6</v>
          </cell>
          <cell r="H1478">
            <v>0</v>
          </cell>
        </row>
        <row r="1479">
          <cell r="C1479" t="str">
            <v>9.2.31</v>
          </cell>
          <cell r="D1479" t="str">
            <v xml:space="preserve"> Junta Dresser Ø350 Mm, Atirantada</v>
          </cell>
          <cell r="E1479" t="str">
            <v>un</v>
          </cell>
          <cell r="F1479"/>
          <cell r="G1479">
            <v>4860.79</v>
          </cell>
          <cell r="H1479">
            <v>0</v>
          </cell>
        </row>
        <row r="1480">
          <cell r="C1480" t="str">
            <v>9.2.32</v>
          </cell>
          <cell r="D1480" t="str">
            <v xml:space="preserve"> Junta Dresser Ø450 Mm, Atirantada</v>
          </cell>
          <cell r="E1480" t="str">
            <v>un</v>
          </cell>
          <cell r="F1480"/>
          <cell r="G1480">
            <v>5687.11</v>
          </cell>
          <cell r="H1480">
            <v>0</v>
          </cell>
        </row>
        <row r="1481">
          <cell r="C1481" t="str">
            <v>9.2.33</v>
          </cell>
          <cell r="D1481" t="str">
            <v xml:space="preserve"> Válvula Borboleta Ø450 Mm</v>
          </cell>
          <cell r="E1481" t="str">
            <v>un</v>
          </cell>
          <cell r="F1481"/>
          <cell r="G1481">
            <v>19281.849999999999</v>
          </cell>
          <cell r="H1481">
            <v>0</v>
          </cell>
        </row>
        <row r="1482">
          <cell r="C1482" t="str">
            <v>9.2.34</v>
          </cell>
          <cell r="D1482" t="str">
            <v xml:space="preserve"> Válvula Borboleta Ø350 Mm</v>
          </cell>
          <cell r="E1482" t="str">
            <v>un</v>
          </cell>
          <cell r="F1482"/>
          <cell r="G1482">
            <v>12112.88</v>
          </cell>
          <cell r="H1482">
            <v>0</v>
          </cell>
        </row>
        <row r="1483">
          <cell r="C1483" t="str">
            <v>9.2.35</v>
          </cell>
          <cell r="D1483" t="str">
            <v xml:space="preserve"> Válvula Borboleta Ø300 Mm</v>
          </cell>
          <cell r="E1483" t="str">
            <v>un</v>
          </cell>
          <cell r="F1483"/>
          <cell r="G1483">
            <v>8938.2099999999991</v>
          </cell>
          <cell r="H1483">
            <v>0</v>
          </cell>
        </row>
        <row r="1484">
          <cell r="C1484" t="str">
            <v>9.2.36</v>
          </cell>
          <cell r="D1484" t="str">
            <v xml:space="preserve"> Válvula Borboleta Ø200 Mm</v>
          </cell>
          <cell r="E1484" t="str">
            <v>un</v>
          </cell>
          <cell r="F1484"/>
          <cell r="G1484">
            <v>4718</v>
          </cell>
          <cell r="H1484">
            <v>0</v>
          </cell>
        </row>
        <row r="1485">
          <cell r="C1485" t="str">
            <v>9.2.37</v>
          </cell>
          <cell r="D1485" t="str">
            <v xml:space="preserve"> Válvula Borboleta Ø1000 Mm</v>
          </cell>
          <cell r="E1485" t="str">
            <v>un</v>
          </cell>
          <cell r="F1485"/>
          <cell r="G1485">
            <v>64473.18</v>
          </cell>
          <cell r="H1485">
            <v>0</v>
          </cell>
        </row>
        <row r="1486">
          <cell r="C1486" t="str">
            <v>9.2.38</v>
          </cell>
          <cell r="D1486" t="str">
            <v xml:space="preserve"> Válvula De Retenção De Portinhola Dupla Ø450 Mm</v>
          </cell>
          <cell r="E1486" t="str">
            <v>un</v>
          </cell>
          <cell r="F1486"/>
          <cell r="G1486">
            <v>6830.17</v>
          </cell>
          <cell r="H1486">
            <v>0</v>
          </cell>
        </row>
        <row r="1487">
          <cell r="C1487" t="str">
            <v>9.2.39</v>
          </cell>
          <cell r="D1487" t="str">
            <v xml:space="preserve"> Válvula De Retenção De Portinhola Dupla Ø350 Mm</v>
          </cell>
          <cell r="E1487" t="str">
            <v>un</v>
          </cell>
          <cell r="F1487"/>
          <cell r="G1487">
            <v>4998.41</v>
          </cell>
          <cell r="H1487">
            <v>0</v>
          </cell>
        </row>
        <row r="1488">
          <cell r="C1488" t="str">
            <v>9.2.40</v>
          </cell>
          <cell r="D1488" t="str">
            <v xml:space="preserve"> Válvula De Retenção De Portinhola Dupla Ø200 Mm</v>
          </cell>
          <cell r="E1488" t="str">
            <v>un</v>
          </cell>
          <cell r="F1488"/>
          <cell r="G1488">
            <v>2437.36</v>
          </cell>
          <cell r="H1488">
            <v>0</v>
          </cell>
        </row>
        <row r="1489">
          <cell r="C1489" t="str">
            <v>9.2.41</v>
          </cell>
          <cell r="D1489" t="str">
            <v xml:space="preserve"> Toco Com Flanges Em Aço Carbono, Ø350 Mm, L=0,90 M, Peso ±  73 Kg</v>
          </cell>
          <cell r="E1489" t="str">
            <v>un</v>
          </cell>
          <cell r="F1489"/>
          <cell r="G1489">
            <v>778.89</v>
          </cell>
          <cell r="H1489">
            <v>0</v>
          </cell>
        </row>
        <row r="1490">
          <cell r="C1490" t="str">
            <v>9.2.42</v>
          </cell>
          <cell r="D1490" t="str">
            <v xml:space="preserve"> Toco Com Flanges Em Aço Carbono, Ø200 Mm, L=0,90 M, Peso ±  50 Kg</v>
          </cell>
          <cell r="E1490" t="str">
            <v>un</v>
          </cell>
          <cell r="F1490"/>
          <cell r="G1490">
            <v>450.02</v>
          </cell>
          <cell r="H1490">
            <v>0</v>
          </cell>
        </row>
        <row r="1491">
          <cell r="C1491" t="str">
            <v>9.2.43</v>
          </cell>
          <cell r="D1491" t="str">
            <v xml:space="preserve"> Toco, Flange/Ponta Em Aço Carbono, Ø700 Mm, L=0,85 M, Peso ±  141,5 Kg</v>
          </cell>
          <cell r="E1491" t="str">
            <v>un</v>
          </cell>
          <cell r="F1491"/>
          <cell r="G1491">
            <v>1834.72</v>
          </cell>
          <cell r="H1491">
            <v>0</v>
          </cell>
        </row>
        <row r="1492">
          <cell r="C1492" t="str">
            <v>9.2.44</v>
          </cell>
          <cell r="D1492" t="str">
            <v>Tubo Em Aço Carbono Com Pontas, Com Derivações, Espes.=3/8" Dn = 1.000 Mm (Conforme Desenho):</v>
          </cell>
          <cell r="E1492"/>
          <cell r="F1492"/>
          <cell r="G1492">
            <v>0</v>
          </cell>
          <cell r="H1492">
            <v>0</v>
          </cell>
        </row>
        <row r="1493">
          <cell r="C1493" t="str">
            <v>9.2.44.1</v>
          </cell>
          <cell r="D1493" t="str">
            <v xml:space="preserve"> Tubo Astm-A 283C ¼"X1596X3171 Mm, Ø1000 Mm, Peso ±  252 Kg</v>
          </cell>
          <cell r="E1493" t="str">
            <v>un</v>
          </cell>
          <cell r="F1493"/>
          <cell r="G1493">
            <v>2198.1999999999998</v>
          </cell>
          <cell r="H1493">
            <v>0</v>
          </cell>
        </row>
        <row r="1494">
          <cell r="C1494" t="str">
            <v>9.2.44.2</v>
          </cell>
          <cell r="D1494" t="str">
            <v xml:space="preserve"> Tubo Astm-A 283C ¼"X2000X3171 Mm, Ø1000 Mm, Peso ±  316 Kg</v>
          </cell>
          <cell r="E1494" t="str">
            <v>un</v>
          </cell>
          <cell r="F1494"/>
          <cell r="G1494">
            <v>2769.39</v>
          </cell>
          <cell r="H1494">
            <v>0</v>
          </cell>
        </row>
        <row r="1495">
          <cell r="C1495" t="str">
            <v>9.2.44.3</v>
          </cell>
          <cell r="D1495" t="str">
            <v xml:space="preserve"> Tubo Astm-A 283C ¼"X1000X1600 Mm, Ø500 Mm, Peso ±  80 Kg</v>
          </cell>
          <cell r="E1495" t="str">
            <v>un</v>
          </cell>
          <cell r="F1495"/>
          <cell r="G1495">
            <v>346.17</v>
          </cell>
          <cell r="H1495">
            <v>0</v>
          </cell>
        </row>
        <row r="1496">
          <cell r="C1496" t="str">
            <v>9.2.44.4</v>
          </cell>
          <cell r="D1496" t="str">
            <v xml:space="preserve"> Tubo Astm-A 283C ¼"X2500X3171 Mm, Ø1000 Mm, Peso ±  395 Kg</v>
          </cell>
          <cell r="E1496" t="str">
            <v>un</v>
          </cell>
          <cell r="F1496"/>
          <cell r="G1496">
            <v>3461.74</v>
          </cell>
          <cell r="H1496">
            <v>0</v>
          </cell>
        </row>
        <row r="1497">
          <cell r="C1497" t="str">
            <v>9.2.45</v>
          </cell>
          <cell r="D1497" t="str">
            <v xml:space="preserve"> Colarinho Astm-A 283C ¼"X600X1600 Mm, Peso ±  48 Kg</v>
          </cell>
          <cell r="E1497" t="str">
            <v>un</v>
          </cell>
          <cell r="F1497"/>
          <cell r="G1497">
            <v>432.71</v>
          </cell>
          <cell r="H1497">
            <v>0</v>
          </cell>
        </row>
        <row r="1498">
          <cell r="C1498" t="str">
            <v>9.2.46</v>
          </cell>
          <cell r="D1498" t="str">
            <v xml:space="preserve"> Curva 15,54º, ± 20 Kg</v>
          </cell>
          <cell r="E1498" t="str">
            <v>un</v>
          </cell>
          <cell r="F1498"/>
          <cell r="G1498">
            <v>276.94</v>
          </cell>
          <cell r="H1498">
            <v>0</v>
          </cell>
        </row>
        <row r="1499">
          <cell r="C1499" t="str">
            <v>9.2.47</v>
          </cell>
          <cell r="D1499" t="str">
            <v xml:space="preserve"> Tubo Em Aço Carbono, Flange/Ponta, Ø1000 Mm, Esp. 3/8", L=3.100 M, Peso 734 Kg</v>
          </cell>
          <cell r="E1499" t="str">
            <v>un</v>
          </cell>
          <cell r="F1499"/>
          <cell r="G1499">
            <v>9173.6</v>
          </cell>
          <cell r="H1499">
            <v>0</v>
          </cell>
        </row>
        <row r="1500">
          <cell r="C1500" t="str">
            <v>9.2.48</v>
          </cell>
          <cell r="D1500" t="str">
            <v xml:space="preserve"> Toco Em Aço Carbono Com Flange, Esp.=3/8", Ø700 Mm, L =0,895 M, Peso ± 183 Kg</v>
          </cell>
          <cell r="E1500" t="str">
            <v>un</v>
          </cell>
          <cell r="F1500"/>
          <cell r="G1500">
            <v>2405.9</v>
          </cell>
          <cell r="H1500">
            <v>0</v>
          </cell>
        </row>
        <row r="1501">
          <cell r="C1501" t="str">
            <v>9.2.49</v>
          </cell>
          <cell r="D1501" t="str">
            <v xml:space="preserve"> Toco Em Aço Carbono Com Flange, Esp.=1/4", Ø450  Mm, Peso ±  43 Kg, L = 0,40 M</v>
          </cell>
          <cell r="E1501" t="str">
            <v>un</v>
          </cell>
          <cell r="F1501"/>
          <cell r="G1501">
            <v>778.89</v>
          </cell>
          <cell r="H1501">
            <v>0</v>
          </cell>
        </row>
        <row r="1502">
          <cell r="C1502" t="str">
            <v>9.2.50</v>
          </cell>
          <cell r="D1502" t="str">
            <v xml:space="preserve"> Toco Em Aço Carbono Com Flange, Esp.=1/4", Ø350 Mm, Peso ±  30 Kg, L = 0,36 M</v>
          </cell>
          <cell r="E1502" t="str">
            <v>un</v>
          </cell>
          <cell r="F1502"/>
          <cell r="G1502">
            <v>519.26</v>
          </cell>
          <cell r="H1502">
            <v>0</v>
          </cell>
        </row>
        <row r="1503">
          <cell r="C1503" t="str">
            <v>9.2.51</v>
          </cell>
          <cell r="D1503" t="str">
            <v xml:space="preserve"> Toco Em Aço Carbono Com Flange, Esp.=1/4", Ø200 Mm, Peso ±  17 Kg, L = 0,35 M</v>
          </cell>
          <cell r="E1503" t="str">
            <v>un</v>
          </cell>
          <cell r="F1503"/>
          <cell r="G1503">
            <v>311.56</v>
          </cell>
          <cell r="H1503">
            <v>0</v>
          </cell>
        </row>
        <row r="1504">
          <cell r="C1504" t="str">
            <v>9.2.52</v>
          </cell>
          <cell r="D1504" t="str">
            <v xml:space="preserve"> Curva 90º Com Flanges, Aço Carbono, Esp.=3/8", Ø700 Mm, Peso ±  203 Kg</v>
          </cell>
          <cell r="E1504" t="str">
            <v>un</v>
          </cell>
          <cell r="F1504"/>
          <cell r="G1504">
            <v>4084.85</v>
          </cell>
          <cell r="H1504">
            <v>0</v>
          </cell>
        </row>
        <row r="1505">
          <cell r="C1505" t="str">
            <v>9.2.53</v>
          </cell>
          <cell r="D1505" t="str">
            <v xml:space="preserve"> Toco Com Flanges E Aba De Vedação, Ø300 Mm, Fofo, L = 0,70 M </v>
          </cell>
          <cell r="E1505" t="str">
            <v>un</v>
          </cell>
          <cell r="F1505"/>
          <cell r="G1505">
            <v>974.13</v>
          </cell>
          <cell r="H1505">
            <v>0</v>
          </cell>
        </row>
        <row r="1506">
          <cell r="C1506" t="str">
            <v>9.2.54</v>
          </cell>
          <cell r="D1506" t="str">
            <v xml:space="preserve"> Curva 90º,  Com Flanges Ø300 Mm Em Fofo -Ø100 Mm</v>
          </cell>
          <cell r="E1506" t="str">
            <v>un</v>
          </cell>
          <cell r="F1506"/>
          <cell r="G1506">
            <v>1272.18</v>
          </cell>
          <cell r="H1506">
            <v>0</v>
          </cell>
        </row>
        <row r="1507">
          <cell r="C1507" t="str">
            <v>9.2.55</v>
          </cell>
          <cell r="D1507" t="str">
            <v xml:space="preserve"> Tubo, Fofo, Ø 100 Mm - L= 6,60 M</v>
          </cell>
          <cell r="E1507" t="str">
            <v>un</v>
          </cell>
          <cell r="F1507"/>
          <cell r="G1507">
            <v>130.88999999999999</v>
          </cell>
          <cell r="H1507">
            <v>0</v>
          </cell>
        </row>
        <row r="1508">
          <cell r="C1508" t="str">
            <v>9.2.56</v>
          </cell>
          <cell r="D1508" t="str">
            <v xml:space="preserve"> Curva 45º Com Pontas, Aço Carbono, Ø1000 Mm Esp=3/8", Peso ± 248 Kg</v>
          </cell>
          <cell r="E1508" t="str">
            <v>un</v>
          </cell>
          <cell r="F1508"/>
          <cell r="G1508">
            <v>8048.54</v>
          </cell>
          <cell r="H1508">
            <v>0</v>
          </cell>
        </row>
        <row r="1509">
          <cell r="C1509" t="str">
            <v>9.2.57</v>
          </cell>
          <cell r="D1509" t="str">
            <v xml:space="preserve"> Toco Ponta/Ponta Com Anel De Engaste, Aço-Carbono, Peso ± 282 Kg, L=1,19 M, Ø1000 Mm</v>
          </cell>
          <cell r="E1509" t="str">
            <v>un</v>
          </cell>
          <cell r="F1509"/>
          <cell r="G1509">
            <v>2475.14</v>
          </cell>
          <cell r="H1509">
            <v>0</v>
          </cell>
        </row>
        <row r="1510">
          <cell r="C1510" t="str">
            <v>9.2.58</v>
          </cell>
          <cell r="D1510" t="str">
            <v xml:space="preserve"> Toco Ponta/Flange, Aço-Carbono, L=0,79 M, Ø1000 Mm, Peso ± 187 Kg</v>
          </cell>
          <cell r="E1510" t="str">
            <v>un</v>
          </cell>
          <cell r="F1510"/>
          <cell r="G1510">
            <v>3392.5</v>
          </cell>
          <cell r="H1510">
            <v>0</v>
          </cell>
        </row>
        <row r="1511">
          <cell r="C1511" t="str">
            <v>9.2.59</v>
          </cell>
          <cell r="D1511" t="str">
            <v>Barrilete Em Aço Carbono, Espes.=3/8", Dn = 1.000 Mm, L = 12,70 M, Com Duas Reduções 1000 X 700 Mm, Com Saídas Flangedas De 3 X Dn = 450 Mm, 1 X Dn = 350 Mm E 2 X Dn = 200 Mm ( Conforme Desenho) :</v>
          </cell>
          <cell r="E1511"/>
          <cell r="F1511"/>
          <cell r="G1511">
            <v>0</v>
          </cell>
          <cell r="H1511">
            <v>0</v>
          </cell>
        </row>
        <row r="1512">
          <cell r="C1512" t="str">
            <v>9.2.60</v>
          </cell>
          <cell r="D1512" t="str">
            <v xml:space="preserve"> Toco Com Flange, Anel De Engaste, Aço Carbono, L=1,30 M, Ø1000 Mm, Peso ±  308 Kg</v>
          </cell>
          <cell r="E1512" t="str">
            <v>un</v>
          </cell>
          <cell r="F1512"/>
          <cell r="G1512">
            <v>5815.72</v>
          </cell>
          <cell r="H1512">
            <v>0</v>
          </cell>
        </row>
        <row r="1513">
          <cell r="C1513" t="str">
            <v>9.2.61</v>
          </cell>
          <cell r="D1513" t="str">
            <v xml:space="preserve"> Tubo Em Aço Carbono, L=2020 Mm, Ø500 Mm, Peso ±  161 Kg</v>
          </cell>
          <cell r="E1513" t="str">
            <v>un</v>
          </cell>
          <cell r="F1513"/>
          <cell r="G1513">
            <v>1402</v>
          </cell>
          <cell r="H1513">
            <v>0</v>
          </cell>
        </row>
        <row r="1514">
          <cell r="C1514" t="str">
            <v>9.2.62</v>
          </cell>
          <cell r="D1514" t="str">
            <v xml:space="preserve"> Tubo Em Aço Carbono, L=5420 Mm, Ø500 Mm, Peso ±  365,5 Kg</v>
          </cell>
          <cell r="E1514" t="str">
            <v>un</v>
          </cell>
          <cell r="F1514"/>
          <cell r="G1514">
            <v>3721.37</v>
          </cell>
          <cell r="H1514">
            <v>0</v>
          </cell>
        </row>
        <row r="1515">
          <cell r="C1515" t="str">
            <v>9.2.63</v>
          </cell>
          <cell r="D1515" t="str">
            <v xml:space="preserve"> Curva 90º, Aço Carbono, Ø500 Mm, Espes.= 1/4", Peso ±  126 Kg</v>
          </cell>
          <cell r="E1515" t="str">
            <v>un</v>
          </cell>
          <cell r="F1515"/>
          <cell r="G1515">
            <v>1142.3699999999999</v>
          </cell>
          <cell r="H1515">
            <v>0</v>
          </cell>
        </row>
        <row r="1516">
          <cell r="C1516" t="str">
            <v>9.2.64</v>
          </cell>
          <cell r="D1516" t="str">
            <v xml:space="preserve"> Junta Dresser Ø1000 Mm</v>
          </cell>
          <cell r="E1516" t="str">
            <v>un</v>
          </cell>
          <cell r="F1516"/>
          <cell r="G1516">
            <v>7843.8</v>
          </cell>
          <cell r="H1516">
            <v>0</v>
          </cell>
        </row>
        <row r="1517">
          <cell r="C1517" t="str">
            <v>9.2.65</v>
          </cell>
          <cell r="D1517" t="str">
            <v xml:space="preserve"> Curva 90º, Aço-Carbono, Ø500 Mm, Esp.=1/4", Peso ± 113 Kg</v>
          </cell>
          <cell r="E1517" t="str">
            <v>un</v>
          </cell>
          <cell r="F1517"/>
          <cell r="G1517">
            <v>1012.55</v>
          </cell>
          <cell r="H1517">
            <v>0</v>
          </cell>
        </row>
        <row r="1518">
          <cell r="C1518" t="str">
            <v>9.2.66</v>
          </cell>
          <cell r="D1518" t="str">
            <v xml:space="preserve"> Curva 90º, Aço-Carbono, Ø500 Mm, Esp.=1/4", Peso ± 330 Kg</v>
          </cell>
          <cell r="E1518" t="str">
            <v>un</v>
          </cell>
          <cell r="F1518"/>
          <cell r="G1518">
            <v>1298.1500000000001</v>
          </cell>
          <cell r="H1518">
            <v>0</v>
          </cell>
        </row>
        <row r="1519">
          <cell r="C1519" t="str">
            <v>9.2.67</v>
          </cell>
          <cell r="D1519" t="str">
            <v xml:space="preserve"> Tubo 3/8"X1400X2229 Mm, Ø700 Mm, Peso ± 308 Kg</v>
          </cell>
          <cell r="E1519" t="str">
            <v>un</v>
          </cell>
          <cell r="F1519"/>
          <cell r="G1519">
            <v>2059.73</v>
          </cell>
          <cell r="H1519">
            <v>0</v>
          </cell>
        </row>
        <row r="1520">
          <cell r="C1520" t="str">
            <v>9.2.68</v>
          </cell>
          <cell r="D1520" t="str">
            <v xml:space="preserve"> Redução Excêntrica  3/8"X2100 Mm, Ø1000 Mm/700 Mm, Peso ± 423 Kg</v>
          </cell>
          <cell r="E1520" t="str">
            <v>un</v>
          </cell>
          <cell r="F1520"/>
          <cell r="G1520">
            <v>3911.77</v>
          </cell>
          <cell r="H1520">
            <v>0</v>
          </cell>
        </row>
        <row r="1521">
          <cell r="C1521" t="str">
            <v>9.2.69</v>
          </cell>
          <cell r="D1521" t="str">
            <v xml:space="preserve"> Tubo 3/8"X1100X1444 Mm, Ø450 Mm, Peso ± 119 Kg</v>
          </cell>
          <cell r="E1521" t="str">
            <v>un</v>
          </cell>
          <cell r="F1521"/>
          <cell r="G1521">
            <v>1021.21</v>
          </cell>
          <cell r="H1521">
            <v>0</v>
          </cell>
        </row>
        <row r="1522">
          <cell r="C1522" t="str">
            <v>9.2.70</v>
          </cell>
          <cell r="D1522" t="str">
            <v xml:space="preserve"> Tubo 3/8"X2055X3171 Mm, Ø1000 Mm, Peso ± 486 Kg</v>
          </cell>
          <cell r="E1522" t="str">
            <v>un</v>
          </cell>
          <cell r="F1522"/>
          <cell r="G1522">
            <v>4275.24</v>
          </cell>
          <cell r="H1522">
            <v>0</v>
          </cell>
        </row>
        <row r="1523">
          <cell r="C1523" t="str">
            <v>9.2.71</v>
          </cell>
          <cell r="D1523" t="str">
            <v xml:space="preserve"> Curva-Tubo 3/8"X550X344 Mm, Ø100 Mm, Peso ± 29 Kg</v>
          </cell>
          <cell r="E1523" t="str">
            <v>un</v>
          </cell>
          <cell r="F1523"/>
          <cell r="G1523">
            <v>259.63</v>
          </cell>
          <cell r="H1523">
            <v>0</v>
          </cell>
        </row>
        <row r="1524">
          <cell r="C1524" t="str">
            <v>9.2.72</v>
          </cell>
          <cell r="D1524" t="str">
            <v xml:space="preserve"> Tubo 3/8"X700X1129 Mm, Ø350 Mm, Peso ± 59 Kg</v>
          </cell>
          <cell r="E1524" t="str">
            <v>un</v>
          </cell>
          <cell r="F1524"/>
          <cell r="G1524">
            <v>562.53</v>
          </cell>
          <cell r="H1524">
            <v>0</v>
          </cell>
        </row>
        <row r="1525">
          <cell r="C1525" t="str">
            <v>9.2.73</v>
          </cell>
          <cell r="D1525" t="str">
            <v xml:space="preserve"> Tubo 3/8"X2600X3171 Mm, Ø1000 Mm, Peso ± 615,5 Kg</v>
          </cell>
          <cell r="E1525" t="str">
            <v>un</v>
          </cell>
          <cell r="F1525"/>
          <cell r="G1525">
            <v>5400.31</v>
          </cell>
          <cell r="H1525">
            <v>0</v>
          </cell>
        </row>
        <row r="1526">
          <cell r="C1526" t="str">
            <v>9.2.74</v>
          </cell>
          <cell r="D1526" t="str">
            <v xml:space="preserve"> Tubo 3/8"X500X658 Mm, Ø200 Mm, Peso ± 24,5 Kg</v>
          </cell>
          <cell r="E1526" t="str">
            <v>un</v>
          </cell>
          <cell r="F1526"/>
          <cell r="G1526">
            <v>282.58999999999997</v>
          </cell>
          <cell r="H1526">
            <v>0</v>
          </cell>
        </row>
        <row r="1527">
          <cell r="C1527" t="str">
            <v>9.2.75</v>
          </cell>
          <cell r="D1527" t="str">
            <v xml:space="preserve"> Tubo 3/8"X1645X3171 Mm, Ø1000 Mm, Peso ± 389,5 Kg</v>
          </cell>
          <cell r="E1527" t="str">
            <v>un</v>
          </cell>
          <cell r="F1527"/>
          <cell r="G1527">
            <v>4492.8999999999996</v>
          </cell>
          <cell r="H1527">
            <v>0</v>
          </cell>
        </row>
        <row r="1528">
          <cell r="C1528" t="str">
            <v>9.2.76</v>
          </cell>
          <cell r="D1528" t="str">
            <v xml:space="preserve"> Redução Concêntrica 3/8"X1258 Mm, Ø1000 Mm/700 Mm, Peso ± 197 Kg</v>
          </cell>
          <cell r="E1528" t="str">
            <v>un</v>
          </cell>
          <cell r="F1528"/>
          <cell r="G1528">
            <v>7537.59</v>
          </cell>
          <cell r="H1528">
            <v>0</v>
          </cell>
        </row>
        <row r="1529">
          <cell r="C1529" t="str">
            <v>9.2.77</v>
          </cell>
          <cell r="D1529" t="str">
            <v xml:space="preserve"> Tubo 3/8"X750X2229 Mm, Ø700 Mm, Peso ± 125 Kg</v>
          </cell>
          <cell r="E1529" t="str">
            <v>un</v>
          </cell>
          <cell r="F1529"/>
          <cell r="G1529">
            <v>1441.88</v>
          </cell>
          <cell r="H1529">
            <v>0</v>
          </cell>
        </row>
        <row r="1530">
          <cell r="C1530" t="str">
            <v>9.2.78</v>
          </cell>
          <cell r="D1530" t="str">
            <v xml:space="preserve"> Colarinho 3/8"X600X1444 Mm, Peso ± 65 Kg</v>
          </cell>
          <cell r="E1530" t="str">
            <v>un</v>
          </cell>
          <cell r="F1530"/>
          <cell r="G1530">
            <v>749.76</v>
          </cell>
          <cell r="H1530">
            <v>0</v>
          </cell>
        </row>
        <row r="1531">
          <cell r="C1531" t="str">
            <v>9.2.79</v>
          </cell>
          <cell r="D1531" t="str">
            <v xml:space="preserve"> Colarinho 3/8"X500X1129 Mm, Peso ± 42 Kg</v>
          </cell>
          <cell r="E1531" t="str">
            <v>un</v>
          </cell>
          <cell r="F1531"/>
          <cell r="G1531">
            <v>484.46</v>
          </cell>
          <cell r="H1531">
            <v>0</v>
          </cell>
        </row>
        <row r="1532">
          <cell r="C1532" t="str">
            <v>9.2.80</v>
          </cell>
          <cell r="D1532" t="str">
            <v xml:space="preserve"> Colarinho 3/8"X350X658 Mm, Peso ± 17 Kg</v>
          </cell>
          <cell r="E1532" t="str">
            <v>un</v>
          </cell>
          <cell r="F1532"/>
          <cell r="G1532">
            <v>196.09</v>
          </cell>
          <cell r="H1532">
            <v>0</v>
          </cell>
        </row>
        <row r="1533">
          <cell r="C1533" t="str">
            <v>9.2.81</v>
          </cell>
          <cell r="D1533" t="str">
            <v xml:space="preserve"> Colarinho 3/8"X255X344 Mm, Peso ± 6,5 Kg</v>
          </cell>
          <cell r="E1533" t="str">
            <v>un</v>
          </cell>
          <cell r="F1533"/>
          <cell r="G1533">
            <v>74.959999999999994</v>
          </cell>
          <cell r="H1533">
            <v>0</v>
          </cell>
        </row>
        <row r="1534">
          <cell r="C1534" t="str">
            <v>9.2.82</v>
          </cell>
          <cell r="D1534" t="str">
            <v xml:space="preserve"> Flange Ø 18"X150 Mm - Astm-Aibi-Gri, Peso ± 10,5 Kg</v>
          </cell>
          <cell r="E1534" t="str">
            <v>un</v>
          </cell>
          <cell r="F1534"/>
          <cell r="G1534">
            <v>121.12</v>
          </cell>
          <cell r="H1534">
            <v>0</v>
          </cell>
        </row>
        <row r="1535">
          <cell r="C1535" t="str">
            <v>9.2.83</v>
          </cell>
          <cell r="D1535" t="str">
            <v xml:space="preserve"> Flange Ø 14"X150 Mm - Astm-Aibi-Gri, Peso ± 17 Kg</v>
          </cell>
          <cell r="E1535" t="str">
            <v>un</v>
          </cell>
          <cell r="F1535"/>
          <cell r="G1535">
            <v>196.09</v>
          </cell>
          <cell r="H1535">
            <v>0</v>
          </cell>
        </row>
        <row r="1536">
          <cell r="C1536" t="str">
            <v>9.2.84</v>
          </cell>
          <cell r="D1536" t="str">
            <v xml:space="preserve"> Flange Ø 8"X150 Mm - Astm-Aibi-Gri, Peso ± 4 Kg</v>
          </cell>
          <cell r="E1536" t="str">
            <v>un</v>
          </cell>
          <cell r="F1536"/>
          <cell r="G1536">
            <v>46.13</v>
          </cell>
          <cell r="H1536">
            <v>0</v>
          </cell>
        </row>
        <row r="1537">
          <cell r="C1537" t="str">
            <v>9.2.85</v>
          </cell>
          <cell r="D1537" t="str">
            <v xml:space="preserve"> Flange Ø 4"X150 Mm - Astm-Aibi-Gri, Peso ± 3,5 Kg</v>
          </cell>
          <cell r="E1537" t="str">
            <v>un</v>
          </cell>
          <cell r="F1537"/>
          <cell r="G1537">
            <v>40.369999999999997</v>
          </cell>
          <cell r="H1537">
            <v>0</v>
          </cell>
        </row>
        <row r="1538">
          <cell r="C1538" t="str">
            <v>9.2.86</v>
          </cell>
          <cell r="D1538" t="str">
            <v xml:space="preserve"> Flange Ø 12"X150 Mm - Astm-Aibi-Gri, Peso ± 13 Kg</v>
          </cell>
          <cell r="E1538" t="str">
            <v>un</v>
          </cell>
          <cell r="F1538"/>
          <cell r="G1538">
            <v>149.94</v>
          </cell>
          <cell r="H1538">
            <v>0</v>
          </cell>
        </row>
        <row r="1539">
          <cell r="C1539" t="str">
            <v>9.2.87</v>
          </cell>
          <cell r="D1539" t="str">
            <v xml:space="preserve"> Tubo 3/8"X420X972 Mm, Ø300 Mm, Peso ± 30,5 Kg</v>
          </cell>
          <cell r="E1539" t="str">
            <v>un</v>
          </cell>
          <cell r="F1539"/>
          <cell r="G1539">
            <v>351.82</v>
          </cell>
          <cell r="H1539">
            <v>0</v>
          </cell>
        </row>
        <row r="1540">
          <cell r="C1540" t="str">
            <v>9.2.88</v>
          </cell>
          <cell r="D1540" t="str">
            <v xml:space="preserve"> Medidor Eletromagnético De Vazões Para Água Bruta Ø 700  Mm</v>
          </cell>
          <cell r="E1540" t="str">
            <v>un</v>
          </cell>
          <cell r="F1540"/>
          <cell r="G1540">
            <v>36912.080000000002</v>
          </cell>
          <cell r="H1540">
            <v>0</v>
          </cell>
        </row>
        <row r="1541">
          <cell r="C1541" t="str">
            <v>9.2.89</v>
          </cell>
          <cell r="D1541" t="str">
            <v xml:space="preserve"> Tanque Hidropneumático, Mont. Vertical, Com Balão Interno De Borracha Para Separação Água/Ar, Em Aço Carbono Esp. 3/8", Indic. Nível, Saídas Flangeadas, V= 20 M³</v>
          </cell>
          <cell r="E1541" t="str">
            <v>un</v>
          </cell>
          <cell r="F1541"/>
          <cell r="G1541">
            <v>342712.36</v>
          </cell>
          <cell r="H1541">
            <v>0</v>
          </cell>
        </row>
        <row r="1542">
          <cell r="C1542" t="str">
            <v>9.2.90</v>
          </cell>
          <cell r="D1542" t="str">
            <v xml:space="preserve"> Tanque Hidropneumático, Mont. Vertical, Com Balão Interno De Borracha Para Separação Água/Ar, Em Aço Carbono Esp. 3/8", Indic. Nível, Saídas Flangeadas, V= 25 M³</v>
          </cell>
          <cell r="E1542" t="str">
            <v>un</v>
          </cell>
          <cell r="F1542"/>
          <cell r="G1542">
            <v>376983.6</v>
          </cell>
          <cell r="H1542">
            <v>0</v>
          </cell>
        </row>
        <row r="1543">
          <cell r="C1543" t="str">
            <v>9.2.91</v>
          </cell>
          <cell r="D1543" t="str">
            <v xml:space="preserve"> Compressor De Ar Portátil P/Tanque Hidropneumático</v>
          </cell>
          <cell r="E1543" t="str">
            <v>un</v>
          </cell>
          <cell r="F1543"/>
          <cell r="G1543">
            <v>1266.08</v>
          </cell>
          <cell r="H1543">
            <v>0</v>
          </cell>
        </row>
        <row r="1544">
          <cell r="C1544" t="str">
            <v>9.2.92</v>
          </cell>
          <cell r="D1544" t="str">
            <v>Talha Manual, Carga 2 Ton</v>
          </cell>
          <cell r="E1544" t="str">
            <v>un</v>
          </cell>
          <cell r="F1544"/>
          <cell r="G1544">
            <v>921.51</v>
          </cell>
          <cell r="H1544">
            <v>0</v>
          </cell>
        </row>
        <row r="1545">
          <cell r="C1545" t="str">
            <v>9.2.93</v>
          </cell>
          <cell r="D1545" t="str">
            <v xml:space="preserve"> Carro Troley</v>
          </cell>
          <cell r="E1545" t="str">
            <v>un</v>
          </cell>
          <cell r="F1545"/>
          <cell r="G1545">
            <v>661.81</v>
          </cell>
          <cell r="H1545">
            <v>0</v>
          </cell>
        </row>
        <row r="1546">
          <cell r="C1546" t="str">
            <v>9.2.94</v>
          </cell>
          <cell r="D1546" t="str">
            <v xml:space="preserve"> Monovia</v>
          </cell>
          <cell r="E1546" t="str">
            <v>m</v>
          </cell>
          <cell r="F1546"/>
          <cell r="G1546">
            <v>207.72</v>
          </cell>
          <cell r="H1546">
            <v>0</v>
          </cell>
        </row>
        <row r="1547">
          <cell r="C1547" t="str">
            <v>9.2.95</v>
          </cell>
          <cell r="D1547" t="str">
            <v>Forca Metálica (Turco) Para Suspensão Das Monovias</v>
          </cell>
          <cell r="E1547" t="str">
            <v>un</v>
          </cell>
          <cell r="F1547"/>
          <cell r="G1547">
            <v>1019.7</v>
          </cell>
          <cell r="H1547">
            <v>0</v>
          </cell>
        </row>
        <row r="1548">
          <cell r="C1548" t="str">
            <v>9.2.96</v>
          </cell>
          <cell r="D1548" t="str">
            <v xml:space="preserve"> Guia De Deslizamento Dos Stop-Log'S, Completa, Com Peça De Ancoragem </v>
          </cell>
          <cell r="E1548" t="str">
            <v>un</v>
          </cell>
          <cell r="F1548"/>
          <cell r="G1548">
            <v>6543.89</v>
          </cell>
          <cell r="H1548">
            <v>0</v>
          </cell>
        </row>
        <row r="1549">
          <cell r="C1549" t="str">
            <v>9.2.97</v>
          </cell>
          <cell r="D1549" t="str">
            <v xml:space="preserve"> Stop-Log Metálico, 0,80 X 1,50 M</v>
          </cell>
          <cell r="E1549" t="str">
            <v>un</v>
          </cell>
          <cell r="F1549"/>
          <cell r="G1549">
            <v>6500.11</v>
          </cell>
          <cell r="H1549">
            <v>0</v>
          </cell>
        </row>
        <row r="1550">
          <cell r="C1550" t="str">
            <v>9.2.98</v>
          </cell>
          <cell r="D1550" t="str">
            <v xml:space="preserve"> Guia De Deslizamento Das Grades, Em Viga "U", 3"X3", Completa, Com Peça De Ancoragem</v>
          </cell>
          <cell r="E1550" t="str">
            <v>un</v>
          </cell>
          <cell r="F1550"/>
          <cell r="G1550">
            <v>3219.59</v>
          </cell>
          <cell r="H1550">
            <v>0</v>
          </cell>
        </row>
        <row r="1551">
          <cell r="C1551" t="str">
            <v>9.2.99</v>
          </cell>
          <cell r="D1551" t="str">
            <v xml:space="preserve"> Viga Pescadora P/ Stop-Log, Larg.= 1,50 M</v>
          </cell>
          <cell r="E1551" t="str">
            <v>un</v>
          </cell>
          <cell r="F1551"/>
          <cell r="G1551">
            <v>6305.91</v>
          </cell>
          <cell r="H1551">
            <v>0</v>
          </cell>
        </row>
        <row r="1552">
          <cell r="C1552" t="str">
            <v>9.2.100</v>
          </cell>
          <cell r="D1552" t="str">
            <v xml:space="preserve"> Grade Metálica</v>
          </cell>
          <cell r="E1552" t="str">
            <v>un</v>
          </cell>
          <cell r="F1552"/>
          <cell r="G1552">
            <v>3164.38</v>
          </cell>
          <cell r="H1552">
            <v>0</v>
          </cell>
        </row>
        <row r="1553">
          <cell r="C1553" t="str">
            <v>9.2.101</v>
          </cell>
          <cell r="D1553" t="str">
            <v xml:space="preserve"> Ventosa De Tríplice Função. Ø100 Mm</v>
          </cell>
          <cell r="E1553" t="str">
            <v>un</v>
          </cell>
          <cell r="F1553"/>
          <cell r="G1553">
            <v>824.41</v>
          </cell>
          <cell r="H1553">
            <v>0</v>
          </cell>
        </row>
        <row r="1554">
          <cell r="C1554" t="str">
            <v>9.2.102</v>
          </cell>
          <cell r="D1554" t="str">
            <v xml:space="preserve"> Válvula De Retenção C/Portinhola Dupla, Ø700 Mm</v>
          </cell>
          <cell r="E1554" t="str">
            <v>un</v>
          </cell>
          <cell r="F1554"/>
          <cell r="G1554">
            <v>12636.8</v>
          </cell>
          <cell r="H1554">
            <v>0</v>
          </cell>
        </row>
        <row r="1555">
          <cell r="C1555" t="str">
            <v>9.2.103</v>
          </cell>
          <cell r="D1555" t="str">
            <v xml:space="preserve"> Flange Cego, Fofo, P/Manutenção Das Bombas, Ø300 Mm</v>
          </cell>
          <cell r="E1555" t="str">
            <v>un</v>
          </cell>
          <cell r="F1555"/>
          <cell r="G1555">
            <v>369.12</v>
          </cell>
          <cell r="H1555">
            <v>0</v>
          </cell>
        </row>
        <row r="1556">
          <cell r="C1556" t="str">
            <v>9.2.104</v>
          </cell>
          <cell r="D1556" t="str">
            <v xml:space="preserve"> Flange Cego, Fofo, P/Manutenção Das Bombas, Ø200 Mm</v>
          </cell>
          <cell r="E1556" t="str">
            <v>un</v>
          </cell>
          <cell r="F1556"/>
          <cell r="G1556">
            <v>252.08</v>
          </cell>
          <cell r="H1556">
            <v>0</v>
          </cell>
        </row>
        <row r="1557">
          <cell r="C1557" t="str">
            <v>9.2.105</v>
          </cell>
          <cell r="D1557" t="str">
            <v xml:space="preserve"> Flange Cego, Fofo, P/Manutenção Das Bombas, Ø150 Mm</v>
          </cell>
          <cell r="E1557" t="str">
            <v>un</v>
          </cell>
          <cell r="F1557"/>
          <cell r="G1557">
            <v>208.92</v>
          </cell>
          <cell r="H1557">
            <v>0</v>
          </cell>
        </row>
        <row r="1558">
          <cell r="C1558" t="str">
            <v>9.2.106</v>
          </cell>
          <cell r="D1558" t="str">
            <v xml:space="preserve"> Tubo, Fogo, Roscável, Ø1/2", L = 1,85 M</v>
          </cell>
          <cell r="E1558" t="str">
            <v>un</v>
          </cell>
          <cell r="F1558"/>
          <cell r="G1558">
            <v>10.66</v>
          </cell>
          <cell r="H1558">
            <v>0</v>
          </cell>
        </row>
        <row r="1559">
          <cell r="C1559" t="str">
            <v>9.2.107</v>
          </cell>
          <cell r="D1559" t="str">
            <v xml:space="preserve"> Registro De Gaveta, Fofo,  Roscável, Ø1/2"</v>
          </cell>
          <cell r="E1559" t="str">
            <v>un</v>
          </cell>
          <cell r="F1559"/>
          <cell r="G1559">
            <v>55.37</v>
          </cell>
          <cell r="H1559">
            <v>0</v>
          </cell>
        </row>
        <row r="1560">
          <cell r="C1560" t="str">
            <v>9.2.108</v>
          </cell>
          <cell r="D1560" t="str">
            <v xml:space="preserve"> Te, Fogo,  Roscável, Ø1/2"</v>
          </cell>
          <cell r="E1560" t="str">
            <v>un</v>
          </cell>
          <cell r="F1560"/>
          <cell r="G1560">
            <v>4.1500000000000004</v>
          </cell>
          <cell r="H1560">
            <v>0</v>
          </cell>
        </row>
        <row r="1561">
          <cell r="C1561" t="str">
            <v>9.2.109</v>
          </cell>
          <cell r="D1561" t="str">
            <v xml:space="preserve"> Ventosa Simples, C/Rosca, Ø1/2"</v>
          </cell>
          <cell r="E1561" t="str">
            <v>un</v>
          </cell>
          <cell r="F1561"/>
          <cell r="G1561">
            <v>209.6</v>
          </cell>
          <cell r="H1561">
            <v>0</v>
          </cell>
        </row>
        <row r="1562">
          <cell r="C1562" t="str">
            <v>9.2.110</v>
          </cell>
          <cell r="D1562" t="str">
            <v xml:space="preserve"> Medidor De Pressão Com Emissão De Sinal De 4-20 Ma, Roscável, Ø1/2"</v>
          </cell>
          <cell r="E1562" t="str">
            <v>un</v>
          </cell>
          <cell r="F1562"/>
          <cell r="G1562">
            <v>2317.8000000000002</v>
          </cell>
          <cell r="H1562">
            <v>0</v>
          </cell>
        </row>
        <row r="1563">
          <cell r="C1563" t="str">
            <v>9.2.111</v>
          </cell>
          <cell r="D1563" t="str">
            <v xml:space="preserve"> Luva, Fogo, Ø1/2"</v>
          </cell>
          <cell r="E1563" t="str">
            <v>un</v>
          </cell>
          <cell r="F1563"/>
          <cell r="G1563">
            <v>3.22</v>
          </cell>
          <cell r="H1563">
            <v>0</v>
          </cell>
        </row>
        <row r="1564">
          <cell r="C1564" t="str">
            <v>9.2.112</v>
          </cell>
          <cell r="D1564" t="str">
            <v xml:space="preserve"> Válvula De Retenção, Portinhola Dupla Perfurada, Ø500 Mm, P/Tanque Hidropneumático</v>
          </cell>
          <cell r="E1564" t="str">
            <v>un</v>
          </cell>
          <cell r="F1564"/>
          <cell r="G1564">
            <v>19035.759999999998</v>
          </cell>
          <cell r="H1564">
            <v>0</v>
          </cell>
        </row>
        <row r="1565">
          <cell r="C1565" t="str">
            <v>9.2.113</v>
          </cell>
          <cell r="D1565" t="str">
            <v xml:space="preserve"> Junta Dresser, Ø500 Mm</v>
          </cell>
          <cell r="E1565" t="str">
            <v>un</v>
          </cell>
          <cell r="F1565"/>
          <cell r="G1565">
            <v>2621.75</v>
          </cell>
          <cell r="H1565">
            <v>0</v>
          </cell>
        </row>
        <row r="1566">
          <cell r="C1566" t="str">
            <v>9.2.114</v>
          </cell>
          <cell r="D1566" t="str">
            <v xml:space="preserve"> Acessórios P/Flanges, Fofo, Ø100 Mm</v>
          </cell>
          <cell r="E1566" t="str">
            <v>un</v>
          </cell>
          <cell r="F1566"/>
          <cell r="G1566">
            <v>60.71</v>
          </cell>
          <cell r="H1566">
            <v>0</v>
          </cell>
        </row>
        <row r="1567">
          <cell r="C1567" t="str">
            <v>9.2.115</v>
          </cell>
          <cell r="D1567" t="str">
            <v xml:space="preserve"> Acessórios P/Flanges, Aço, Ø150 Mm</v>
          </cell>
          <cell r="E1567" t="str">
            <v>un</v>
          </cell>
          <cell r="F1567"/>
          <cell r="G1567">
            <v>78.95</v>
          </cell>
          <cell r="H1567">
            <v>0</v>
          </cell>
        </row>
        <row r="1568">
          <cell r="C1568" t="str">
            <v>9.2.116</v>
          </cell>
          <cell r="D1568" t="str">
            <v xml:space="preserve"> Acessórios P/Flanges, Aço, Ø200 Mm</v>
          </cell>
          <cell r="E1568" t="str">
            <v>un</v>
          </cell>
          <cell r="F1568"/>
          <cell r="G1568">
            <v>102.33</v>
          </cell>
          <cell r="H1568">
            <v>0</v>
          </cell>
        </row>
        <row r="1569">
          <cell r="C1569" t="str">
            <v>9.2.117</v>
          </cell>
          <cell r="D1569" t="str">
            <v xml:space="preserve"> Acessórios P/Flanges, Aço, Ø250 Mm</v>
          </cell>
          <cell r="E1569" t="str">
            <v>un</v>
          </cell>
          <cell r="F1569"/>
          <cell r="G1569">
            <v>161.16</v>
          </cell>
          <cell r="H1569">
            <v>0</v>
          </cell>
        </row>
        <row r="1570">
          <cell r="C1570" t="str">
            <v>9.2.118</v>
          </cell>
          <cell r="D1570" t="str">
            <v xml:space="preserve"> Acessórios P/Flanges, Fofo, Ø300 Mm</v>
          </cell>
          <cell r="E1570" t="str">
            <v>un</v>
          </cell>
          <cell r="F1570"/>
          <cell r="G1570">
            <v>178.82</v>
          </cell>
          <cell r="H1570">
            <v>0</v>
          </cell>
        </row>
        <row r="1571">
          <cell r="C1571" t="str">
            <v>9.2.119</v>
          </cell>
          <cell r="D1571" t="str">
            <v xml:space="preserve"> Acessórios P/Flanges, Aço, Ø300 Mm</v>
          </cell>
          <cell r="E1571" t="str">
            <v>un</v>
          </cell>
          <cell r="F1571"/>
          <cell r="G1571">
            <v>178.82</v>
          </cell>
          <cell r="H1571">
            <v>0</v>
          </cell>
        </row>
        <row r="1572">
          <cell r="C1572" t="str">
            <v>9.2.120</v>
          </cell>
          <cell r="D1572" t="str">
            <v xml:space="preserve"> Acessórios P/Flanges, Aço, Ø350 Mm</v>
          </cell>
          <cell r="E1572" t="str">
            <v>un</v>
          </cell>
          <cell r="F1572"/>
          <cell r="G1572">
            <v>234.06</v>
          </cell>
          <cell r="H1572">
            <v>0</v>
          </cell>
        </row>
        <row r="1573">
          <cell r="C1573" t="str">
            <v>9.2.121</v>
          </cell>
          <cell r="D1573" t="str">
            <v xml:space="preserve"> Acessórios P/Flanges, Aço, Ø450 Mm</v>
          </cell>
          <cell r="E1573" t="str">
            <v>un</v>
          </cell>
          <cell r="F1573"/>
          <cell r="G1573">
            <v>417.4</v>
          </cell>
          <cell r="H1573">
            <v>0</v>
          </cell>
        </row>
        <row r="1574">
          <cell r="C1574" t="str">
            <v>9.2.122</v>
          </cell>
          <cell r="D1574" t="str">
            <v xml:space="preserve"> Acessórios P/Flanges, Aço, Ø500 Mm</v>
          </cell>
          <cell r="E1574" t="str">
            <v>un</v>
          </cell>
          <cell r="F1574"/>
          <cell r="G1574">
            <v>418.17</v>
          </cell>
          <cell r="H1574">
            <v>0</v>
          </cell>
        </row>
        <row r="1575">
          <cell r="C1575" t="str">
            <v>9.2.123</v>
          </cell>
          <cell r="D1575" t="str">
            <v xml:space="preserve"> Acessórios P/Flanges, Aço, Ø700 Mm</v>
          </cell>
          <cell r="E1575" t="str">
            <v>un</v>
          </cell>
          <cell r="F1575"/>
          <cell r="G1575">
            <v>862.56</v>
          </cell>
          <cell r="H1575">
            <v>0</v>
          </cell>
        </row>
        <row r="1576">
          <cell r="C1576" t="str">
            <v>9.2.124</v>
          </cell>
          <cell r="D1576" t="str">
            <v xml:space="preserve"> Acessórios P/Flanges, Aço, Ø1000 Mm</v>
          </cell>
          <cell r="E1576" t="str">
            <v>un</v>
          </cell>
          <cell r="F1576"/>
          <cell r="G1576">
            <v>1691.76</v>
          </cell>
          <cell r="H1576">
            <v>0</v>
          </cell>
        </row>
        <row r="1577">
          <cell r="C1577" t="str">
            <v>9.2.125</v>
          </cell>
          <cell r="D1577" t="str">
            <v xml:space="preserve"> Ventilador Axial</v>
          </cell>
          <cell r="E1577" t="str">
            <v>un</v>
          </cell>
          <cell r="F1577"/>
          <cell r="G1577">
            <v>247.51</v>
          </cell>
          <cell r="H1577">
            <v>0</v>
          </cell>
        </row>
        <row r="1578">
          <cell r="C1578" t="str">
            <v>9.2.126</v>
          </cell>
          <cell r="D1578" t="str">
            <v>Curva 45º, Fºfº, C/Flanges, Dn = 300 Mm</v>
          </cell>
          <cell r="E1578" t="str">
            <v>un</v>
          </cell>
          <cell r="F1578"/>
          <cell r="G1578">
            <v>862.12</v>
          </cell>
          <cell r="H1578">
            <v>0</v>
          </cell>
        </row>
        <row r="1579">
          <cell r="C1579" t="str">
            <v>9.2.127</v>
          </cell>
          <cell r="D1579" t="str">
            <v xml:space="preserve"> Válvula De Gaveta, Fºfº, Dn = 100 Mm</v>
          </cell>
          <cell r="E1579" t="str">
            <v>un</v>
          </cell>
          <cell r="F1579"/>
          <cell r="G1579">
            <v>706.36</v>
          </cell>
          <cell r="H1579">
            <v>0</v>
          </cell>
        </row>
        <row r="1580">
          <cell r="C1580" t="str">
            <v>9.2.128</v>
          </cell>
          <cell r="D1580" t="str">
            <v>Para-Raios Monopolares 12 Kv,  5 Ka</v>
          </cell>
          <cell r="E1580" t="str">
            <v>pç</v>
          </cell>
          <cell r="F1580"/>
          <cell r="G1580">
            <v>342.7</v>
          </cell>
          <cell r="H1580">
            <v>0</v>
          </cell>
        </row>
        <row r="1581">
          <cell r="C1581" t="str">
            <v>9.2.129</v>
          </cell>
          <cell r="D1581" t="str">
            <v>Chaves Fusíveis Indicadora Monopolar,15Kv-100A-5Ka,Elos 40 K</v>
          </cell>
          <cell r="E1581" t="str">
            <v>pç</v>
          </cell>
          <cell r="F1581"/>
          <cell r="G1581">
            <v>187.15</v>
          </cell>
          <cell r="H1581">
            <v>0</v>
          </cell>
        </row>
        <row r="1582">
          <cell r="C1582" t="str">
            <v>9.2.130</v>
          </cell>
          <cell r="D1582" t="str">
            <v>Transformador  De Corrente,15 Kv, Relação 400/5A</v>
          </cell>
          <cell r="E1582" t="str">
            <v>pç</v>
          </cell>
          <cell r="F1582"/>
          <cell r="G1582">
            <v>2284.75</v>
          </cell>
          <cell r="H1582">
            <v>0</v>
          </cell>
        </row>
        <row r="1583">
          <cell r="C1583" t="str">
            <v>9.2.131</v>
          </cell>
          <cell r="D1583" t="str">
            <v>Chave Secionadora Tripolar ,15 Kv-400A</v>
          </cell>
          <cell r="E1583" t="str">
            <v>pç</v>
          </cell>
          <cell r="F1583"/>
          <cell r="G1583">
            <v>1523.16</v>
          </cell>
          <cell r="H1583">
            <v>0</v>
          </cell>
        </row>
        <row r="1584">
          <cell r="C1584" t="str">
            <v>9.2.132</v>
          </cell>
          <cell r="D1584" t="str">
            <v>Disjuntor Tripolar,15 Kv-630A,350 Mva De Ruptura</v>
          </cell>
          <cell r="E1584" t="str">
            <v>pç</v>
          </cell>
          <cell r="F1584"/>
          <cell r="G1584">
            <v>18335.099999999999</v>
          </cell>
          <cell r="H1584">
            <v>0</v>
          </cell>
        </row>
        <row r="1585">
          <cell r="C1585" t="str">
            <v>9.2.133</v>
          </cell>
          <cell r="D1585" t="str">
            <v>Transformador De Potencia,13800/380-220V-750 Kva</v>
          </cell>
          <cell r="E1585" t="str">
            <v>pç</v>
          </cell>
          <cell r="F1585"/>
          <cell r="G1585">
            <v>34537.79</v>
          </cell>
          <cell r="H1585">
            <v>0</v>
          </cell>
        </row>
        <row r="1586">
          <cell r="C1586" t="str">
            <v>9.2.134</v>
          </cell>
          <cell r="D1586" t="str">
            <v>Painel De Relés De Proteção Da Subestação</v>
          </cell>
          <cell r="E1586" t="str">
            <v>pç</v>
          </cell>
          <cell r="F1586"/>
          <cell r="G1586">
            <v>21551.06</v>
          </cell>
          <cell r="H1586">
            <v>0</v>
          </cell>
        </row>
        <row r="1587">
          <cell r="C1587" t="str">
            <v>9.2.135</v>
          </cell>
          <cell r="D1587" t="str">
            <v>Poste De Concreto Duplo T, 7,00 M De Altura</v>
          </cell>
          <cell r="E1587" t="str">
            <v>pç</v>
          </cell>
          <cell r="F1587"/>
          <cell r="G1587">
            <v>571.63</v>
          </cell>
          <cell r="H1587">
            <v>0</v>
          </cell>
        </row>
        <row r="1588">
          <cell r="C1588" t="str">
            <v>9.2.136</v>
          </cell>
          <cell r="D1588" t="str">
            <v xml:space="preserve">Perfil  L 3 X 4 X 5/16 X 2760Mm, 7,94 Kg/ M ,Galvanizado </v>
          </cell>
          <cell r="E1588" t="str">
            <v>pç</v>
          </cell>
          <cell r="F1588"/>
          <cell r="G1588">
            <v>685.97</v>
          </cell>
          <cell r="H1588">
            <v>0</v>
          </cell>
        </row>
        <row r="1589">
          <cell r="C1589" t="str">
            <v>9.2.137</v>
          </cell>
          <cell r="D1589" t="str">
            <v>Perfil C, 4"X 1 5/8"X 2760Mm ; 9,30 Kg/M, Galvanizado</v>
          </cell>
          <cell r="E1589" t="str">
            <v>pç</v>
          </cell>
          <cell r="F1589"/>
          <cell r="G1589">
            <v>943.21</v>
          </cell>
          <cell r="H1589">
            <v>0</v>
          </cell>
        </row>
        <row r="1590">
          <cell r="C1590" t="str">
            <v>9.2.138</v>
          </cell>
          <cell r="D1590" t="str">
            <v xml:space="preserve">Chapa De Ferro Galvanizada,100 X 380Mm X 1/4" </v>
          </cell>
          <cell r="E1590" t="str">
            <v>pç</v>
          </cell>
          <cell r="F1590"/>
          <cell r="G1590">
            <v>200.08</v>
          </cell>
          <cell r="H1590">
            <v>0</v>
          </cell>
        </row>
        <row r="1591">
          <cell r="C1591" t="str">
            <v>9.2.139</v>
          </cell>
          <cell r="D1591" t="str">
            <v xml:space="preserve">Chapa De Ferro Galvanizada,100 X 220 Mmx 1/4" </v>
          </cell>
          <cell r="E1591" t="str">
            <v>pç</v>
          </cell>
          <cell r="F1591"/>
          <cell r="G1591">
            <v>154.34</v>
          </cell>
          <cell r="H1591">
            <v>0</v>
          </cell>
        </row>
        <row r="1592">
          <cell r="C1592" t="str">
            <v>9.2.140</v>
          </cell>
          <cell r="D1592" t="str">
            <v xml:space="preserve">Chapa De Ferro Galvanizada,300 X1250 Mm X 1/4" </v>
          </cell>
          <cell r="E1592" t="str">
            <v>pç</v>
          </cell>
          <cell r="F1592"/>
          <cell r="G1592">
            <v>857.48</v>
          </cell>
          <cell r="H1592">
            <v>0</v>
          </cell>
        </row>
        <row r="1593">
          <cell r="C1593" t="str">
            <v>9.2.141</v>
          </cell>
          <cell r="D1593" t="str">
            <v>Perfil L  2"X 100Mm X 5/16 "Para Fixação De Chave Fusível</v>
          </cell>
          <cell r="E1593" t="str">
            <v>pç</v>
          </cell>
          <cell r="F1593"/>
          <cell r="G1593">
            <v>68.61</v>
          </cell>
          <cell r="H1593">
            <v>0</v>
          </cell>
        </row>
        <row r="1594">
          <cell r="C1594" t="str">
            <v>9.2.142</v>
          </cell>
          <cell r="D1594" t="str">
            <v>Perfil L  2"X 2 "X 1750Mm Para Fixação Dos Para-Raios</v>
          </cell>
          <cell r="E1594" t="str">
            <v>pç</v>
          </cell>
          <cell r="F1594"/>
          <cell r="G1594">
            <v>68.61</v>
          </cell>
          <cell r="H1594">
            <v>0</v>
          </cell>
        </row>
        <row r="1595">
          <cell r="C1595" t="str">
            <v>9.2.143</v>
          </cell>
          <cell r="D1595" t="str">
            <v>Perfil C 4"X1 5/8" X 1250Mm Para Fixação Dos Isoladores De Pedestal</v>
          </cell>
          <cell r="E1595" t="str">
            <v>pç</v>
          </cell>
          <cell r="F1595"/>
          <cell r="G1595">
            <v>434.46</v>
          </cell>
          <cell r="H1595">
            <v>0</v>
          </cell>
        </row>
        <row r="1596">
          <cell r="C1596" t="str">
            <v>9.2.144</v>
          </cell>
          <cell r="D1596" t="str">
            <v>Tubo De Ferro Galvanizado Diam 4"X 3,00M ,Para Mourão De Cerca</v>
          </cell>
          <cell r="E1596" t="str">
            <v>pç</v>
          </cell>
          <cell r="F1596"/>
          <cell r="G1596">
            <v>342.99</v>
          </cell>
          <cell r="H1596">
            <v>0</v>
          </cell>
        </row>
        <row r="1597">
          <cell r="C1597" t="str">
            <v>9.2.145</v>
          </cell>
          <cell r="D1597" t="str">
            <v>Cap Para Tubo Diam 4 ", Ferro Galvanizado</v>
          </cell>
          <cell r="E1597" t="str">
            <v>pç</v>
          </cell>
          <cell r="F1597"/>
          <cell r="G1597">
            <v>17.13</v>
          </cell>
          <cell r="H1597">
            <v>0</v>
          </cell>
        </row>
        <row r="1598">
          <cell r="C1598" t="str">
            <v>9.2.146</v>
          </cell>
          <cell r="D1598" t="str">
            <v>Painel Para Cerca Em Perfis, Ferro Chato E Tela De Arame Galv. 2,00 X 2,50M</v>
          </cell>
          <cell r="E1598" t="str">
            <v>pç</v>
          </cell>
          <cell r="F1598"/>
          <cell r="G1598">
            <v>743.15</v>
          </cell>
          <cell r="H1598">
            <v>0</v>
          </cell>
        </row>
        <row r="1599">
          <cell r="C1599" t="str">
            <v>9.2.147</v>
          </cell>
          <cell r="D1599" t="str">
            <v>Painel Para Cerca Em Perfis, Ferro Chato E Tela De Arame Galv. 2,50 X 2,50M</v>
          </cell>
          <cell r="E1599" t="str">
            <v>pç</v>
          </cell>
          <cell r="F1599"/>
          <cell r="G1599">
            <v>914.63</v>
          </cell>
          <cell r="H1599">
            <v>0</v>
          </cell>
        </row>
        <row r="1600">
          <cell r="C1600" t="str">
            <v>9.2.148</v>
          </cell>
          <cell r="D1600" t="str">
            <v>Painel Para Cerca Em Perfis, Ferro Chato E Tela De Arame Galv. 2,30 X 2,50M</v>
          </cell>
          <cell r="E1600" t="str">
            <v>pç</v>
          </cell>
          <cell r="F1600"/>
          <cell r="G1600">
            <v>914.63</v>
          </cell>
          <cell r="H1600">
            <v>0</v>
          </cell>
        </row>
        <row r="1601">
          <cell r="C1601" t="str">
            <v>9.2.149</v>
          </cell>
          <cell r="D1601" t="str">
            <v>Portão Em Perfis, Ferro Chato E Tela De Arame Galv. 1,20 X 2,20M</v>
          </cell>
          <cell r="E1601" t="str">
            <v>pç</v>
          </cell>
          <cell r="F1601"/>
          <cell r="G1601">
            <v>454.75</v>
          </cell>
          <cell r="H1601">
            <v>0</v>
          </cell>
        </row>
        <row r="1602">
          <cell r="C1602" t="str">
            <v>9.2.150</v>
          </cell>
          <cell r="D1602" t="str">
            <v>Cinta Para Poste Duplo T ,130 X 170Mm ,Galvanizado</v>
          </cell>
          <cell r="E1602" t="str">
            <v>pç</v>
          </cell>
          <cell r="F1602"/>
          <cell r="G1602">
            <v>34.299999999999997</v>
          </cell>
          <cell r="H1602">
            <v>0</v>
          </cell>
        </row>
        <row r="1603">
          <cell r="C1603" t="str">
            <v>9.2.151</v>
          </cell>
          <cell r="D1603" t="str">
            <v>Parafuso De Máquina Diam 5/8 "X 350Mm,Cabeça Quadrada,2 Porcas E 2 Arruelas</v>
          </cell>
          <cell r="E1603" t="str">
            <v>pç</v>
          </cell>
          <cell r="F1603"/>
          <cell r="G1603">
            <v>1.9</v>
          </cell>
          <cell r="H1603">
            <v>0</v>
          </cell>
        </row>
        <row r="1604">
          <cell r="C1604" t="str">
            <v>9.2.152</v>
          </cell>
          <cell r="D1604" t="str">
            <v>Parafuso De Máquina Diam. 5/8"X 200 Mm ,Com Porca ,Arruela Lisa E De Pressão</v>
          </cell>
          <cell r="E1604" t="str">
            <v>pç</v>
          </cell>
          <cell r="F1604"/>
          <cell r="G1604">
            <v>1.71</v>
          </cell>
          <cell r="H1604">
            <v>0</v>
          </cell>
        </row>
        <row r="1605">
          <cell r="C1605" t="str">
            <v>9.2.153</v>
          </cell>
          <cell r="D1605" t="str">
            <v>Porca Olhal ,Ferro Fundido Nodular, Para Parafuso Diam 5/8",Tipo Ad-1522 Wetzel</v>
          </cell>
          <cell r="E1605" t="str">
            <v>pç</v>
          </cell>
          <cell r="F1605"/>
          <cell r="G1605">
            <v>2.2799999999999998</v>
          </cell>
          <cell r="H1605">
            <v>0</v>
          </cell>
        </row>
        <row r="1606">
          <cell r="C1606" t="str">
            <v>9.2.154</v>
          </cell>
          <cell r="D1606" t="str">
            <v xml:space="preserve">Gancho Olhal Galvanizado </v>
          </cell>
          <cell r="E1606" t="str">
            <v>pç</v>
          </cell>
          <cell r="F1606"/>
          <cell r="G1606">
            <v>17.13</v>
          </cell>
          <cell r="H1606">
            <v>0</v>
          </cell>
        </row>
        <row r="1607">
          <cell r="C1607" t="str">
            <v>9.2.155</v>
          </cell>
          <cell r="D1607" t="str">
            <v>Grampo De Ancoragem Universal,Ferro Fundido Nodular</v>
          </cell>
          <cell r="E1607" t="str">
            <v>pç</v>
          </cell>
          <cell r="F1607"/>
          <cell r="G1607">
            <v>29.7</v>
          </cell>
          <cell r="H1607">
            <v>0</v>
          </cell>
        </row>
        <row r="1608">
          <cell r="C1608" t="str">
            <v>9.2.156</v>
          </cell>
          <cell r="D1608" t="str">
            <v>Isolador De Disco ,Vidro Temperado, Garfo-Olhal</v>
          </cell>
          <cell r="E1608" t="str">
            <v>pç</v>
          </cell>
          <cell r="F1608"/>
          <cell r="G1608">
            <v>95.19</v>
          </cell>
          <cell r="H1608">
            <v>0</v>
          </cell>
        </row>
        <row r="1609">
          <cell r="C1609" t="str">
            <v>9.2.157</v>
          </cell>
          <cell r="D1609" t="str">
            <v>Isolador Pedestal Para 15 Kv</v>
          </cell>
          <cell r="E1609" t="str">
            <v>pç</v>
          </cell>
          <cell r="F1609"/>
          <cell r="G1609">
            <v>95.19</v>
          </cell>
          <cell r="H1609">
            <v>0</v>
          </cell>
        </row>
        <row r="1610">
          <cell r="C1610" t="str">
            <v>9.2.158</v>
          </cell>
          <cell r="D1610" t="str">
            <v>Isolador De Passagem 15Kv-160A</v>
          </cell>
          <cell r="E1610" t="str">
            <v>pç</v>
          </cell>
          <cell r="F1610"/>
          <cell r="G1610">
            <v>190.38</v>
          </cell>
          <cell r="H1610">
            <v>0</v>
          </cell>
        </row>
        <row r="1611">
          <cell r="C1611" t="str">
            <v>9.2.159</v>
          </cell>
          <cell r="D1611" t="str">
            <v>Conector Para 2 Cabos De Cobre 35Mm2</v>
          </cell>
          <cell r="E1611" t="str">
            <v>pç</v>
          </cell>
          <cell r="F1611"/>
          <cell r="G1611">
            <v>8.56</v>
          </cell>
          <cell r="H1611">
            <v>0</v>
          </cell>
        </row>
        <row r="1612">
          <cell r="C1612" t="str">
            <v>9.2.160</v>
          </cell>
          <cell r="D1612" t="str">
            <v>Conector Para Isolador Pedestal E Cabo 35Mm2 Ou Vergalhão 6,5Mm2</v>
          </cell>
          <cell r="E1612" t="str">
            <v>pç</v>
          </cell>
          <cell r="F1612"/>
          <cell r="G1612">
            <v>12.94</v>
          </cell>
          <cell r="H1612">
            <v>0</v>
          </cell>
        </row>
        <row r="1613">
          <cell r="C1613" t="str">
            <v>9.2.161</v>
          </cell>
          <cell r="D1613" t="str">
            <v>Conector Barra Chata 4 Furos Nema E 2 Cabos 185Mm2</v>
          </cell>
          <cell r="E1613" t="str">
            <v>pç</v>
          </cell>
          <cell r="F1613"/>
          <cell r="G1613">
            <v>8.18</v>
          </cell>
          <cell r="H1613">
            <v>0</v>
          </cell>
        </row>
        <row r="1614">
          <cell r="C1614" t="str">
            <v>9.2.162</v>
          </cell>
          <cell r="D1614" t="str">
            <v>Conector Para 2 Cabos De Cobre 16Mm2</v>
          </cell>
          <cell r="E1614" t="str">
            <v>pç</v>
          </cell>
          <cell r="F1614"/>
          <cell r="G1614">
            <v>3.42</v>
          </cell>
          <cell r="H1614">
            <v>0</v>
          </cell>
        </row>
        <row r="1615">
          <cell r="C1615" t="str">
            <v>9.2.163</v>
          </cell>
          <cell r="D1615" t="str">
            <v xml:space="preserve">Vergalhão De Cobre Têmpera Dura ,Diam De 6,5Mm2 X 10,0 M  </v>
          </cell>
          <cell r="E1615" t="str">
            <v>pç</v>
          </cell>
          <cell r="F1615"/>
          <cell r="G1615">
            <v>22.85</v>
          </cell>
          <cell r="H1615">
            <v>0</v>
          </cell>
        </row>
        <row r="1616">
          <cell r="C1616" t="str">
            <v>9.2.164</v>
          </cell>
          <cell r="D1616" t="str">
            <v>Cabo De Cobre Nú, Tempera Meio Dura, Seção De 70Mm2</v>
          </cell>
          <cell r="E1616" t="str">
            <v>m</v>
          </cell>
          <cell r="F1616"/>
          <cell r="G1616">
            <v>14.84</v>
          </cell>
          <cell r="H1616">
            <v>0</v>
          </cell>
        </row>
        <row r="1617">
          <cell r="C1617" t="str">
            <v>9.2.165</v>
          </cell>
          <cell r="D1617" t="str">
            <v>Cabo De Cobre Nú,Tempera Meio Dura, Seção De 35Mm2</v>
          </cell>
          <cell r="E1617" t="str">
            <v>m</v>
          </cell>
          <cell r="F1617"/>
          <cell r="G1617">
            <v>10.28</v>
          </cell>
          <cell r="H1617">
            <v>0</v>
          </cell>
        </row>
        <row r="1618">
          <cell r="C1618" t="str">
            <v>9.2.166</v>
          </cell>
          <cell r="D1618" t="str">
            <v>Cabo De Cobre Nú, Tempera Meio Dura, Seção 16Mm2</v>
          </cell>
          <cell r="E1618" t="str">
            <v>m</v>
          </cell>
          <cell r="F1618"/>
          <cell r="G1618">
            <v>3.62</v>
          </cell>
          <cell r="H1618">
            <v>0</v>
          </cell>
        </row>
        <row r="1619">
          <cell r="C1619" t="str">
            <v>9.2.167</v>
          </cell>
          <cell r="D1619" t="str">
            <v>Luminária Com Lâmpada Mista 250W-220V</v>
          </cell>
          <cell r="E1619" t="str">
            <v>pç</v>
          </cell>
          <cell r="F1619"/>
          <cell r="G1619">
            <v>77.680000000000007</v>
          </cell>
          <cell r="H1619">
            <v>0</v>
          </cell>
        </row>
        <row r="1620">
          <cell r="C1620" t="str">
            <v>9.2.168</v>
          </cell>
          <cell r="D1620" t="str">
            <v>Eletroduto De Pvc Rígido ,Diam 4"X 3,0M Com 1 Luva</v>
          </cell>
          <cell r="E1620" t="str">
            <v>pç</v>
          </cell>
          <cell r="F1620"/>
          <cell r="G1620">
            <v>73.260000000000005</v>
          </cell>
          <cell r="H1620">
            <v>0</v>
          </cell>
        </row>
        <row r="1621">
          <cell r="C1621" t="str">
            <v>9.2.169</v>
          </cell>
          <cell r="D1621" t="str">
            <v>Eletroduto De Pvc Rígido ,Diam 1"X 3,0M Com 1 Luva</v>
          </cell>
          <cell r="E1621" t="str">
            <v>pç</v>
          </cell>
          <cell r="F1621"/>
          <cell r="G1621">
            <v>9.5500000000000007</v>
          </cell>
          <cell r="H1621">
            <v>0</v>
          </cell>
        </row>
        <row r="1622">
          <cell r="C1622" t="str">
            <v>9.2.170</v>
          </cell>
          <cell r="D1622" t="str">
            <v>Curva  90 Graus De Pvc Rígido ,Diam 4",Com 2 Luvas</v>
          </cell>
          <cell r="E1622" t="str">
            <v>pç</v>
          </cell>
          <cell r="F1622"/>
          <cell r="G1622">
            <v>67.25</v>
          </cell>
          <cell r="H1622">
            <v>0</v>
          </cell>
        </row>
        <row r="1623">
          <cell r="C1623" t="str">
            <v>9.2.171</v>
          </cell>
          <cell r="D1623" t="str">
            <v>Caixa  De Ligação ,4'X 4" Com Espelho Cego</v>
          </cell>
          <cell r="E1623" t="str">
            <v>pç</v>
          </cell>
          <cell r="F1623"/>
          <cell r="G1623">
            <v>57.17</v>
          </cell>
          <cell r="H1623">
            <v>0</v>
          </cell>
        </row>
        <row r="1624">
          <cell r="C1624" t="str">
            <v>9.2.172</v>
          </cell>
          <cell r="D1624" t="str">
            <v>Caixa Padronizada Para Medição De Energia Ativa E Reativa , Para Embutir Em Parede, Conforme Padão Cepisa</v>
          </cell>
          <cell r="E1624" t="str">
            <v>pç</v>
          </cell>
          <cell r="F1624"/>
          <cell r="G1624">
            <v>857.48</v>
          </cell>
          <cell r="H1624">
            <v>0</v>
          </cell>
        </row>
        <row r="1625">
          <cell r="C1625" t="str">
            <v>9.2.173</v>
          </cell>
          <cell r="D1625" t="str">
            <v>Calha De Madeira  Com 3,00 M De Comprimento, Para Proteção Do Cabo Terra</v>
          </cell>
          <cell r="E1625" t="str">
            <v>pç</v>
          </cell>
          <cell r="F1625"/>
          <cell r="G1625">
            <v>85.74</v>
          </cell>
          <cell r="H1625">
            <v>0</v>
          </cell>
        </row>
        <row r="1626">
          <cell r="C1626" t="str">
            <v>9.2.174</v>
          </cell>
          <cell r="D1626" t="str">
            <v>Poste De Ferro Galvanizado Duplo, Curvo, Com Base  300X300Mm Com 4 Chumbadores Diam. 3/4"X 700 Mm, Altura De 8,00 M, Tipo 222B Da Aço Poste, Ou Simil;Ar</v>
          </cell>
          <cell r="E1626" t="str">
            <v>pç</v>
          </cell>
          <cell r="F1626"/>
          <cell r="G1626">
            <v>743.15</v>
          </cell>
          <cell r="H1626">
            <v>0</v>
          </cell>
        </row>
        <row r="1627">
          <cell r="C1627" t="str">
            <v>9.2.175</v>
          </cell>
          <cell r="D1627" t="str">
            <v xml:space="preserve">Poste De Ferro Galvanizado,Curvo,Com Base 300 X 300 Mm, Com 4 Chumbadores, Diam. 3/4" X 700 Mm, Altura = 8 M </v>
          </cell>
          <cell r="E1627" t="str">
            <v>pç</v>
          </cell>
          <cell r="F1627"/>
          <cell r="G1627">
            <v>514.47</v>
          </cell>
          <cell r="H1627">
            <v>0</v>
          </cell>
        </row>
        <row r="1628">
          <cell r="C1628" t="str">
            <v>9.2.176</v>
          </cell>
          <cell r="D1628" t="str">
            <v>Luminária Para Lâmpada Vapor De Mercúrio 250W,Com Reator Afp Embutido Na Luminária Com Base E Relé Fotoelétrico Instalado Na Parte Superior, Inclusive Lâmpada.</v>
          </cell>
          <cell r="E1628" t="str">
            <v>pç</v>
          </cell>
          <cell r="F1628"/>
          <cell r="G1628">
            <v>694.93</v>
          </cell>
          <cell r="H1628">
            <v>0</v>
          </cell>
        </row>
        <row r="1629">
          <cell r="C1629" t="str">
            <v>9.2.177</v>
          </cell>
          <cell r="D1629" t="str">
            <v xml:space="preserve">Eletroduto De Pvc Rígido Diam 3/4"X3,00M Com 1 Luva </v>
          </cell>
          <cell r="E1629" t="str">
            <v>pç</v>
          </cell>
          <cell r="F1629"/>
          <cell r="G1629">
            <v>6.36</v>
          </cell>
          <cell r="H1629">
            <v>0</v>
          </cell>
        </row>
        <row r="1630">
          <cell r="C1630" t="str">
            <v>9.2.178</v>
          </cell>
          <cell r="D1630" t="str">
            <v>Eletroduto De Pvc Rígido Diam 1 "X 3,00M Com 1 Luva</v>
          </cell>
          <cell r="E1630" t="str">
            <v>pç</v>
          </cell>
          <cell r="F1630"/>
          <cell r="G1630">
            <v>9.5500000000000007</v>
          </cell>
          <cell r="H1630">
            <v>0</v>
          </cell>
        </row>
        <row r="1631">
          <cell r="C1631" t="str">
            <v>9.2.179</v>
          </cell>
          <cell r="D1631" t="str">
            <v>Curva 90 Graus De Pvc Rígido, Diam 3/4 "Com 2 Luvas</v>
          </cell>
          <cell r="E1631" t="str">
            <v>pç</v>
          </cell>
          <cell r="F1631"/>
          <cell r="G1631">
            <v>1.33</v>
          </cell>
          <cell r="H1631">
            <v>0</v>
          </cell>
        </row>
        <row r="1632">
          <cell r="C1632" t="str">
            <v>9.2.180</v>
          </cell>
          <cell r="D1632" t="str">
            <v>Curva 90 Graus De Pvc Rígido, Diam 1 " Com 2 Luvas</v>
          </cell>
          <cell r="E1632" t="str">
            <v>pç</v>
          </cell>
          <cell r="F1632"/>
          <cell r="G1632">
            <v>1.96</v>
          </cell>
          <cell r="H1632">
            <v>0</v>
          </cell>
        </row>
        <row r="1633">
          <cell r="C1633" t="str">
            <v>9.2.181</v>
          </cell>
          <cell r="D1633" t="str">
            <v>Cabo De Cobre ,Singelo, Isolamento De Pvc,750V,70 Oc ,Seção 4 Mm2</v>
          </cell>
          <cell r="E1633" t="str">
            <v>m</v>
          </cell>
          <cell r="F1633"/>
          <cell r="G1633">
            <v>1.52</v>
          </cell>
          <cell r="H1633">
            <v>0</v>
          </cell>
        </row>
        <row r="1634">
          <cell r="C1634" t="str">
            <v>9.2.182</v>
          </cell>
          <cell r="D1634" t="str">
            <v>Cabo De Cobre ,Singelo, Isolamento De Pvc,750V,70 Oc ,Seção 6 Mm2</v>
          </cell>
          <cell r="E1634" t="str">
            <v>m</v>
          </cell>
          <cell r="F1634"/>
          <cell r="G1634">
            <v>2.65</v>
          </cell>
          <cell r="H1634">
            <v>0</v>
          </cell>
        </row>
        <row r="1635">
          <cell r="C1635" t="str">
            <v>9.2.183</v>
          </cell>
          <cell r="D1635" t="str">
            <v>Cabo De Cobre ,Singelo, Isolamento De Pvc,750V,70 Oc ,Seção 10 Mm2</v>
          </cell>
          <cell r="E1635" t="str">
            <v>m</v>
          </cell>
          <cell r="F1635"/>
          <cell r="G1635">
            <v>4.55</v>
          </cell>
          <cell r="H1635">
            <v>0</v>
          </cell>
        </row>
        <row r="1636">
          <cell r="C1636" t="str">
            <v>9.2.184</v>
          </cell>
          <cell r="D1636" t="str">
            <v>Fio De Cobre ,Isolamento De Pvc,750V,70 Oc, Seção 2,5 Mm 2</v>
          </cell>
          <cell r="E1636" t="str">
            <v>m</v>
          </cell>
          <cell r="F1636"/>
          <cell r="G1636">
            <v>1.02</v>
          </cell>
          <cell r="H1636">
            <v>0</v>
          </cell>
        </row>
        <row r="1637">
          <cell r="C1637" t="str">
            <v>9.2.185</v>
          </cell>
          <cell r="D1637" t="str">
            <v>Painel De Distribuição  De Luz, Para Sobrepor Em Parede,Sem Disjuntor Geral E Contendo 1 Disjuntor Tripolar Para 15 A E 16 Disjuntores Monopolares Para 15A Para Sistema De 380/220V-60Hz, 10Ka</v>
          </cell>
          <cell r="E1637" t="str">
            <v>pç</v>
          </cell>
          <cell r="F1637"/>
          <cell r="G1637">
            <v>346.51</v>
          </cell>
          <cell r="H1637">
            <v>0</v>
          </cell>
        </row>
        <row r="1638">
          <cell r="C1638" t="str">
            <v>9.2.186</v>
          </cell>
          <cell r="D1638" t="str">
            <v>Quadro De Comando De Bomba, Para Operação Manual E Automática, Com 2 Chaves De Bóia, Cisterna E Caixa D'Água, Para Motor De 1/4 Cv</v>
          </cell>
          <cell r="E1638" t="str">
            <v>pç</v>
          </cell>
          <cell r="F1638"/>
          <cell r="G1638">
            <v>1294.68</v>
          </cell>
          <cell r="H1638">
            <v>0</v>
          </cell>
        </row>
        <row r="1639">
          <cell r="C1639" t="str">
            <v>9.2.187</v>
          </cell>
          <cell r="D1639" t="str">
            <v>Chave De Nível Tipo Bóia, De Pvc, Contato Normalmente Aberto Para 5 A - 220V,  Cabo Condutor Com 10,0 M De Comprimento</v>
          </cell>
          <cell r="E1639" t="str">
            <v>pç</v>
          </cell>
          <cell r="F1639"/>
          <cell r="G1639">
            <v>342.99</v>
          </cell>
          <cell r="H1639">
            <v>0</v>
          </cell>
        </row>
        <row r="1640">
          <cell r="C1640" t="str">
            <v>9.2.188</v>
          </cell>
          <cell r="D1640" t="str">
            <v>Luminária Tipo Projetor, Com Lâmpada Halógena De 300W-220V</v>
          </cell>
          <cell r="E1640" t="str">
            <v>pç</v>
          </cell>
          <cell r="F1640"/>
          <cell r="G1640">
            <v>55.21</v>
          </cell>
          <cell r="H1640">
            <v>0</v>
          </cell>
        </row>
        <row r="1641">
          <cell r="C1641" t="str">
            <v>9.2.189</v>
          </cell>
          <cell r="D1641" t="str">
            <v>Luminária Tipo Drops, Com Lâmpada Incandescente 100W-220V</v>
          </cell>
          <cell r="E1641" t="str">
            <v>pç</v>
          </cell>
          <cell r="F1641"/>
          <cell r="G1641">
            <v>28.17</v>
          </cell>
          <cell r="H1641">
            <v>0</v>
          </cell>
        </row>
        <row r="1642">
          <cell r="C1642" t="str">
            <v>9.2.190</v>
          </cell>
          <cell r="D1642" t="str">
            <v>Luminária Com Lâmpada Incandescente 200W-220V</v>
          </cell>
          <cell r="E1642" t="str">
            <v>pç</v>
          </cell>
          <cell r="F1642"/>
          <cell r="G1642">
            <v>42.46</v>
          </cell>
          <cell r="H1642">
            <v>0</v>
          </cell>
        </row>
        <row r="1643">
          <cell r="C1643" t="str">
            <v>9.2.191</v>
          </cell>
          <cell r="D1643" t="str">
            <v>Equipamento Para Iluminação De Emergência, Sistema Monofásico, Entrada Para 220/60Hz, Autonomia Para 90 Min, Com 2 Lâmpadas De 75W</v>
          </cell>
          <cell r="E1643" t="str">
            <v>pç</v>
          </cell>
          <cell r="F1643"/>
          <cell r="G1643">
            <v>609.26</v>
          </cell>
          <cell r="H1643">
            <v>0</v>
          </cell>
        </row>
        <row r="1644">
          <cell r="C1644" t="str">
            <v>9.2.192</v>
          </cell>
          <cell r="D1644" t="str">
            <v>Eletroduto De Pvc Rígido Diam 3/4"X3,00M,Com 1 Luva</v>
          </cell>
          <cell r="E1644" t="str">
            <v>pç</v>
          </cell>
          <cell r="F1644"/>
          <cell r="G1644">
            <v>6.36</v>
          </cell>
          <cell r="H1644">
            <v>0</v>
          </cell>
        </row>
        <row r="1645">
          <cell r="C1645" t="str">
            <v>9.2.193</v>
          </cell>
          <cell r="D1645" t="str">
            <v>Curva 45 Graus, De Pvc Rígido , Diam 3/4",Com 2 Luvas</v>
          </cell>
          <cell r="E1645" t="str">
            <v>pç</v>
          </cell>
          <cell r="F1645"/>
          <cell r="G1645">
            <v>1.33</v>
          </cell>
          <cell r="H1645">
            <v>0</v>
          </cell>
        </row>
        <row r="1646">
          <cell r="C1646" t="str">
            <v>9.2.194</v>
          </cell>
          <cell r="D1646" t="str">
            <v>Curva 90 Graus De Pvc Rígido, Diam 3/4"Com 2 Luvas</v>
          </cell>
          <cell r="E1646" t="str">
            <v>pç</v>
          </cell>
          <cell r="F1646"/>
          <cell r="G1646">
            <v>1.33</v>
          </cell>
          <cell r="H1646">
            <v>0</v>
          </cell>
        </row>
        <row r="1647">
          <cell r="C1647" t="str">
            <v>9.2.195</v>
          </cell>
          <cell r="D1647" t="str">
            <v xml:space="preserve">União De Pvc Para Tubo Rígido Diam 3/4 </v>
          </cell>
          <cell r="E1647" t="str">
            <v>pç</v>
          </cell>
          <cell r="F1647"/>
          <cell r="G1647">
            <v>3.26</v>
          </cell>
          <cell r="H1647">
            <v>0</v>
          </cell>
        </row>
        <row r="1648">
          <cell r="C1648" t="str">
            <v>9.2.196</v>
          </cell>
          <cell r="D1648" t="str">
            <v>Tubo Sealtite Com 850Mm De Comprimento</v>
          </cell>
          <cell r="E1648" t="str">
            <v>pç</v>
          </cell>
          <cell r="F1648"/>
          <cell r="G1648">
            <v>95.19</v>
          </cell>
          <cell r="H1648">
            <v>0</v>
          </cell>
        </row>
        <row r="1649">
          <cell r="C1649" t="str">
            <v>9.2.197</v>
          </cell>
          <cell r="D1649" t="str">
            <v>Suporte Para Tubo Diam 3/4"</v>
          </cell>
          <cell r="E1649" t="str">
            <v>pç</v>
          </cell>
          <cell r="F1649"/>
          <cell r="G1649">
            <v>0.76</v>
          </cell>
          <cell r="H1649">
            <v>0</v>
          </cell>
        </row>
        <row r="1650">
          <cell r="C1650" t="str">
            <v>9.2.198</v>
          </cell>
          <cell r="D1650" t="str">
            <v>Petrolete Em Liga De Alumínio Fundida R-15/Lr-22</v>
          </cell>
          <cell r="E1650" t="str">
            <v>pç</v>
          </cell>
          <cell r="F1650"/>
          <cell r="G1650">
            <v>22.85</v>
          </cell>
          <cell r="H1650">
            <v>0</v>
          </cell>
        </row>
        <row r="1651">
          <cell r="C1651" t="str">
            <v>9.2.199</v>
          </cell>
          <cell r="D1651" t="str">
            <v>Petrolete Em Liga De Alumínio Fundida R-15/Ll-22</v>
          </cell>
          <cell r="E1651" t="str">
            <v>pç</v>
          </cell>
          <cell r="F1651"/>
          <cell r="G1651">
            <v>22.85</v>
          </cell>
          <cell r="H1651">
            <v>0</v>
          </cell>
        </row>
        <row r="1652">
          <cell r="C1652" t="str">
            <v>9.2.200</v>
          </cell>
          <cell r="D1652" t="str">
            <v>Petrolete Em Liga De Alumínio Fundida R-15/ T-22</v>
          </cell>
          <cell r="E1652" t="str">
            <v>pç</v>
          </cell>
          <cell r="F1652"/>
          <cell r="G1652">
            <v>22.85</v>
          </cell>
          <cell r="H1652">
            <v>0</v>
          </cell>
        </row>
        <row r="1653">
          <cell r="C1653" t="str">
            <v>9.2.201</v>
          </cell>
          <cell r="D1653" t="str">
            <v>Petrolete Em Liga De Alumínio Fundida R-15/Lb-22</v>
          </cell>
          <cell r="E1653" t="str">
            <v>pç</v>
          </cell>
          <cell r="F1653"/>
          <cell r="G1653">
            <v>22.85</v>
          </cell>
          <cell r="H1653">
            <v>0</v>
          </cell>
        </row>
        <row r="1654">
          <cell r="C1654" t="str">
            <v>9.2.202</v>
          </cell>
          <cell r="D1654" t="str">
            <v>Petrolete C Em Liga De Alumínio Fundida ,Para Tubo Diam 3/4",Com Tampa ,Com Tomada 2 Pinos Para 250V-10A</v>
          </cell>
          <cell r="E1654" t="str">
            <v>pç</v>
          </cell>
          <cell r="F1654"/>
          <cell r="G1654">
            <v>25.89</v>
          </cell>
          <cell r="H1654">
            <v>0</v>
          </cell>
        </row>
        <row r="1655">
          <cell r="C1655" t="str">
            <v>9.2.203</v>
          </cell>
          <cell r="D1655" t="str">
            <v>Petrolete E Em Liga De Alumínio Fundida ,Para Tubo Diam 3/4",Com Tampa ,Com Tomada 2 Pinos Para 250V-10A</v>
          </cell>
          <cell r="E1655" t="str">
            <v>pç</v>
          </cell>
          <cell r="F1655"/>
          <cell r="G1655">
            <v>25.89</v>
          </cell>
          <cell r="H1655">
            <v>0</v>
          </cell>
        </row>
        <row r="1656">
          <cell r="C1656" t="str">
            <v>9.2.204</v>
          </cell>
          <cell r="D1656" t="str">
            <v>Petrolete T Em Liga De Alumínio Fundida ,Para Tubo Diam 3/4",Com Tampa ,Com Tomada 2 Pinos Para 250V-10A</v>
          </cell>
          <cell r="E1656" t="str">
            <v>pç</v>
          </cell>
          <cell r="F1656"/>
          <cell r="G1656">
            <v>25.89</v>
          </cell>
          <cell r="H1656">
            <v>0</v>
          </cell>
        </row>
        <row r="1657">
          <cell r="C1657" t="str">
            <v>9.2.205</v>
          </cell>
          <cell r="D1657" t="str">
            <v>Petrolete Lr Em Liga De Alumínio Fundida ,Para Tubo Diam 3/4",Com Tampa ,Com Tomada 2 Pinos Para 250V-10A</v>
          </cell>
          <cell r="E1657" t="str">
            <v>pç</v>
          </cell>
          <cell r="F1657"/>
          <cell r="G1657">
            <v>25.89</v>
          </cell>
          <cell r="H1657">
            <v>0</v>
          </cell>
        </row>
        <row r="1658">
          <cell r="C1658" t="str">
            <v>9.2.206</v>
          </cell>
          <cell r="D1658" t="str">
            <v>Petrolete E Em Liga De Alumínio Fundida ,Para Tubo Diam 3/4",Com Tampa ,Com Interruptor De Uma Seção Para 250V-10A</v>
          </cell>
          <cell r="E1658" t="str">
            <v>pç</v>
          </cell>
          <cell r="F1658"/>
          <cell r="G1658">
            <v>23.41</v>
          </cell>
          <cell r="H1658">
            <v>0</v>
          </cell>
        </row>
        <row r="1659">
          <cell r="C1659" t="str">
            <v>9.2.207</v>
          </cell>
          <cell r="D1659" t="str">
            <v>Tomada Trifásica ,Três Fases Mais Terra ,Para Uso Ao Tempo ,Para 380V</v>
          </cell>
          <cell r="E1659" t="str">
            <v>pç</v>
          </cell>
          <cell r="F1659"/>
          <cell r="G1659">
            <v>44.74</v>
          </cell>
          <cell r="H1659">
            <v>0</v>
          </cell>
        </row>
        <row r="1660">
          <cell r="C1660" t="str">
            <v>9.2.208</v>
          </cell>
          <cell r="D1660" t="str">
            <v>Plug Para Tomada  R-20Tr/415</v>
          </cell>
          <cell r="E1660" t="str">
            <v>pç</v>
          </cell>
          <cell r="F1660"/>
          <cell r="G1660">
            <v>42.46</v>
          </cell>
          <cell r="H1660">
            <v>0</v>
          </cell>
        </row>
        <row r="1661">
          <cell r="C1661" t="str">
            <v>9.2.209</v>
          </cell>
          <cell r="D1661" t="str">
            <v>Caixa De Ferro Esmaltado  4"X2"</v>
          </cell>
          <cell r="E1661" t="str">
            <v>pç</v>
          </cell>
          <cell r="F1661"/>
          <cell r="G1661">
            <v>0.56999999999999995</v>
          </cell>
          <cell r="H1661">
            <v>0</v>
          </cell>
        </row>
        <row r="1662">
          <cell r="C1662" t="str">
            <v>9.2.210</v>
          </cell>
          <cell r="D1662" t="str">
            <v>Espelho  4"X 2",Com Um Interruptor De Uma Seção</v>
          </cell>
          <cell r="E1662" t="str">
            <v>pç</v>
          </cell>
          <cell r="F1662"/>
          <cell r="G1662">
            <v>7.52</v>
          </cell>
          <cell r="H1662">
            <v>0</v>
          </cell>
        </row>
        <row r="1663">
          <cell r="C1663" t="str">
            <v>9.2.211</v>
          </cell>
          <cell r="D1663" t="str">
            <v xml:space="preserve">Bucha Plástica Tipo S-10 </v>
          </cell>
          <cell r="E1663" t="str">
            <v>pç</v>
          </cell>
          <cell r="F1663"/>
          <cell r="G1663">
            <v>0.37</v>
          </cell>
          <cell r="H1663">
            <v>0</v>
          </cell>
        </row>
        <row r="1664">
          <cell r="C1664" t="str">
            <v>9.2.212</v>
          </cell>
          <cell r="D1664" t="str">
            <v>Parafuso De Rosca Soberba Diam 10 X 60 Mm</v>
          </cell>
          <cell r="E1664" t="str">
            <v>pç</v>
          </cell>
          <cell r="F1664"/>
          <cell r="G1664">
            <v>0.95</v>
          </cell>
          <cell r="H1664">
            <v>0</v>
          </cell>
        </row>
        <row r="1665">
          <cell r="C1665" t="str">
            <v>9.2.213</v>
          </cell>
          <cell r="D1665" t="str">
            <v>Bucha Plástica S-6</v>
          </cell>
          <cell r="E1665" t="str">
            <v>pç</v>
          </cell>
          <cell r="F1665"/>
          <cell r="G1665">
            <v>0.19</v>
          </cell>
          <cell r="H1665">
            <v>0</v>
          </cell>
        </row>
        <row r="1666">
          <cell r="C1666" t="str">
            <v>9.2.214</v>
          </cell>
          <cell r="D1666" t="str">
            <v>Parafuso De Rosca Soberba Diam 6 X 50 Mm</v>
          </cell>
          <cell r="E1666" t="str">
            <v>pç</v>
          </cell>
          <cell r="F1666"/>
          <cell r="G1666">
            <v>0.76</v>
          </cell>
          <cell r="H1666">
            <v>0</v>
          </cell>
        </row>
        <row r="1667">
          <cell r="C1667" t="str">
            <v>9.2.215</v>
          </cell>
          <cell r="D1667" t="str">
            <v>Cabo De Cobre Singelo, Isolamento Pvc,750V,70Oc,Seção 2,5 Mm2</v>
          </cell>
          <cell r="E1667" t="str">
            <v>m</v>
          </cell>
          <cell r="F1667"/>
          <cell r="G1667">
            <v>1.02</v>
          </cell>
          <cell r="H1667">
            <v>0</v>
          </cell>
        </row>
        <row r="1668">
          <cell r="C1668" t="str">
            <v>9.2.216</v>
          </cell>
          <cell r="D1668" t="str">
            <v>Quadro Geral De Baixa Tensão</v>
          </cell>
          <cell r="E1668" t="str">
            <v>cj</v>
          </cell>
          <cell r="F1668"/>
          <cell r="G1668">
            <v>57118.720000000001</v>
          </cell>
          <cell r="H1668">
            <v>0</v>
          </cell>
        </row>
        <row r="1669">
          <cell r="C1669" t="str">
            <v>9.2.217</v>
          </cell>
          <cell r="D1669" t="str">
            <v>Quadro De Serviços Auxiliares</v>
          </cell>
          <cell r="E1669" t="str">
            <v>pç</v>
          </cell>
          <cell r="F1669"/>
          <cell r="G1669">
            <v>19039.57</v>
          </cell>
          <cell r="H1669">
            <v>0</v>
          </cell>
        </row>
        <row r="1670">
          <cell r="C1670" t="str">
            <v>9.2.218</v>
          </cell>
          <cell r="D1670" t="str">
            <v>Quadro De Comando Dos Motores Dos Exaustores</v>
          </cell>
          <cell r="E1670" t="str">
            <v>pç</v>
          </cell>
          <cell r="F1670"/>
          <cell r="G1670">
            <v>3634.82</v>
          </cell>
          <cell r="H1670">
            <v>0</v>
          </cell>
        </row>
        <row r="1671">
          <cell r="C1671" t="str">
            <v>9.2.219</v>
          </cell>
          <cell r="D1671" t="str">
            <v>Quadro De Partida  De Motor Por Tensão Reduzida, Transistorizada, Para Motor Trifásico De 250 Kw, 380 V/60Hz</v>
          </cell>
          <cell r="E1671" t="str">
            <v>pç</v>
          </cell>
          <cell r="F1671"/>
          <cell r="G1671">
            <v>36694.449999999997</v>
          </cell>
          <cell r="H1671">
            <v>0</v>
          </cell>
        </row>
        <row r="1672">
          <cell r="C1672" t="str">
            <v>9.2.220</v>
          </cell>
          <cell r="D1672" t="str">
            <v>Quadro De Partida  De Motor Por Tensão Reduzida, Transistorizada, Para Motor Trifásico De 150 Kw, 380 V/60Hz</v>
          </cell>
          <cell r="E1672" t="str">
            <v>pç</v>
          </cell>
          <cell r="F1672"/>
          <cell r="G1672">
            <v>22809.4</v>
          </cell>
          <cell r="H1672">
            <v>0</v>
          </cell>
        </row>
        <row r="1673">
          <cell r="C1673" t="str">
            <v>9.2.221</v>
          </cell>
          <cell r="D1673" t="str">
            <v>Quadro De Partida  De Motor Por Tensão Reduzida, Transistorizada, Para Motor Trifásico De 75 Kw, 380 V/60Hz</v>
          </cell>
          <cell r="E1673" t="str">
            <v>pç</v>
          </cell>
          <cell r="F1673"/>
          <cell r="G1673">
            <v>15802.85</v>
          </cell>
          <cell r="H1673">
            <v>0</v>
          </cell>
        </row>
        <row r="1674">
          <cell r="C1674" t="str">
            <v>9.2.222</v>
          </cell>
          <cell r="D1674" t="str">
            <v>Mesa De Comando E Medição</v>
          </cell>
          <cell r="E1674" t="str">
            <v>pç</v>
          </cell>
          <cell r="F1674"/>
          <cell r="G1674">
            <v>39983.1</v>
          </cell>
          <cell r="H1674">
            <v>0</v>
          </cell>
        </row>
        <row r="1675">
          <cell r="C1675" t="str">
            <v>9.2.223</v>
          </cell>
          <cell r="D1675" t="str">
            <v>Retificador Carregador Da Bateria,Monofasico,220V-60Hz,Saida 25A-48Vcc</v>
          </cell>
          <cell r="E1675" t="str">
            <v>pç</v>
          </cell>
          <cell r="F1675"/>
          <cell r="G1675">
            <v>2855.92</v>
          </cell>
          <cell r="H1675">
            <v>0</v>
          </cell>
        </row>
        <row r="1676">
          <cell r="C1676" t="str">
            <v>9.2.224</v>
          </cell>
          <cell r="D1676" t="str">
            <v>Bateria De Acumuladores Chumbo-Ácido, Para 48Vcc,75Ah Para 10H</v>
          </cell>
          <cell r="E1676" t="str">
            <v>pç</v>
          </cell>
          <cell r="F1676"/>
          <cell r="G1676">
            <v>495.02</v>
          </cell>
          <cell r="H1676">
            <v>0</v>
          </cell>
        </row>
        <row r="1677">
          <cell r="C1677" t="str">
            <v>9.2.225</v>
          </cell>
          <cell r="D1677" t="str">
            <v>Prateleira De Chapa Dobrada E Galvanizada, Tipo Srs 300, Comprimento De 2000 Mm</v>
          </cell>
          <cell r="E1677" t="str">
            <v>pç</v>
          </cell>
          <cell r="F1677"/>
          <cell r="G1677">
            <v>131.37</v>
          </cell>
          <cell r="H1677">
            <v>0</v>
          </cell>
        </row>
        <row r="1678">
          <cell r="C1678" t="str">
            <v>9.2.226</v>
          </cell>
          <cell r="D1678" t="str">
            <v xml:space="preserve">Prateleira De Chapa Dobrada E Galvanizada, Tipo Srs 300, Comprimento De 2500 Mm </v>
          </cell>
          <cell r="E1678" t="str">
            <v>pç</v>
          </cell>
          <cell r="F1678"/>
          <cell r="G1678">
            <v>169.45</v>
          </cell>
          <cell r="H1678">
            <v>0</v>
          </cell>
        </row>
        <row r="1679">
          <cell r="C1679" t="str">
            <v>9.2.227</v>
          </cell>
          <cell r="D1679" t="str">
            <v xml:space="preserve">Prateleira De Chapa Dobrada E Galvanizada, Tipo Srs 300, Comprimento De 3000 Mm </v>
          </cell>
          <cell r="E1679" t="str">
            <v>pç</v>
          </cell>
          <cell r="F1679"/>
          <cell r="G1679">
            <v>182.77</v>
          </cell>
          <cell r="H1679">
            <v>0</v>
          </cell>
        </row>
        <row r="1680">
          <cell r="C1680" t="str">
            <v>9.2.228</v>
          </cell>
          <cell r="D1680" t="str">
            <v xml:space="preserve">Prateleira De Chapa Dobrada E Galvanizada, Tipo Srs 300, Comprimento De 3500 Mm </v>
          </cell>
          <cell r="E1680" t="str">
            <v>pç</v>
          </cell>
          <cell r="F1680"/>
          <cell r="G1680">
            <v>228.47</v>
          </cell>
          <cell r="H1680">
            <v>0</v>
          </cell>
        </row>
        <row r="1681">
          <cell r="C1681" t="str">
            <v>9.2.229</v>
          </cell>
          <cell r="D1681" t="str">
            <v>Mensola Simples Para Prateleira, Comprimento De 300Mm,Tipo Srs-553</v>
          </cell>
          <cell r="E1681" t="str">
            <v>pç</v>
          </cell>
          <cell r="F1681"/>
          <cell r="G1681">
            <v>68.540000000000006</v>
          </cell>
          <cell r="H1681">
            <v>0</v>
          </cell>
        </row>
        <row r="1682">
          <cell r="C1682" t="str">
            <v>9.2.230</v>
          </cell>
          <cell r="D1682" t="str">
            <v>Curva Horizontal, Galvanizada, Tipo Srs-301</v>
          </cell>
          <cell r="E1682" t="str">
            <v>pç</v>
          </cell>
          <cell r="F1682"/>
          <cell r="G1682">
            <v>49.51</v>
          </cell>
          <cell r="H1682">
            <v>0</v>
          </cell>
        </row>
        <row r="1683">
          <cell r="C1683" t="str">
            <v>9.2.231</v>
          </cell>
          <cell r="D1683" t="str">
            <v>Junção Articulada ,Galvanizada, Tipo Srs-325</v>
          </cell>
          <cell r="E1683" t="str">
            <v>pç</v>
          </cell>
          <cell r="F1683"/>
          <cell r="G1683">
            <v>34.270000000000003</v>
          </cell>
          <cell r="H1683">
            <v>0</v>
          </cell>
        </row>
        <row r="1684">
          <cell r="C1684" t="str">
            <v>9.2.232</v>
          </cell>
          <cell r="D1684" t="str">
            <v>Junção Simples, Galvanizada, Tipo Srs-326</v>
          </cell>
          <cell r="E1684" t="str">
            <v>pç</v>
          </cell>
          <cell r="F1684"/>
          <cell r="G1684">
            <v>34.270000000000003</v>
          </cell>
          <cell r="H1684">
            <v>0</v>
          </cell>
        </row>
        <row r="1685">
          <cell r="C1685" t="str">
            <v>9.2.233</v>
          </cell>
          <cell r="D1685" t="str">
            <v>Grapa Galvanizada Para Prateleira</v>
          </cell>
          <cell r="E1685" t="str">
            <v>pç</v>
          </cell>
          <cell r="F1685"/>
          <cell r="G1685">
            <v>5.71</v>
          </cell>
          <cell r="H1685">
            <v>0</v>
          </cell>
        </row>
        <row r="1686">
          <cell r="C1686" t="str">
            <v>9.2.234</v>
          </cell>
          <cell r="D1686" t="str">
            <v>Bucha  De Pvc, Tipo S-10</v>
          </cell>
          <cell r="E1686" t="str">
            <v>pç</v>
          </cell>
          <cell r="F1686"/>
          <cell r="G1686">
            <v>2.86</v>
          </cell>
          <cell r="H1686">
            <v>0</v>
          </cell>
        </row>
        <row r="1687">
          <cell r="C1687" t="str">
            <v>9.2.235</v>
          </cell>
          <cell r="D1687" t="str">
            <v>Parafuso De Rosca Soberba Diam 10X 60Mm,Cabeça Sextavada</v>
          </cell>
          <cell r="E1687" t="str">
            <v>pç</v>
          </cell>
          <cell r="F1687"/>
          <cell r="G1687">
            <v>2</v>
          </cell>
          <cell r="H1687">
            <v>0</v>
          </cell>
        </row>
        <row r="1688">
          <cell r="C1688" t="str">
            <v>9.2.236</v>
          </cell>
          <cell r="D1688" t="str">
            <v>Parafuso Cabeça De Lentilha ,Com Trava,Diam 5/16"X1/2",Com Arruela Lisa E Porca Sextavada</v>
          </cell>
          <cell r="E1688" t="str">
            <v>pç</v>
          </cell>
          <cell r="F1688"/>
          <cell r="G1688">
            <v>1.02</v>
          </cell>
          <cell r="H1688">
            <v>0</v>
          </cell>
        </row>
        <row r="1689">
          <cell r="C1689" t="str">
            <v>9.2.237</v>
          </cell>
          <cell r="D1689" t="str">
            <v>Eletroduto De Pvc Rígido, Diam 3"X 3,00M,Com1 Luva</v>
          </cell>
          <cell r="E1689" t="str">
            <v>pç</v>
          </cell>
          <cell r="F1689"/>
          <cell r="G1689">
            <v>47.33</v>
          </cell>
          <cell r="H1689">
            <v>0</v>
          </cell>
        </row>
        <row r="1690">
          <cell r="C1690" t="str">
            <v>9.2.238</v>
          </cell>
          <cell r="D1690" t="str">
            <v>Eletroduto De Pvc Rígido, Diam 2 1/2"X 3,00M,Com1 Luva</v>
          </cell>
          <cell r="E1690" t="str">
            <v>pç</v>
          </cell>
          <cell r="F1690"/>
          <cell r="G1690">
            <v>36.619999999999997</v>
          </cell>
          <cell r="H1690">
            <v>0</v>
          </cell>
        </row>
        <row r="1691">
          <cell r="C1691" t="str">
            <v>9.2.239</v>
          </cell>
          <cell r="D1691" t="str">
            <v>Eletroduto De Pvc Rígido, Diam 2"X 3,00M,Com1 Luva</v>
          </cell>
          <cell r="E1691" t="str">
            <v>pç</v>
          </cell>
          <cell r="F1691"/>
          <cell r="G1691">
            <v>23.53</v>
          </cell>
          <cell r="H1691">
            <v>0</v>
          </cell>
        </row>
        <row r="1692">
          <cell r="C1692" t="str">
            <v>9.2.240</v>
          </cell>
          <cell r="D1692" t="str">
            <v>Eletroduto De Pvc Rígido, Diam 1 1/2"X 3,00M,Com1 Luva</v>
          </cell>
          <cell r="E1692" t="str">
            <v>pç</v>
          </cell>
          <cell r="F1692"/>
          <cell r="G1692">
            <v>15.37</v>
          </cell>
          <cell r="H1692">
            <v>0</v>
          </cell>
        </row>
        <row r="1693">
          <cell r="C1693" t="str">
            <v>9.2.241</v>
          </cell>
          <cell r="D1693" t="str">
            <v>Eletroduto De Pvc Rígido, Diam 1 1/4"X 3,00M,Com1 Luva</v>
          </cell>
          <cell r="E1693" t="str">
            <v>pç</v>
          </cell>
          <cell r="F1693"/>
          <cell r="G1693">
            <v>13.23</v>
          </cell>
          <cell r="H1693">
            <v>0</v>
          </cell>
        </row>
        <row r="1694">
          <cell r="C1694" t="str">
            <v>9.2.242</v>
          </cell>
          <cell r="D1694" t="str">
            <v>Eletroduto De Pvc Rígido, Diam 1"X 3,00M,Com1 Luva</v>
          </cell>
          <cell r="E1694" t="str">
            <v>pç</v>
          </cell>
          <cell r="F1694"/>
          <cell r="G1694">
            <v>9.5500000000000007</v>
          </cell>
          <cell r="H1694">
            <v>0</v>
          </cell>
        </row>
        <row r="1695">
          <cell r="C1695" t="str">
            <v>9.2.243</v>
          </cell>
          <cell r="D1695" t="str">
            <v>Eletroduto De Pvc Rígido, Diam 3/4"X 3,00M,Com1 Luva</v>
          </cell>
          <cell r="E1695" t="str">
            <v>pç</v>
          </cell>
          <cell r="F1695"/>
          <cell r="G1695">
            <v>6.36</v>
          </cell>
          <cell r="H1695">
            <v>0</v>
          </cell>
        </row>
        <row r="1696">
          <cell r="C1696" t="str">
            <v>9.2.244</v>
          </cell>
          <cell r="D1696" t="str">
            <v>Curva 90 Graus De Pvc Rígido, Diam 2 1/2 "Com 2 Luvas</v>
          </cell>
          <cell r="E1696" t="str">
            <v>pç</v>
          </cell>
          <cell r="F1696"/>
          <cell r="G1696">
            <v>29.07</v>
          </cell>
          <cell r="H1696">
            <v>0</v>
          </cell>
        </row>
        <row r="1697">
          <cell r="C1697" t="str">
            <v>9.2.245</v>
          </cell>
          <cell r="D1697" t="str">
            <v>Curva 90 Graus De Pvc Rígido, Diam 2 "Com 2 Luvas</v>
          </cell>
          <cell r="E1697" t="str">
            <v>pç</v>
          </cell>
          <cell r="F1697"/>
          <cell r="G1697">
            <v>10.91</v>
          </cell>
          <cell r="H1697">
            <v>0</v>
          </cell>
        </row>
        <row r="1698">
          <cell r="C1698" t="str">
            <v>9.2.246</v>
          </cell>
          <cell r="D1698" t="str">
            <v>Curva 90 Graus De Pvc Rígido, Diam  1 1/2 "Com 2 Luvas</v>
          </cell>
          <cell r="E1698" t="str">
            <v>pç</v>
          </cell>
          <cell r="F1698"/>
          <cell r="G1698">
            <v>6.36</v>
          </cell>
          <cell r="H1698">
            <v>0</v>
          </cell>
        </row>
        <row r="1699">
          <cell r="C1699" t="str">
            <v>9.2.247</v>
          </cell>
          <cell r="D1699" t="str">
            <v>Curva 90 Graus De Pvc Rígido, Diam 1 1/4 "Com 2 Luvas</v>
          </cell>
          <cell r="E1699" t="str">
            <v>pç</v>
          </cell>
          <cell r="F1699"/>
          <cell r="G1699">
            <v>5.45</v>
          </cell>
          <cell r="H1699">
            <v>0</v>
          </cell>
        </row>
        <row r="1700">
          <cell r="C1700" t="str">
            <v>9.2.248</v>
          </cell>
          <cell r="D1700" t="str">
            <v>Curva 90 Graus De Pvc Rígido, Diam 1 "Com 2 Luvas</v>
          </cell>
          <cell r="E1700" t="str">
            <v>pç</v>
          </cell>
          <cell r="F1700"/>
          <cell r="G1700">
            <v>1.96</v>
          </cell>
          <cell r="H1700">
            <v>0</v>
          </cell>
        </row>
        <row r="1701">
          <cell r="C1701" t="str">
            <v>9.2.249</v>
          </cell>
          <cell r="D1701" t="str">
            <v>Curva 90 Graus De Pvc Rígido, Diam 3/4 "Com 2 Luvas</v>
          </cell>
          <cell r="E1701" t="str">
            <v>pç</v>
          </cell>
          <cell r="F1701"/>
          <cell r="G1701">
            <v>1.33</v>
          </cell>
          <cell r="H1701">
            <v>0</v>
          </cell>
        </row>
        <row r="1702">
          <cell r="C1702" t="str">
            <v>9.2.250</v>
          </cell>
          <cell r="D1702" t="str">
            <v xml:space="preserve">União De Pvc Para Tubo Rígido Diam 2 1/2" </v>
          </cell>
          <cell r="E1702" t="str">
            <v>pç</v>
          </cell>
          <cell r="F1702"/>
          <cell r="G1702">
            <v>29.07</v>
          </cell>
          <cell r="H1702">
            <v>0</v>
          </cell>
        </row>
        <row r="1703">
          <cell r="C1703" t="str">
            <v>9.2.251</v>
          </cell>
          <cell r="D1703" t="str">
            <v xml:space="preserve">União De Pvc Para Tubo Rígido Diam 2 " </v>
          </cell>
          <cell r="E1703" t="str">
            <v>pç</v>
          </cell>
          <cell r="F1703"/>
          <cell r="G1703">
            <v>27.25</v>
          </cell>
          <cell r="H1703">
            <v>0</v>
          </cell>
        </row>
        <row r="1704">
          <cell r="C1704" t="str">
            <v>9.2.252</v>
          </cell>
          <cell r="D1704" t="str">
            <v>União De Pvc Para Tubo Rígido Diam 1 1/2 "</v>
          </cell>
          <cell r="E1704" t="str">
            <v>pç</v>
          </cell>
          <cell r="F1704"/>
          <cell r="G1704">
            <v>12.17</v>
          </cell>
          <cell r="H1704">
            <v>0</v>
          </cell>
        </row>
        <row r="1705">
          <cell r="C1705" t="str">
            <v>9.2.253</v>
          </cell>
          <cell r="D1705" t="str">
            <v>União De Pvc Para Tubo Rígido Diam  1 1/4 "</v>
          </cell>
          <cell r="E1705" t="str">
            <v>pç</v>
          </cell>
          <cell r="F1705"/>
          <cell r="G1705">
            <v>14.71</v>
          </cell>
          <cell r="H1705">
            <v>0</v>
          </cell>
        </row>
        <row r="1706">
          <cell r="C1706" t="str">
            <v>9.2.254</v>
          </cell>
          <cell r="D1706" t="str">
            <v xml:space="preserve">União De Pvc Para Tubo Rígido Diam  1" </v>
          </cell>
          <cell r="E1706" t="str">
            <v>pç</v>
          </cell>
          <cell r="F1706"/>
          <cell r="G1706">
            <v>6.17</v>
          </cell>
          <cell r="H1706">
            <v>0</v>
          </cell>
        </row>
        <row r="1707">
          <cell r="C1707" t="str">
            <v>9.2.255</v>
          </cell>
          <cell r="D1707" t="str">
            <v xml:space="preserve">União De Pvc Para Tubo Rígido Diam 3/4" </v>
          </cell>
          <cell r="E1707" t="str">
            <v>pç</v>
          </cell>
          <cell r="F1707"/>
          <cell r="G1707">
            <v>3.26</v>
          </cell>
          <cell r="H1707">
            <v>0</v>
          </cell>
        </row>
        <row r="1708">
          <cell r="C1708" t="str">
            <v>9.2.256</v>
          </cell>
          <cell r="D1708" t="str">
            <v>Tubo Sealtaite Diam 3/4"X 1,2M,Tipo Cp-B/22</v>
          </cell>
          <cell r="E1708" t="str">
            <v>pç</v>
          </cell>
          <cell r="F1708"/>
          <cell r="G1708">
            <v>66.63</v>
          </cell>
          <cell r="H1708">
            <v>0</v>
          </cell>
        </row>
        <row r="1709">
          <cell r="C1709" t="str">
            <v>9.2.257</v>
          </cell>
          <cell r="D1709" t="str">
            <v>Suporte P/ Tubo Diam 2 1/2"Tipo Cp-17A/77,Com Base Cp-17S/77</v>
          </cell>
          <cell r="E1709" t="str">
            <v>pç</v>
          </cell>
          <cell r="F1709"/>
          <cell r="G1709">
            <v>6.66</v>
          </cell>
          <cell r="H1709">
            <v>0</v>
          </cell>
        </row>
        <row r="1710">
          <cell r="C1710" t="str">
            <v>9.2.258</v>
          </cell>
          <cell r="D1710" t="str">
            <v>Suporte P/ Tubo Diam 2" Tipo Cp-17A/66,Com Base Cp-17S/66</v>
          </cell>
          <cell r="E1710" t="str">
            <v>pç</v>
          </cell>
          <cell r="F1710"/>
          <cell r="G1710">
            <v>5.71</v>
          </cell>
          <cell r="H1710">
            <v>0</v>
          </cell>
        </row>
        <row r="1711">
          <cell r="C1711" t="str">
            <v>9.2.259</v>
          </cell>
          <cell r="D1711" t="str">
            <v>Suporte P/ Tubo Diam 1 1/2" Tipo Cp-17A/55,Com Base Cp-17S/55</v>
          </cell>
          <cell r="E1711" t="str">
            <v>pç</v>
          </cell>
          <cell r="F1711"/>
          <cell r="G1711">
            <v>5.71</v>
          </cell>
          <cell r="H1711">
            <v>0</v>
          </cell>
        </row>
        <row r="1712">
          <cell r="C1712" t="str">
            <v>9.2.260</v>
          </cell>
          <cell r="D1712" t="str">
            <v>Suporte P/ Tubo Diam 1 1/4" Tipo Cp-17A/44,Com Base Cp-17S/44</v>
          </cell>
          <cell r="E1712" t="str">
            <v>pç</v>
          </cell>
          <cell r="F1712"/>
          <cell r="G1712">
            <v>5.71</v>
          </cell>
          <cell r="H1712">
            <v>0</v>
          </cell>
        </row>
        <row r="1713">
          <cell r="C1713" t="str">
            <v>9.2.261</v>
          </cell>
          <cell r="D1713" t="str">
            <v>Suporte P/ Tubo Diam 1" Tipo Cp-17A/33,Com Base Cp-17S/33</v>
          </cell>
          <cell r="E1713" t="str">
            <v>pç</v>
          </cell>
          <cell r="F1713"/>
          <cell r="G1713">
            <v>5.71</v>
          </cell>
          <cell r="H1713">
            <v>0</v>
          </cell>
        </row>
        <row r="1714">
          <cell r="C1714" t="str">
            <v>9.2.262</v>
          </cell>
          <cell r="D1714" t="str">
            <v>Suporte P/ Tubo Diam 3/4" Tipo Cp-17A/22,Com Base Cp-17S/22</v>
          </cell>
          <cell r="E1714" t="str">
            <v>pç</v>
          </cell>
          <cell r="F1714"/>
          <cell r="G1714">
            <v>5.71</v>
          </cell>
          <cell r="H1714">
            <v>0</v>
          </cell>
        </row>
        <row r="1715">
          <cell r="C1715" t="str">
            <v>9.2.263</v>
          </cell>
          <cell r="D1715" t="str">
            <v>Petrolete Em Liga De Alumínio Fundida R-15/Lr-22</v>
          </cell>
          <cell r="E1715" t="str">
            <v>pç</v>
          </cell>
          <cell r="F1715"/>
          <cell r="G1715">
            <v>22.85</v>
          </cell>
          <cell r="H1715">
            <v>0</v>
          </cell>
        </row>
        <row r="1716">
          <cell r="C1716" t="str">
            <v>9.2.264</v>
          </cell>
          <cell r="D1716" t="str">
            <v>Petrolete Em Liga De Alumínio Fundida R-15/Ll-22</v>
          </cell>
          <cell r="E1716" t="str">
            <v>pç</v>
          </cell>
          <cell r="F1716"/>
          <cell r="G1716">
            <v>22.85</v>
          </cell>
          <cell r="H1716">
            <v>0</v>
          </cell>
        </row>
        <row r="1717">
          <cell r="C1717" t="str">
            <v>9.2.265</v>
          </cell>
          <cell r="D1717" t="str">
            <v>Petrolete Em Liga De Alumínio Fundida R-15/ T-22</v>
          </cell>
          <cell r="E1717" t="str">
            <v>pç</v>
          </cell>
          <cell r="F1717"/>
          <cell r="G1717">
            <v>22.85</v>
          </cell>
          <cell r="H1717">
            <v>0</v>
          </cell>
        </row>
        <row r="1718">
          <cell r="C1718" t="str">
            <v>9.2.266</v>
          </cell>
          <cell r="D1718" t="str">
            <v>Petrolete Em Liga De Alumínio Fundida R-15/Lb-22</v>
          </cell>
          <cell r="E1718" t="str">
            <v>pç</v>
          </cell>
          <cell r="F1718"/>
          <cell r="G1718">
            <v>22.85</v>
          </cell>
          <cell r="H1718">
            <v>0</v>
          </cell>
        </row>
        <row r="1719">
          <cell r="C1719" t="str">
            <v>9.2.267</v>
          </cell>
          <cell r="D1719" t="str">
            <v>Petrolete Em Liga De Alumínio Fundida R-15/Lr-33</v>
          </cell>
          <cell r="E1719" t="str">
            <v>pç</v>
          </cell>
          <cell r="F1719"/>
          <cell r="G1719">
            <v>22.85</v>
          </cell>
          <cell r="H1719">
            <v>0</v>
          </cell>
        </row>
        <row r="1720">
          <cell r="C1720" t="str">
            <v>9.2.268</v>
          </cell>
          <cell r="D1720" t="str">
            <v>Petrolete Em Liga De Alumínio Fundida R-15/Ll-33</v>
          </cell>
          <cell r="E1720" t="str">
            <v>pç</v>
          </cell>
          <cell r="F1720"/>
          <cell r="G1720">
            <v>22.85</v>
          </cell>
          <cell r="H1720">
            <v>0</v>
          </cell>
        </row>
        <row r="1721">
          <cell r="C1721" t="str">
            <v>9.2.269</v>
          </cell>
          <cell r="D1721" t="str">
            <v>Petrolete Em Liga De Alumínio Fundida R-15/ T-33</v>
          </cell>
          <cell r="E1721" t="str">
            <v>pç</v>
          </cell>
          <cell r="F1721"/>
          <cell r="G1721">
            <v>22.85</v>
          </cell>
          <cell r="H1721">
            <v>0</v>
          </cell>
        </row>
        <row r="1722">
          <cell r="C1722" t="str">
            <v>9.2.270</v>
          </cell>
          <cell r="D1722" t="str">
            <v>Petrolete Em Liga De Alumínio Fundida R-15/Lb-33</v>
          </cell>
          <cell r="E1722" t="str">
            <v>pç</v>
          </cell>
          <cell r="F1722"/>
          <cell r="G1722">
            <v>22.85</v>
          </cell>
          <cell r="H1722">
            <v>0</v>
          </cell>
        </row>
        <row r="1723">
          <cell r="C1723" t="str">
            <v>9.2.271</v>
          </cell>
          <cell r="D1723" t="str">
            <v>Tomada Trifásica ,Três Fases Mais Terra ,Para Uso Ao Tempo ,Para 380V, R-20Tr/415</v>
          </cell>
          <cell r="E1723" t="str">
            <v>pç</v>
          </cell>
          <cell r="F1723"/>
          <cell r="G1723">
            <v>44.74</v>
          </cell>
          <cell r="H1723">
            <v>0</v>
          </cell>
        </row>
        <row r="1724">
          <cell r="C1724" t="str">
            <v>9.2.272</v>
          </cell>
          <cell r="D1724" t="str">
            <v>Plug Para Tomada  R-20Tr/415,Tipo R-40T/415</v>
          </cell>
          <cell r="E1724" t="str">
            <v>pç</v>
          </cell>
          <cell r="F1724"/>
          <cell r="G1724">
            <v>42.46</v>
          </cell>
          <cell r="H1724">
            <v>0</v>
          </cell>
        </row>
        <row r="1725">
          <cell r="C1725" t="str">
            <v>9.2.273</v>
          </cell>
          <cell r="D1725" t="str">
            <v xml:space="preserve">Tomada Bifásica ,Com Fase Mais Terra ,Para Uso Ao Tempo , Para 220V, Tipo R-20Tr/415 </v>
          </cell>
          <cell r="E1725" t="str">
            <v>pç</v>
          </cell>
          <cell r="F1725"/>
          <cell r="G1725">
            <v>29.32</v>
          </cell>
          <cell r="H1725">
            <v>0</v>
          </cell>
        </row>
        <row r="1726">
          <cell r="C1726" t="str">
            <v>9.2.274</v>
          </cell>
          <cell r="D1726" t="str">
            <v>Plug Para Tomada  R-20Tr/210, Tipo R-40T/210</v>
          </cell>
          <cell r="E1726" t="str">
            <v>pç</v>
          </cell>
          <cell r="F1726"/>
          <cell r="G1726">
            <v>22.47</v>
          </cell>
          <cell r="H1726">
            <v>0</v>
          </cell>
        </row>
        <row r="1727">
          <cell r="C1727" t="str">
            <v>9.2.275</v>
          </cell>
          <cell r="D1727" t="str">
            <v>Caixa Em Liga De Alumínio Fundida, Com Tampa ,Para Fixação Em Parede, Com Furos Lisos</v>
          </cell>
          <cell r="E1727" t="str">
            <v>pç</v>
          </cell>
          <cell r="F1727"/>
          <cell r="G1727">
            <v>297.01</v>
          </cell>
          <cell r="H1727">
            <v>0</v>
          </cell>
        </row>
        <row r="1728">
          <cell r="C1728" t="str">
            <v>9.2.276</v>
          </cell>
          <cell r="D1728" t="str">
            <v xml:space="preserve">Caixa Em Liga De Alumínio Fundida, Com Tampa ,Para Fixação Em Parede, Com Furos Lisos </v>
          </cell>
          <cell r="E1728" t="str">
            <v>pç</v>
          </cell>
          <cell r="F1728"/>
          <cell r="G1728">
            <v>297.01</v>
          </cell>
          <cell r="H1728">
            <v>0</v>
          </cell>
        </row>
        <row r="1729">
          <cell r="C1729" t="str">
            <v>9.2.277</v>
          </cell>
          <cell r="D1729" t="str">
            <v xml:space="preserve">Caixa Em Liga De Alumínio Fundida, Com Tampa ,Para Fixação Em Parede, Com Furos Lisos </v>
          </cell>
          <cell r="E1729" t="str">
            <v>pç</v>
          </cell>
          <cell r="F1729"/>
          <cell r="G1729">
            <v>297.01</v>
          </cell>
          <cell r="H1729">
            <v>0</v>
          </cell>
        </row>
        <row r="1730">
          <cell r="C1730" t="str">
            <v>9.2.278</v>
          </cell>
          <cell r="D1730" t="str">
            <v>Caixa Em Liga De Alumínio Fundida, Com Tampa , Para Fixação No Piso, Com Furos Lisos</v>
          </cell>
          <cell r="E1730" t="str">
            <v>pç</v>
          </cell>
          <cell r="F1730"/>
          <cell r="G1730">
            <v>319.87</v>
          </cell>
          <cell r="H1730">
            <v>0</v>
          </cell>
        </row>
        <row r="1731">
          <cell r="C1731" t="str">
            <v>9.2.279</v>
          </cell>
          <cell r="D1731" t="str">
            <v xml:space="preserve">Caixa Em Liga De Alumínio Fundida, Com Tampa , Para Fixação No Piso, Com Furos Lisos </v>
          </cell>
          <cell r="E1731" t="str">
            <v>pç</v>
          </cell>
          <cell r="F1731"/>
          <cell r="G1731">
            <v>319.87</v>
          </cell>
          <cell r="H1731">
            <v>0</v>
          </cell>
        </row>
        <row r="1732">
          <cell r="C1732" t="str">
            <v>9.2.280</v>
          </cell>
          <cell r="D1732" t="str">
            <v xml:space="preserve">Cabo Cobre Singelo, Isolamento Epr, 0,6/1 Kv, 90 Graus Centígrados, Seção Do Condutor = 185 Mm² </v>
          </cell>
          <cell r="E1732" t="str">
            <v>m</v>
          </cell>
          <cell r="F1732"/>
          <cell r="G1732">
            <v>89.49</v>
          </cell>
          <cell r="H1732">
            <v>0</v>
          </cell>
        </row>
        <row r="1733">
          <cell r="C1733" t="str">
            <v>9.2.281</v>
          </cell>
          <cell r="D1733" t="str">
            <v xml:space="preserve">Cabo Cobre Singelo, Isolamento Epr, 0,6/1 Kv, 90 Graus Centígrados, Seção Do Condutor = 120 Mm² </v>
          </cell>
          <cell r="E1733" t="str">
            <v>m</v>
          </cell>
          <cell r="F1733"/>
          <cell r="G1733">
            <v>60.16</v>
          </cell>
          <cell r="H1733">
            <v>0</v>
          </cell>
        </row>
        <row r="1734">
          <cell r="C1734" t="str">
            <v>9.2.282</v>
          </cell>
          <cell r="D1734" t="str">
            <v xml:space="preserve">Cabo Cobre Singelo, Isolamento Epr, 0,6/1 Kv, 90 Graus Centígrados, Seção Do Condutor = 70 Mm² </v>
          </cell>
          <cell r="E1734" t="str">
            <v>m</v>
          </cell>
          <cell r="F1734"/>
          <cell r="G1734">
            <v>35.409999999999997</v>
          </cell>
          <cell r="H1734">
            <v>0</v>
          </cell>
        </row>
        <row r="1735">
          <cell r="C1735" t="str">
            <v>9.2.283</v>
          </cell>
          <cell r="D1735" t="str">
            <v xml:space="preserve">Cabo Cobre Singelo, Isolamento Epr, 0,6/1 Kv, 90 Graus Centígrados, Seção Do Condutor = 16 Mm² </v>
          </cell>
          <cell r="E1735" t="str">
            <v>m</v>
          </cell>
          <cell r="F1735"/>
          <cell r="G1735">
            <v>8.9499999999999993</v>
          </cell>
          <cell r="H1735">
            <v>0</v>
          </cell>
        </row>
        <row r="1736">
          <cell r="C1736" t="str">
            <v>9.2.284</v>
          </cell>
          <cell r="D1736" t="str">
            <v>Cabo Cobre Singelo, Isolamento Epr, 0,6/1 Kv, 90 Graus Centígrados, Seção Do Condutor = 4 Mm²</v>
          </cell>
          <cell r="E1736" t="str">
            <v>m</v>
          </cell>
          <cell r="F1736"/>
          <cell r="G1736">
            <v>2.71</v>
          </cell>
          <cell r="H1736">
            <v>0</v>
          </cell>
        </row>
        <row r="1737">
          <cell r="C1737" t="str">
            <v>9.2.285</v>
          </cell>
          <cell r="D1737" t="str">
            <v xml:space="preserve">Cabo Cobre Singelo, Isolamento Epr, 0,6/1 Kv, 90 Graus Centígrados, Seção Do Condutor = 2,5 Mm² </v>
          </cell>
          <cell r="E1737" t="str">
            <v>m</v>
          </cell>
          <cell r="F1737"/>
          <cell r="G1737">
            <v>2.02</v>
          </cell>
          <cell r="H1737">
            <v>0</v>
          </cell>
        </row>
        <row r="1738">
          <cell r="C1738" t="str">
            <v>9.2.286</v>
          </cell>
          <cell r="D1738" t="str">
            <v>Cabo De Controle, Condutores De Cobre Estanhados, Tentos Coloridos, Com Blindagem, Isolamento Epr, 750V, Seção 4 X 1,5 Mm²</v>
          </cell>
          <cell r="E1738" t="str">
            <v>m</v>
          </cell>
          <cell r="F1738"/>
          <cell r="G1738">
            <v>3.8</v>
          </cell>
          <cell r="H1738">
            <v>0</v>
          </cell>
        </row>
        <row r="1739">
          <cell r="C1739" t="str">
            <v>9.2.287</v>
          </cell>
          <cell r="D1739" t="str">
            <v>Cabo De Controle, Condutores De Cobre Estanhados, Tentos Coloridos, Com Blindagem, Isolamento Epr, 750V, Seção 4 X 1,5 Mm²</v>
          </cell>
          <cell r="E1739" t="str">
            <v>m</v>
          </cell>
          <cell r="F1739"/>
          <cell r="G1739">
            <v>3.8</v>
          </cell>
          <cell r="H1739">
            <v>0</v>
          </cell>
        </row>
        <row r="1740">
          <cell r="C1740" t="str">
            <v>9.2.288</v>
          </cell>
          <cell r="D1740" t="str">
            <v>Cabo De Controle, Condutores De Cobre Estanhados, Tentos Coloridos, Com Blindagem, Isolamento Epr, 750V, Seção 6 X 1,5 Mm²</v>
          </cell>
          <cell r="E1740" t="str">
            <v>m</v>
          </cell>
          <cell r="F1740"/>
          <cell r="G1740">
            <v>4.6100000000000003</v>
          </cell>
          <cell r="H1740">
            <v>0</v>
          </cell>
        </row>
        <row r="1741">
          <cell r="C1741" t="str">
            <v>9.2.289</v>
          </cell>
          <cell r="D1741" t="str">
            <v>Cabo De Controle, Condutores De Cobre Estanhados, Tentos Coloridos, Com Blindagem, Isolamento Epr, 750V, Seção 8 X 1,5 Mm²</v>
          </cell>
          <cell r="E1741" t="str">
            <v>m</v>
          </cell>
          <cell r="F1741"/>
          <cell r="G1741">
            <v>13.9</v>
          </cell>
          <cell r="H1741">
            <v>0</v>
          </cell>
        </row>
        <row r="1742">
          <cell r="C1742" t="str">
            <v>9.2.290</v>
          </cell>
          <cell r="D1742" t="str">
            <v>Cabo De Controle, Condutores De Cobre Estanhados, Tentos Coloridos, Com Blindagem, Isolamento Epr, 750V, Seção 2 X 4 Mm²</v>
          </cell>
          <cell r="E1742" t="str">
            <v>m</v>
          </cell>
          <cell r="F1742"/>
          <cell r="G1742">
            <v>7.42</v>
          </cell>
          <cell r="H1742">
            <v>0</v>
          </cell>
        </row>
        <row r="1743">
          <cell r="C1743" t="str">
            <v>9.2.291</v>
          </cell>
          <cell r="D1743" t="str">
            <v>Cabo De Controle, Condutores De Cobre Estanhados, Tentos Coloridos, Com Blindagem, Isolamento Epr, 750V, Seção 4 X 4 Mm²</v>
          </cell>
          <cell r="E1743" t="str">
            <v>m</v>
          </cell>
          <cell r="F1743"/>
          <cell r="G1743">
            <v>10.47</v>
          </cell>
          <cell r="H1743">
            <v>0</v>
          </cell>
        </row>
        <row r="1744">
          <cell r="C1744" t="str">
            <v>9.2.292</v>
          </cell>
          <cell r="D1744" t="str">
            <v>Cabo De Cobre Nú, Tempera Mio Duro, Seção 70Mm2, Formação 7 Fios</v>
          </cell>
          <cell r="E1744" t="str">
            <v>m</v>
          </cell>
          <cell r="F1744"/>
          <cell r="G1744">
            <v>17.13</v>
          </cell>
          <cell r="H1744">
            <v>0</v>
          </cell>
        </row>
        <row r="1745">
          <cell r="C1745" t="str">
            <v>9.2.293</v>
          </cell>
          <cell r="D1745" t="str">
            <v>Cabo De Cobre Nú, Tempera Macia, Seção De 35Mm2,Formação 7 Fios</v>
          </cell>
          <cell r="E1745" t="str">
            <v>m</v>
          </cell>
          <cell r="F1745"/>
          <cell r="G1745">
            <v>10.28</v>
          </cell>
          <cell r="H1745">
            <v>0</v>
          </cell>
        </row>
        <row r="1746">
          <cell r="C1746" t="str">
            <v>9.2.294</v>
          </cell>
          <cell r="D1746" t="str">
            <v>Haste De Aterramento Cobreada, Diam 3/4"X 2,50M</v>
          </cell>
          <cell r="E1746" t="str">
            <v>pç</v>
          </cell>
          <cell r="F1746"/>
          <cell r="G1746">
            <v>10.47</v>
          </cell>
          <cell r="H1746">
            <v>0</v>
          </cell>
        </row>
        <row r="1747">
          <cell r="C1747" t="str">
            <v>9.2.295</v>
          </cell>
          <cell r="D1747" t="str">
            <v>Solda "X", Para 2 Cabos Seção 70Mm2,Cartucho Número 200</v>
          </cell>
          <cell r="E1747" t="str">
            <v>pç</v>
          </cell>
          <cell r="F1747"/>
          <cell r="G1747">
            <v>11.98</v>
          </cell>
          <cell r="H1747">
            <v>0</v>
          </cell>
        </row>
        <row r="1748">
          <cell r="C1748" t="str">
            <v>9.2.296</v>
          </cell>
          <cell r="D1748" t="str">
            <v xml:space="preserve">Solda "T", Para 2 Cabos  Seção 70Mm2,Cartucho Número 90 </v>
          </cell>
          <cell r="E1748" t="str">
            <v>pç</v>
          </cell>
          <cell r="F1748"/>
          <cell r="G1748">
            <v>6.08</v>
          </cell>
          <cell r="H1748">
            <v>0</v>
          </cell>
        </row>
        <row r="1749">
          <cell r="C1749" t="str">
            <v>9.2.297</v>
          </cell>
          <cell r="D1749" t="str">
            <v xml:space="preserve">Solda Para Um Cabo De Seção De 70Mm2 Passante E Haste De Terra Diam De 3/4", </v>
          </cell>
          <cell r="E1749" t="str">
            <v>pç</v>
          </cell>
          <cell r="F1749"/>
          <cell r="G1749">
            <v>3.8</v>
          </cell>
          <cell r="H1749">
            <v>0</v>
          </cell>
        </row>
        <row r="1750">
          <cell r="C1750" t="str">
            <v>9.2.298</v>
          </cell>
          <cell r="D1750" t="str">
            <v>Solda ' T ' Para Um Cabo 70Mm2 Passante E 35Mm2 Na Derivação</v>
          </cell>
          <cell r="E1750" t="str">
            <v>pç</v>
          </cell>
          <cell r="F1750"/>
          <cell r="G1750">
            <v>3.8</v>
          </cell>
          <cell r="H1750">
            <v>0</v>
          </cell>
        </row>
        <row r="1751">
          <cell r="C1751" t="str">
            <v>9.2.299</v>
          </cell>
          <cell r="D1751" t="str">
            <v>Molde Para Ligação  "X ", 2 X 70Mm2,Tipo  Xbm.Y4Y4</v>
          </cell>
          <cell r="E1751" t="str">
            <v>pç</v>
          </cell>
          <cell r="F1751"/>
          <cell r="G1751">
            <v>176.31</v>
          </cell>
          <cell r="H1751">
            <v>0</v>
          </cell>
        </row>
        <row r="1752">
          <cell r="C1752" t="str">
            <v>9.2.300</v>
          </cell>
          <cell r="D1752" t="str">
            <v>Molde  Para Ligação"T",2 Cabos 70Mm2,Tipo Tac.Y4Y4</v>
          </cell>
          <cell r="E1752" t="str">
            <v>pç</v>
          </cell>
          <cell r="F1752"/>
          <cell r="G1752">
            <v>158.79</v>
          </cell>
          <cell r="H1752">
            <v>0</v>
          </cell>
        </row>
        <row r="1753">
          <cell r="C1753" t="str">
            <v>9.2.301</v>
          </cell>
          <cell r="D1753" t="str">
            <v>Molde Para Cabo Passante 70Mm2 E Haste De Terra Diam 3/4"</v>
          </cell>
          <cell r="E1753" t="str">
            <v>pç</v>
          </cell>
          <cell r="F1753"/>
          <cell r="G1753">
            <v>158.79</v>
          </cell>
          <cell r="H1753">
            <v>0</v>
          </cell>
        </row>
        <row r="1754">
          <cell r="C1754" t="str">
            <v>9.2.302</v>
          </cell>
          <cell r="D1754" t="str">
            <v>Molde Para Cabo 70Mm2 Passante E 35Mm2 Derivação</v>
          </cell>
          <cell r="E1754" t="str">
            <v>pç</v>
          </cell>
          <cell r="F1754"/>
          <cell r="G1754">
            <v>88.19</v>
          </cell>
          <cell r="H1754">
            <v>0</v>
          </cell>
        </row>
        <row r="1755">
          <cell r="C1755" t="str">
            <v>9.2.303</v>
          </cell>
          <cell r="D1755" t="str">
            <v>Conector Barra Chata ,Com 1 Furo Nema,E Cabo 35Mm2</v>
          </cell>
          <cell r="E1755" t="str">
            <v>pç</v>
          </cell>
          <cell r="F1755"/>
          <cell r="G1755">
            <v>10.66</v>
          </cell>
          <cell r="H1755">
            <v>0</v>
          </cell>
        </row>
        <row r="1756">
          <cell r="C1756" t="str">
            <v>9.2.304</v>
          </cell>
          <cell r="D1756" t="str">
            <v>Conector Barra Chata ,Com 1 Furo Nema,E Cabo 70Mm2,Tipo Qa26-B</v>
          </cell>
          <cell r="E1756" t="str">
            <v>pç</v>
          </cell>
          <cell r="F1756"/>
          <cell r="G1756">
            <v>10.66</v>
          </cell>
          <cell r="H1756">
            <v>0</v>
          </cell>
        </row>
        <row r="1757">
          <cell r="C1757" t="str">
            <v>9.2.305</v>
          </cell>
          <cell r="D1757" t="str">
            <v>Conector Para Cabo 35Mm2 Passante E Barra Chata</v>
          </cell>
          <cell r="E1757" t="str">
            <v>pç</v>
          </cell>
          <cell r="F1757"/>
          <cell r="G1757">
            <v>12.94</v>
          </cell>
          <cell r="H1757">
            <v>0</v>
          </cell>
        </row>
        <row r="1758">
          <cell r="C1758" t="str">
            <v>9.2.306</v>
          </cell>
          <cell r="D1758" t="str">
            <v>Curva 90º Com Flanges 450 Mm, Esp 1/4", Aço Carbono.</v>
          </cell>
          <cell r="E1758" t="str">
            <v>un</v>
          </cell>
          <cell r="F1758"/>
          <cell r="G1758">
            <v>3266.82</v>
          </cell>
          <cell r="H1758">
            <v>0</v>
          </cell>
        </row>
        <row r="1759">
          <cell r="C1759" t="str">
            <v>9.2.307</v>
          </cell>
          <cell r="D1759" t="str">
            <v>Tubo Ponta/Flange Com Aba De Vedação Esp. 1/4", 450 Mm, Localizado A 35Cm Do Flange - L = 847 Mm, Aço Carbono.</v>
          </cell>
          <cell r="E1759" t="str">
            <v>un</v>
          </cell>
          <cell r="F1759"/>
          <cell r="G1759">
            <v>3577.37</v>
          </cell>
          <cell r="H1759">
            <v>0</v>
          </cell>
        </row>
        <row r="1760">
          <cell r="C1760" t="str">
            <v>9.2.308</v>
          </cell>
          <cell r="D1760" t="str">
            <v>Tubo Flange/Ponta Esp. 1/4", 450 Mm - L = 350 Mm, Aço Carbono.</v>
          </cell>
          <cell r="E1760" t="str">
            <v>un</v>
          </cell>
          <cell r="F1760"/>
          <cell r="G1760">
            <v>2410.87</v>
          </cell>
          <cell r="H1760">
            <v>0</v>
          </cell>
        </row>
        <row r="1761">
          <cell r="C1761" t="str">
            <v>9.2.309</v>
          </cell>
          <cell r="D1761" t="str">
            <v>Tubo Flange/Ponta Esp. 1/4", 450 Mm - L = 339 Mm, Aço Carbono.</v>
          </cell>
          <cell r="E1761" t="str">
            <v>un</v>
          </cell>
          <cell r="F1761"/>
          <cell r="G1761">
            <v>2410.81</v>
          </cell>
          <cell r="H1761">
            <v>0</v>
          </cell>
        </row>
        <row r="1762">
          <cell r="C1762" t="str">
            <v>9.2.310</v>
          </cell>
          <cell r="D1762" t="str">
            <v>Tê Com Flanges Esp. 1/4" - 450 X 50 Mm - L = 250 Mm, Aço Carbono.</v>
          </cell>
          <cell r="E1762" t="str">
            <v>un</v>
          </cell>
          <cell r="F1762"/>
          <cell r="G1762">
            <v>3204.88</v>
          </cell>
          <cell r="H1762">
            <v>0</v>
          </cell>
        </row>
        <row r="1763">
          <cell r="C1763" t="str">
            <v>9.2.311</v>
          </cell>
          <cell r="D1763" t="str">
            <v>Tubo Flangeado Esp. 1/4", 450 Mm - L = 600 Mm, Aço Carbono.</v>
          </cell>
          <cell r="E1763" t="str">
            <v>un</v>
          </cell>
          <cell r="F1763"/>
          <cell r="G1763">
            <v>3592.63</v>
          </cell>
          <cell r="H1763">
            <v>0</v>
          </cell>
        </row>
        <row r="1764">
          <cell r="C1764" t="str">
            <v>9.2.312</v>
          </cell>
          <cell r="D1764" t="str">
            <v>Curva 90° Com Flange E Pé 450 Mm Esp. 1/4", Aço Carbono.</v>
          </cell>
          <cell r="E1764" t="str">
            <v>un</v>
          </cell>
          <cell r="F1764"/>
          <cell r="G1764">
            <v>3852.32</v>
          </cell>
          <cell r="H1764">
            <v>0</v>
          </cell>
        </row>
        <row r="1765">
          <cell r="C1765" t="str">
            <v>9.2.313</v>
          </cell>
          <cell r="D1765" t="str">
            <v>Tubo Dn=1.000 Mm Com 04 Derivações 450 Mm E Duas 500 Mm, Esp. 3/8" - L = 10.450 Mm, Aço Carbono.</v>
          </cell>
          <cell r="E1765" t="str">
            <v>un</v>
          </cell>
          <cell r="F1765"/>
          <cell r="G1765">
            <v>12515.28</v>
          </cell>
          <cell r="H1765">
            <v>0</v>
          </cell>
        </row>
        <row r="1766">
          <cell r="C1766" t="str">
            <v>9.2.314</v>
          </cell>
          <cell r="D1766" t="str">
            <v>Tubo Flange/Ponta Esp. 1/4", 450 Mm - L = 2.000 Mm, Aço Carbono.</v>
          </cell>
          <cell r="E1766" t="str">
            <v>un</v>
          </cell>
          <cell r="F1766"/>
          <cell r="G1766">
            <v>4378.3</v>
          </cell>
          <cell r="H1766">
            <v>0</v>
          </cell>
        </row>
        <row r="1767">
          <cell r="C1767" t="str">
            <v>9.2.315</v>
          </cell>
          <cell r="D1767" t="str">
            <v>Calota Torisférica Esp. 3/8",  1.000 Mm, Aço Carbono.</v>
          </cell>
          <cell r="E1767" t="str">
            <v>un</v>
          </cell>
          <cell r="F1767"/>
          <cell r="G1767">
            <v>2081.62</v>
          </cell>
          <cell r="H1767">
            <v>0</v>
          </cell>
        </row>
        <row r="1768">
          <cell r="C1768" t="str">
            <v>9.2.316</v>
          </cell>
          <cell r="D1768" t="str">
            <v>Derivação Com Pontas Esp. 1/4",  450 Mm - L = 425 Mm, Aço Carbono.</v>
          </cell>
          <cell r="E1768" t="str">
            <v>un</v>
          </cell>
          <cell r="F1768"/>
          <cell r="G1768">
            <v>3083.36</v>
          </cell>
          <cell r="H1768">
            <v>0</v>
          </cell>
        </row>
        <row r="1769">
          <cell r="C1769" t="str">
            <v>9.2.317</v>
          </cell>
          <cell r="D1769" t="str">
            <v>Colarinho  Esp. 1/4", 450 Mm, Aço Carbono.</v>
          </cell>
          <cell r="E1769" t="str">
            <v>un</v>
          </cell>
          <cell r="F1769"/>
          <cell r="G1769">
            <v>2580.64</v>
          </cell>
          <cell r="H1769">
            <v>0</v>
          </cell>
        </row>
        <row r="1770">
          <cell r="C1770" t="str">
            <v>9.2.318</v>
          </cell>
          <cell r="D1770" t="str">
            <v>Derivação Flangeada Com Ponta Esp. 1/4",  500 Mm - L = 425 Mm, Aço Carbono.</v>
          </cell>
          <cell r="E1770" t="str">
            <v>un</v>
          </cell>
          <cell r="F1770"/>
          <cell r="G1770">
            <v>4463</v>
          </cell>
          <cell r="H1770">
            <v>0</v>
          </cell>
        </row>
        <row r="1771">
          <cell r="C1771" t="str">
            <v>9.2.319</v>
          </cell>
          <cell r="D1771" t="str">
            <v>Colarinho Esp. 1/4", 500 Mm, Aço Carbono.</v>
          </cell>
          <cell r="E1771" t="str">
            <v>un</v>
          </cell>
          <cell r="F1771"/>
          <cell r="G1771">
            <v>2658.48</v>
          </cell>
          <cell r="H1771">
            <v>0</v>
          </cell>
        </row>
        <row r="1772">
          <cell r="C1772" t="str">
            <v>9.2.320</v>
          </cell>
          <cell r="D1772" t="str">
            <v>Tubo Ponta/Ponta Esp. 1/4", 500 Mm - L = 1.640 Mm, Aço Carbono.</v>
          </cell>
          <cell r="E1772" t="str">
            <v>un</v>
          </cell>
          <cell r="F1772"/>
          <cell r="G1772">
            <v>3393.75</v>
          </cell>
          <cell r="H1772">
            <v>0</v>
          </cell>
        </row>
        <row r="1773">
          <cell r="C1773" t="str">
            <v>9.2.321</v>
          </cell>
          <cell r="D1773" t="str">
            <v>Tubo Flange/Ponta Esp. 1/4" 500 Mm - L = 800 Mm, Aço Carbono.</v>
          </cell>
          <cell r="E1773" t="str">
            <v>un</v>
          </cell>
          <cell r="F1773"/>
          <cell r="G1773">
            <v>3898.33</v>
          </cell>
          <cell r="H1773">
            <v>0</v>
          </cell>
        </row>
        <row r="1774">
          <cell r="C1774" t="str">
            <v>9.2.322</v>
          </cell>
          <cell r="D1774" t="str">
            <v>Válvula Borboleta Flangeada Esp. 1/4" Awwa  500 Mm, Aço Carbono.</v>
          </cell>
          <cell r="E1774" t="str">
            <v>un</v>
          </cell>
          <cell r="F1774"/>
          <cell r="G1774">
            <v>7487.86</v>
          </cell>
          <cell r="H1774">
            <v>0</v>
          </cell>
        </row>
        <row r="1775">
          <cell r="C1775" t="str">
            <v>9.2.323</v>
          </cell>
          <cell r="D1775" t="str">
            <v>Tubo Flangeado Esp. 1/4", 500 Mm - L = 800 Mm, Aço Carbono.</v>
          </cell>
          <cell r="E1775" t="str">
            <v>un</v>
          </cell>
          <cell r="F1775"/>
          <cell r="G1775">
            <v>3952.73</v>
          </cell>
          <cell r="H1775">
            <v>0</v>
          </cell>
        </row>
        <row r="1776">
          <cell r="C1776" t="str">
            <v>9.2.324</v>
          </cell>
          <cell r="D1776" t="str">
            <v>Curva 90º Com Flange E Pé Esp. 1/4", 500 Mm, Aço Carbono.</v>
          </cell>
          <cell r="E1776" t="str">
            <v>un</v>
          </cell>
          <cell r="F1776"/>
          <cell r="G1776">
            <v>5154.8999999999996</v>
          </cell>
          <cell r="H1776">
            <v>0</v>
          </cell>
        </row>
        <row r="1777">
          <cell r="C1777" t="str">
            <v>9.2.325</v>
          </cell>
          <cell r="D1777" t="str">
            <v>Tubo Com Flange E Ponta Esp. 1/4", 450 Mm - L = 600 Mm, Aço Carbono.</v>
          </cell>
          <cell r="E1777" t="str">
            <v>un</v>
          </cell>
          <cell r="F1777"/>
          <cell r="G1777">
            <v>1894.38</v>
          </cell>
          <cell r="H1777">
            <v>0</v>
          </cell>
        </row>
        <row r="1778">
          <cell r="C1778" t="str">
            <v>9.2.326</v>
          </cell>
          <cell r="D1778" t="str">
            <v>Tubo Ponta Flange Esp. 5/16", 700 Mm - L = 7.000 Mm, Aço Carbono.</v>
          </cell>
          <cell r="E1778" t="str">
            <v>un</v>
          </cell>
          <cell r="F1778"/>
          <cell r="G1778">
            <v>8314.6200000000008</v>
          </cell>
          <cell r="H1778">
            <v>0</v>
          </cell>
        </row>
        <row r="1779">
          <cell r="C1779" t="str">
            <v>9.2.327</v>
          </cell>
          <cell r="D1779" t="str">
            <v>Bexiga de poliuretano, de cap. 25.000 Lts para o reservatório antigolpe de aríete</v>
          </cell>
          <cell r="E1779" t="str">
            <v>un</v>
          </cell>
          <cell r="F1779"/>
          <cell r="G1779">
            <v>84786.868369691161</v>
          </cell>
          <cell r="H1779">
            <v>0</v>
          </cell>
        </row>
        <row r="1780">
          <cell r="C1780" t="str">
            <v>9.2.328</v>
          </cell>
          <cell r="D1780" t="str">
            <v>Bexiga de poliuretano, de cap. 20.000 Lts para o reservatório antigolpe de aríete</v>
          </cell>
          <cell r="E1780" t="str">
            <v>un</v>
          </cell>
          <cell r="F1780"/>
          <cell r="G1780">
            <v>71940.373162162199</v>
          </cell>
          <cell r="H1780">
            <v>0</v>
          </cell>
        </row>
        <row r="1781">
          <cell r="C1781" t="str">
            <v>9.2.329</v>
          </cell>
          <cell r="D1781" t="str">
            <v>Ventosa de tríplice função , com flanges, FoFo, PN10, Ø50 mm.</v>
          </cell>
          <cell r="E1781" t="str">
            <v>un</v>
          </cell>
          <cell r="F1781"/>
          <cell r="G1781">
            <v>380.78</v>
          </cell>
          <cell r="H1781">
            <v>0</v>
          </cell>
        </row>
        <row r="1782">
          <cell r="C1782" t="str">
            <v>9.2.330</v>
          </cell>
          <cell r="D1782" t="str">
            <v>Registro de gaveta chato FoFo com flanges e cabeçote, PN 10, Ø50 mm.</v>
          </cell>
          <cell r="E1782" t="str">
            <v>un</v>
          </cell>
          <cell r="F1782"/>
          <cell r="G1782">
            <v>369.36</v>
          </cell>
          <cell r="H1782">
            <v>0</v>
          </cell>
        </row>
        <row r="1783">
          <cell r="C1783" t="str">
            <v>9.2.332</v>
          </cell>
          <cell r="D1783" t="str">
            <v>Redução concêntrica em aço carbono, esp. ¼", Ø450 mm com flange, Ø250 mm</v>
          </cell>
          <cell r="E1783" t="str">
            <v>un</v>
          </cell>
          <cell r="F1783"/>
          <cell r="G1783">
            <v>585.22</v>
          </cell>
          <cell r="H1783">
            <v>0</v>
          </cell>
        </row>
        <row r="1784">
          <cell r="C1784" t="str">
            <v>9.2.333</v>
          </cell>
          <cell r="D1784" t="str">
            <v>Redução excêntrica em aço carbono, esp. ¼", Ø450 mm com flange, Ø250 mm</v>
          </cell>
          <cell r="E1784" t="str">
            <v>un</v>
          </cell>
          <cell r="F1784"/>
          <cell r="G1784">
            <v>582.22</v>
          </cell>
          <cell r="H1784">
            <v>0</v>
          </cell>
        </row>
        <row r="1785">
          <cell r="C1785" t="str">
            <v>9.2.334</v>
          </cell>
          <cell r="D1785" t="str">
            <v>Curva 45° com pontas, aço carbono 5/16" PN 10 Ø700mm</v>
          </cell>
          <cell r="E1785" t="str">
            <v>un</v>
          </cell>
          <cell r="F1785"/>
          <cell r="G1785">
            <v>738.06</v>
          </cell>
          <cell r="H1785">
            <v>0</v>
          </cell>
        </row>
        <row r="1786">
          <cell r="C1786" t="str">
            <v>9.2.335</v>
          </cell>
          <cell r="D1786" t="str">
            <v>Prateleira Para Cabos Comprimento Por Peça De 3,0 M. (Pos 79) Ref.: Tipo Srs-500-3 Da Sisa Ou Similar.</v>
          </cell>
          <cell r="E1786" t="str">
            <v>un</v>
          </cell>
          <cell r="F1786"/>
          <cell r="G1786">
            <v>666.38</v>
          </cell>
          <cell r="H1786">
            <v>0</v>
          </cell>
        </row>
        <row r="1787">
          <cell r="C1787" t="str">
            <v>9.3</v>
          </cell>
          <cell r="D1787" t="str">
            <v>MONTAGEM ELÉTRICA</v>
          </cell>
          <cell r="E1787"/>
          <cell r="F1787"/>
          <cell r="G1787"/>
          <cell r="H1787">
            <v>0</v>
          </cell>
        </row>
        <row r="1788">
          <cell r="C1788" t="str">
            <v>9.3.1</v>
          </cell>
          <cell r="D1788" t="str">
            <v>ATERRAMENTO</v>
          </cell>
          <cell r="E1788"/>
          <cell r="F1788"/>
          <cell r="G1788"/>
          <cell r="H1788">
            <v>0</v>
          </cell>
        </row>
        <row r="1789">
          <cell r="C1789" t="str">
            <v>9.3.1.1</v>
          </cell>
          <cell r="D1789" t="str">
            <v>Caixa Inspeção Do Terra</v>
          </cell>
          <cell r="E1789" t="str">
            <v>un</v>
          </cell>
          <cell r="F1789"/>
          <cell r="G1789">
            <v>6.99</v>
          </cell>
          <cell r="H1789">
            <v>0</v>
          </cell>
        </row>
        <row r="1790">
          <cell r="C1790" t="str">
            <v>9.3.1.2</v>
          </cell>
          <cell r="D1790" t="str">
            <v>Cabo De Cobre Nú, Tempera Meio Dura, Bitola 25 Mm2, Formação 7 Fios (Pireli Ou Similar)</v>
          </cell>
          <cell r="E1790" t="str">
            <v>m</v>
          </cell>
          <cell r="F1790"/>
          <cell r="G1790">
            <v>8.35</v>
          </cell>
          <cell r="H1790">
            <v>0</v>
          </cell>
        </row>
        <row r="1791">
          <cell r="C1791" t="str">
            <v>9.3.1.3</v>
          </cell>
          <cell r="D1791" t="str">
            <v>Caixa De Equalização De Terra Embutir Com 9 Terminais</v>
          </cell>
          <cell r="E1791" t="str">
            <v>un</v>
          </cell>
          <cell r="F1791"/>
          <cell r="G1791">
            <v>10.49</v>
          </cell>
          <cell r="H1791">
            <v>0</v>
          </cell>
        </row>
        <row r="1792">
          <cell r="C1792" t="str">
            <v>9.3.2</v>
          </cell>
          <cell r="D1792" t="str">
            <v>SPDA</v>
          </cell>
          <cell r="E1792"/>
          <cell r="F1792"/>
          <cell r="G1792"/>
          <cell r="H1792">
            <v>0</v>
          </cell>
        </row>
        <row r="1793">
          <cell r="C1793" t="str">
            <v>9.3.2.1</v>
          </cell>
          <cell r="D1793" t="str">
            <v>Poste De Concreto Duplo T, 300Kg, H = 12M</v>
          </cell>
          <cell r="E1793" t="str">
            <v>un</v>
          </cell>
          <cell r="F1793"/>
          <cell r="G1793">
            <v>477.8</v>
          </cell>
          <cell r="H1793">
            <v>0</v>
          </cell>
        </row>
        <row r="1794">
          <cell r="C1794" t="str">
            <v>9.3.2.2</v>
          </cell>
          <cell r="D1794" t="str">
            <v>Terminal Aereo Em Aço Galvanizado Com Base De Fixaçao H - 30Cm</v>
          </cell>
          <cell r="E1794" t="str">
            <v>un</v>
          </cell>
          <cell r="F1794"/>
          <cell r="G1794">
            <v>3.5</v>
          </cell>
          <cell r="H1794">
            <v>0</v>
          </cell>
        </row>
        <row r="1795">
          <cell r="C1795" t="str">
            <v>9.3.2.3</v>
          </cell>
          <cell r="D1795" t="str">
            <v>Para-Raios Tipo Franklin</v>
          </cell>
          <cell r="E1795" t="str">
            <v>un</v>
          </cell>
          <cell r="F1795"/>
          <cell r="G1795">
            <v>7.02</v>
          </cell>
          <cell r="H1795">
            <v>0</v>
          </cell>
        </row>
        <row r="1796">
          <cell r="C1796" t="str">
            <v>9.3.2.4</v>
          </cell>
          <cell r="D1796" t="str">
            <v>Mastro Simples De Ferro Galvanizado P/ Para-Raios H=3,00M Incluindo Base - E Instalacao</v>
          </cell>
          <cell r="E1796" t="str">
            <v>un</v>
          </cell>
          <cell r="F1796"/>
          <cell r="G1796">
            <v>132.41999999999999</v>
          </cell>
          <cell r="H1796">
            <v>0</v>
          </cell>
        </row>
        <row r="1797">
          <cell r="C1797" t="str">
            <v>9.3.2.5</v>
          </cell>
          <cell r="D1797" t="str">
            <v>Terminal Ou Conector De Pressão Para Cabo De 35Mm2</v>
          </cell>
          <cell r="E1797" t="str">
            <v>un</v>
          </cell>
          <cell r="F1797"/>
          <cell r="G1797">
            <v>0.56000000000000005</v>
          </cell>
          <cell r="H1797">
            <v>0</v>
          </cell>
        </row>
        <row r="1798">
          <cell r="C1798" t="str">
            <v>9.3.2.6</v>
          </cell>
          <cell r="D1798" t="str">
            <v>Abraçadeira Guia Reforçada em aço galvanizado a fogo Para Mastros 2"</v>
          </cell>
          <cell r="E1798" t="str">
            <v>un</v>
          </cell>
          <cell r="F1798"/>
          <cell r="G1798">
            <v>0.62</v>
          </cell>
          <cell r="H1798">
            <v>0</v>
          </cell>
        </row>
        <row r="1799">
          <cell r="C1799" t="str">
            <v>9.3.2.7</v>
          </cell>
          <cell r="D1799" t="str">
            <v>Abraçadeira Guia Simples em aço galvanizado a fogo Para Mastros 2"</v>
          </cell>
          <cell r="E1799" t="str">
            <v>un</v>
          </cell>
          <cell r="F1799"/>
          <cell r="G1799">
            <v>0.62</v>
          </cell>
          <cell r="H1799">
            <v>0</v>
          </cell>
        </row>
        <row r="1800">
          <cell r="C1800" t="str">
            <v>9.3.2.8</v>
          </cell>
          <cell r="D1800" t="str">
            <v>Abraçadeira Tipo Porta Bandeira Simples em aço galvanizado a fogo Para Mastros 2" .</v>
          </cell>
          <cell r="E1800" t="str">
            <v>un</v>
          </cell>
          <cell r="F1800"/>
          <cell r="G1800">
            <v>0.62</v>
          </cell>
          <cell r="H1800">
            <v>0</v>
          </cell>
        </row>
        <row r="1801">
          <cell r="C1801" t="str">
            <v>9.3.2.9</v>
          </cell>
          <cell r="D1801" t="str">
            <v>Conector Para 2 Cabos De Cobre 16Mm2</v>
          </cell>
          <cell r="E1801" t="str">
            <v>pç</v>
          </cell>
          <cell r="F1801"/>
          <cell r="G1801">
            <v>1.06</v>
          </cell>
          <cell r="H1801">
            <v>0</v>
          </cell>
        </row>
        <row r="1802">
          <cell r="C1802" t="str">
            <v>9.3.2.10</v>
          </cell>
          <cell r="D1802" t="str">
            <v>Montagem De Condulete Dn 50Mm Tipo Lr</v>
          </cell>
          <cell r="E1802" t="str">
            <v>un</v>
          </cell>
          <cell r="F1802"/>
          <cell r="G1802">
            <v>8.67</v>
          </cell>
          <cell r="H1802">
            <v>0</v>
          </cell>
        </row>
        <row r="1803">
          <cell r="C1803" t="str">
            <v>9.3.2.11</v>
          </cell>
          <cell r="D1803" t="str">
            <v>Abraçadeira Tipo D em aço galvanizado a fogo Com Cunha 2"</v>
          </cell>
          <cell r="E1803" t="str">
            <v>un</v>
          </cell>
          <cell r="F1803"/>
          <cell r="G1803">
            <v>0.62</v>
          </cell>
          <cell r="H1803">
            <v>0</v>
          </cell>
        </row>
        <row r="1804">
          <cell r="C1804" t="str">
            <v>9.3.2.12</v>
          </cell>
          <cell r="D1804" t="str">
            <v>Suporte Guia Base  Cabo 35mm²</v>
          </cell>
          <cell r="E1804" t="str">
            <v>un</v>
          </cell>
          <cell r="F1804"/>
          <cell r="G1804">
            <v>2.65</v>
          </cell>
          <cell r="H1804">
            <v>0</v>
          </cell>
        </row>
        <row r="1805">
          <cell r="C1805" t="str">
            <v>9.3.2.13</v>
          </cell>
          <cell r="D1805" t="str">
            <v>Conector De Aterramento Em Bronze Estanhado, Para Um Cabo De Cobre De 16 A 70 Mm2, Com O Corpo Constitído Por Duas Peças, Fixação A Chapa De Aço De Espessura Até 10 Mm, Com Parafuso, Porca E Arruela De Pressão Em Bronze Silício</v>
          </cell>
          <cell r="E1805" t="str">
            <v>pç</v>
          </cell>
          <cell r="F1805"/>
          <cell r="G1805">
            <v>1.05</v>
          </cell>
          <cell r="H1805">
            <v>0</v>
          </cell>
        </row>
        <row r="1806">
          <cell r="C1806" t="str">
            <v>9.3.3</v>
          </cell>
          <cell r="D1806" t="str">
            <v>SUBESTAÇÃO EBS - ENTRADA DE ENERGIA</v>
          </cell>
          <cell r="E1806"/>
          <cell r="F1806"/>
          <cell r="G1806"/>
          <cell r="H1806">
            <v>0</v>
          </cell>
        </row>
        <row r="1807">
          <cell r="C1807" t="str">
            <v>9.3.3.1</v>
          </cell>
          <cell r="D1807" t="str">
            <v>Dutos Flexíveis Em Pead (Polietileno De Alta Densidade) - D=6", Inclusive Conexões</v>
          </cell>
          <cell r="E1807" t="str">
            <v>m</v>
          </cell>
          <cell r="F1807"/>
          <cell r="G1807">
            <v>10.49</v>
          </cell>
          <cell r="H1807">
            <v>0</v>
          </cell>
        </row>
        <row r="1808">
          <cell r="C1808" t="str">
            <v>9.3.3.2</v>
          </cell>
          <cell r="D1808" t="str">
            <v>Cabo De Cobre Isolado XLPE 20/35 KV #35 Mm²</v>
          </cell>
          <cell r="E1808" t="str">
            <v>m</v>
          </cell>
          <cell r="F1808"/>
          <cell r="G1808">
            <v>12.64</v>
          </cell>
          <cell r="H1808">
            <v>0</v>
          </cell>
        </row>
        <row r="1809">
          <cell r="C1809" t="str">
            <v>9.3.3.3</v>
          </cell>
          <cell r="D1809" t="str">
            <v>Dutos Flexíveis Em Pead (Polietileno De Alta Densidade) - D=4", Inclusive Conexões</v>
          </cell>
          <cell r="E1809" t="str">
            <v>m</v>
          </cell>
          <cell r="F1809"/>
          <cell r="G1809">
            <v>8.74</v>
          </cell>
          <cell r="H1809">
            <v>0</v>
          </cell>
        </row>
        <row r="1810">
          <cell r="C1810" t="str">
            <v>9.3.3.4</v>
          </cell>
          <cell r="D1810" t="str">
            <v xml:space="preserve">Cabo De Cobre Isolado XLPE 0,6/1 KV  400 Mm² </v>
          </cell>
          <cell r="E1810" t="str">
            <v>m</v>
          </cell>
          <cell r="F1810"/>
          <cell r="G1810">
            <v>20.16</v>
          </cell>
          <cell r="H1810">
            <v>0</v>
          </cell>
        </row>
        <row r="1811">
          <cell r="C1811" t="str">
            <v>9.3.3.5</v>
          </cell>
          <cell r="D1811" t="str">
            <v xml:space="preserve">Cabo De Cobre Isolado XLPE 0,6/1 KV  240 Mm² </v>
          </cell>
          <cell r="E1811" t="str">
            <v>m</v>
          </cell>
          <cell r="F1811"/>
          <cell r="G1811">
            <v>19.579999999999998</v>
          </cell>
          <cell r="H1811">
            <v>0</v>
          </cell>
        </row>
        <row r="1812">
          <cell r="C1812" t="str">
            <v>9.3.3.6</v>
          </cell>
          <cell r="D1812" t="str">
            <v>Poste De Concreto Armado, Seção Duplo "T", 12 / 1000</v>
          </cell>
          <cell r="E1812" t="str">
            <v>un</v>
          </cell>
          <cell r="F1812"/>
          <cell r="G1812">
            <v>477.8</v>
          </cell>
          <cell r="H1812">
            <v>0</v>
          </cell>
        </row>
        <row r="1813">
          <cell r="C1813" t="str">
            <v>9.3.3.7</v>
          </cell>
          <cell r="D1813" t="str">
            <v>Fita metálica perfurada, L=*18*mm, rolo de 30m, carga recomendada= *30*KGF</v>
          </cell>
          <cell r="E1813" t="str">
            <v>un</v>
          </cell>
          <cell r="F1813"/>
          <cell r="G1813">
            <v>2.75</v>
          </cell>
          <cell r="H1813">
            <v>0</v>
          </cell>
        </row>
        <row r="1814">
          <cell r="C1814" t="str">
            <v>9.3.3.8</v>
          </cell>
          <cell r="D1814" t="str">
            <v xml:space="preserve">Conector estribo de alumínio 1/0-4/0AWG (70mm2) </v>
          </cell>
          <cell r="E1814" t="str">
            <v>un</v>
          </cell>
          <cell r="F1814"/>
          <cell r="G1814">
            <v>6.27</v>
          </cell>
          <cell r="H1814">
            <v>0</v>
          </cell>
        </row>
        <row r="1815">
          <cell r="C1815" t="str">
            <v>9.3.3.9</v>
          </cell>
          <cell r="D1815" t="str">
            <v>Grampo De Linha Viva Para Cabo de 35mm²</v>
          </cell>
          <cell r="E1815" t="str">
            <v>un</v>
          </cell>
          <cell r="F1815"/>
          <cell r="G1815">
            <v>6.27</v>
          </cell>
          <cell r="H1815">
            <v>0</v>
          </cell>
        </row>
        <row r="1816">
          <cell r="C1816" t="str">
            <v>9.3.3.10</v>
          </cell>
          <cell r="D1816" t="str">
            <v>Chave Fusível Unipolar Distribuição Porcelana 36,2Kv 100 A 10 KA com ferragem</v>
          </cell>
          <cell r="E1816" t="str">
            <v>un</v>
          </cell>
          <cell r="F1816"/>
          <cell r="G1816">
            <v>320.87</v>
          </cell>
          <cell r="H1816">
            <v>0</v>
          </cell>
        </row>
        <row r="1817">
          <cell r="C1817" t="str">
            <v>9.3.3.11</v>
          </cell>
          <cell r="D1817" t="str">
            <v xml:space="preserve">Elo Fusível Corrente nominal: 25 A. Curva tipo K. Comprimento: 500 mm. Capacidade de interrupção máxima: 5kA assimétrica/3,6 kA simétrica. </v>
          </cell>
          <cell r="E1817" t="str">
            <v>un</v>
          </cell>
          <cell r="F1817"/>
          <cell r="G1817">
            <v>6.27</v>
          </cell>
          <cell r="H1817">
            <v>0</v>
          </cell>
        </row>
        <row r="1818">
          <cell r="C1818" t="str">
            <v>9.3.3.12</v>
          </cell>
          <cell r="D1818" t="str">
            <v>Para-Raios De Distribuição - Zno 36Kv; 31,5Ka</v>
          </cell>
          <cell r="E1818" t="str">
            <v>un</v>
          </cell>
          <cell r="F1818"/>
          <cell r="G1818">
            <v>347.1</v>
          </cell>
          <cell r="H1818">
            <v>0</v>
          </cell>
        </row>
        <row r="1819">
          <cell r="C1819" t="str">
            <v>9.3.3.13</v>
          </cell>
          <cell r="D1819" t="str">
            <v>Mufla Externa Para cabos de 35 mm^2</v>
          </cell>
          <cell r="E1819" t="str">
            <v>un</v>
          </cell>
          <cell r="F1819"/>
          <cell r="G1819">
            <v>74.64</v>
          </cell>
          <cell r="H1819">
            <v>0</v>
          </cell>
        </row>
        <row r="1820">
          <cell r="C1820" t="str">
            <v>9.3.3.14</v>
          </cell>
          <cell r="D1820" t="str">
            <v>Cruzeta De Concreto Tipo "T", 1.900 Mm</v>
          </cell>
          <cell r="E1820" t="str">
            <v>un</v>
          </cell>
          <cell r="F1820"/>
          <cell r="G1820">
            <v>180.49</v>
          </cell>
          <cell r="H1820">
            <v>0</v>
          </cell>
        </row>
        <row r="1821">
          <cell r="C1821" t="str">
            <v>9.3.3.15</v>
          </cell>
          <cell r="D1821" t="str">
            <v>Isolador de ancoragem e suspensão tensão nominal 35kV NBR-6323</v>
          </cell>
          <cell r="E1821" t="str">
            <v>un</v>
          </cell>
          <cell r="F1821"/>
          <cell r="G1821">
            <v>88.24</v>
          </cell>
          <cell r="H1821">
            <v>0</v>
          </cell>
        </row>
        <row r="1822">
          <cell r="C1822" t="str">
            <v>9.3.3.16</v>
          </cell>
          <cell r="D1822" t="str">
            <v>Manilha Sapatilha Em Aço Zincado A Quente</v>
          </cell>
          <cell r="E1822" t="str">
            <v>un</v>
          </cell>
          <cell r="F1822"/>
          <cell r="G1822">
            <v>1.05</v>
          </cell>
          <cell r="H1822">
            <v>0</v>
          </cell>
        </row>
        <row r="1823">
          <cell r="C1823" t="str">
            <v>9.3.3.17</v>
          </cell>
          <cell r="D1823" t="str">
            <v xml:space="preserve">Gancho Olhal Galvanizado </v>
          </cell>
          <cell r="E1823" t="str">
            <v>un</v>
          </cell>
          <cell r="F1823"/>
          <cell r="G1823">
            <v>5.35</v>
          </cell>
          <cell r="H1823">
            <v>0</v>
          </cell>
        </row>
        <row r="1824">
          <cell r="C1824" t="str">
            <v>9.3.3.18</v>
          </cell>
          <cell r="D1824" t="str">
            <v>Olhal Para Parafuso M16 Em Aço Zincado A Quente, Carga De Ruptura 5000 Dan</v>
          </cell>
          <cell r="E1824" t="str">
            <v>pç</v>
          </cell>
          <cell r="F1824"/>
          <cell r="G1824">
            <v>0.52</v>
          </cell>
          <cell r="H1824">
            <v>0</v>
          </cell>
        </row>
        <row r="1825">
          <cell r="C1825" t="str">
            <v>9.3.3.19</v>
          </cell>
          <cell r="D1825" t="str">
            <v>Parafuso De Máquina, Cabeça Quadrada, Em Aço Zincado, Rosca M16 X 2, Comprimento Total A = 400, Parte Rosqueada B = 320 Mm, Completo Com Duas Porcas Quadrada</v>
          </cell>
          <cell r="E1825" t="str">
            <v>pç</v>
          </cell>
          <cell r="F1825"/>
          <cell r="G1825">
            <v>2.8</v>
          </cell>
          <cell r="H1825">
            <v>0</v>
          </cell>
        </row>
        <row r="1826">
          <cell r="C1826" t="str">
            <v>9.3.3.20</v>
          </cell>
          <cell r="D1826" t="str">
            <v>Parafuso De Máquina, Cabeça Quadrada, Em Aço Zincado, Rosca M16 X 2, Comprimento Total A = 300, Parte Rosqueada B = 220 Mm, Completo Com Duas Porcas Quadrada</v>
          </cell>
          <cell r="E1826" t="str">
            <v>pç</v>
          </cell>
          <cell r="F1826"/>
          <cell r="G1826">
            <v>2.4500000000000002</v>
          </cell>
          <cell r="H1826">
            <v>0</v>
          </cell>
        </row>
        <row r="1827">
          <cell r="C1827" t="str">
            <v>9.3.3.21</v>
          </cell>
          <cell r="D1827" t="str">
            <v>Alça pré-formada distribuição Para cabo de aluminio CAA 4/0 AWG</v>
          </cell>
          <cell r="E1827" t="str">
            <v>un</v>
          </cell>
          <cell r="F1827"/>
          <cell r="G1827">
            <v>20.05</v>
          </cell>
          <cell r="H1827">
            <v>0</v>
          </cell>
        </row>
        <row r="1828">
          <cell r="C1828" t="str">
            <v>9.3.3.22</v>
          </cell>
          <cell r="D1828" t="str">
            <v>Conectores Para Haste De Aterramento</v>
          </cell>
          <cell r="E1828" t="str">
            <v>un</v>
          </cell>
          <cell r="F1828"/>
          <cell r="G1828">
            <v>1.05</v>
          </cell>
          <cell r="H1828">
            <v>0</v>
          </cell>
        </row>
        <row r="1829">
          <cell r="C1829" t="str">
            <v>9.3.3.23</v>
          </cell>
          <cell r="D1829" t="str">
            <v>Pino autotravante M16</v>
          </cell>
          <cell r="E1829" t="str">
            <v>un</v>
          </cell>
          <cell r="F1829"/>
          <cell r="G1829">
            <v>6.68</v>
          </cell>
          <cell r="H1829">
            <v>0</v>
          </cell>
        </row>
        <row r="1830">
          <cell r="C1830" t="str">
            <v>9.3.3.24</v>
          </cell>
          <cell r="D1830" t="str">
            <v>Transformador De Potência 500Kva - 34500 -380/220V - Uso Externo</v>
          </cell>
          <cell r="E1830" t="str">
            <v>un</v>
          </cell>
          <cell r="F1830"/>
          <cell r="G1830">
            <v>4730.9799999999996</v>
          </cell>
          <cell r="H1830">
            <v>0</v>
          </cell>
        </row>
        <row r="1831">
          <cell r="C1831" t="str">
            <v>9.3.3.25</v>
          </cell>
          <cell r="D1831" t="str">
            <v>Cubículo De Proteção E Medição Em Média Tensão (34,5 Kv) Padrão Equatorial, Instalação Abrigada,  Tipo Metal-Clad 380/220 V, Incluindo  Transformadores De Corrente ,  Transformadores De Potencial, Disjuntor De Média Tensão, Reles e Medidores</v>
          </cell>
          <cell r="E1831" t="str">
            <v>un</v>
          </cell>
          <cell r="F1831"/>
          <cell r="G1831">
            <v>8782.49</v>
          </cell>
          <cell r="H1831">
            <v>0</v>
          </cell>
        </row>
        <row r="1832">
          <cell r="C1832" t="str">
            <v>9.3.3.26</v>
          </cell>
          <cell r="D1832" t="str">
            <v>Comissionamento da Estação de bombeamento Secundário 1, 2, 3 e 4</v>
          </cell>
          <cell r="E1832" t="str">
            <v>vb</v>
          </cell>
          <cell r="F1832"/>
          <cell r="G1832">
            <v>43244.585808795229</v>
          </cell>
          <cell r="H1832">
            <v>0</v>
          </cell>
        </row>
        <row r="1833">
          <cell r="C1833" t="str">
            <v>9.3.4</v>
          </cell>
          <cell r="D1833" t="str">
            <v>ALIMENTAÇÃO DE MOTORES E DAS BÓIAS DE NIVEL</v>
          </cell>
          <cell r="E1833"/>
          <cell r="F1833"/>
          <cell r="G1833"/>
          <cell r="H1833">
            <v>0</v>
          </cell>
        </row>
        <row r="1834">
          <cell r="C1834" t="str">
            <v>9.3.4.1</v>
          </cell>
          <cell r="D1834" t="str">
            <v>Eletroduto Rígido De Aço Galvanizado Com Costura, 4" Em Varas De 3 Metros, Rosca Bsp. Ref.: Apolo Ou Similar</v>
          </cell>
          <cell r="E1834" t="str">
            <v>vara</v>
          </cell>
          <cell r="F1834"/>
          <cell r="G1834">
            <v>67.760000000000005</v>
          </cell>
          <cell r="H1834">
            <v>0</v>
          </cell>
        </row>
        <row r="1835">
          <cell r="C1835" t="str">
            <v>9.3.4.2</v>
          </cell>
          <cell r="D1835" t="str">
            <v>Curva 90º De Aço Galvanizado Sem Costura, Raio Longo, Para Ligação Em Eletroduto 4" Rosca Bsp. (Pos 35) Ref.: Blinda Ou Similar</v>
          </cell>
          <cell r="E1835" t="str">
            <v>un</v>
          </cell>
          <cell r="F1835"/>
          <cell r="G1835">
            <v>15.9</v>
          </cell>
          <cell r="H1835">
            <v>0</v>
          </cell>
        </row>
        <row r="1836">
          <cell r="C1836" t="str">
            <v>9.3.4.3</v>
          </cell>
          <cell r="D1836" t="str">
            <v>Montagem De Cabo De Cobre Múltiplo 4X2,5Mm² Pvc 1Kv</v>
          </cell>
          <cell r="E1836" t="str">
            <v>m</v>
          </cell>
          <cell r="F1836"/>
          <cell r="G1836">
            <v>2.69</v>
          </cell>
          <cell r="H1836">
            <v>0</v>
          </cell>
        </row>
        <row r="1837">
          <cell r="C1837" t="str">
            <v>9.3.4.4</v>
          </cell>
          <cell r="D1837" t="str">
            <v xml:space="preserve">Cabo De Cobre Isolado XLPE 0,6/1 KV  300 Mm² </v>
          </cell>
          <cell r="E1837" t="str">
            <v>m</v>
          </cell>
          <cell r="F1837"/>
          <cell r="G1837">
            <v>19.71</v>
          </cell>
          <cell r="H1837">
            <v>0</v>
          </cell>
        </row>
        <row r="1838">
          <cell r="C1838" t="str">
            <v>9.3.4.5</v>
          </cell>
          <cell r="D1838" t="str">
            <v>Cabo De Cobre Isolado XLPE 0,6/1 KV 150Mm²</v>
          </cell>
          <cell r="E1838" t="str">
            <v>m</v>
          </cell>
          <cell r="F1838"/>
          <cell r="G1838">
            <v>17.3</v>
          </cell>
          <cell r="H1838">
            <v>0</v>
          </cell>
        </row>
        <row r="1839">
          <cell r="C1839" t="str">
            <v>9.3.5</v>
          </cell>
          <cell r="D1839" t="str">
            <v>ILUMINAÇÃO E TOMADAS</v>
          </cell>
          <cell r="E1839"/>
          <cell r="F1839"/>
          <cell r="G1839"/>
          <cell r="H1839">
            <v>0</v>
          </cell>
        </row>
        <row r="1840">
          <cell r="C1840" t="str">
            <v>9.3.5.1</v>
          </cell>
          <cell r="D1840" t="str">
            <v>Luminária Fluorescente Completa (2 X 32)W</v>
          </cell>
          <cell r="E1840" t="str">
            <v>un</v>
          </cell>
          <cell r="F1840"/>
          <cell r="G1840">
            <v>12.28</v>
          </cell>
          <cell r="H1840">
            <v>0</v>
          </cell>
        </row>
        <row r="1841">
          <cell r="C1841" t="str">
            <v>9.3.5.2</v>
          </cell>
          <cell r="D1841" t="str">
            <v>Caixa Metalica Octogonal 4X4" Fundo Movel</v>
          </cell>
          <cell r="E1841" t="str">
            <v>un</v>
          </cell>
          <cell r="F1841"/>
          <cell r="G1841">
            <v>1.05</v>
          </cell>
          <cell r="H1841">
            <v>0</v>
          </cell>
        </row>
        <row r="1842">
          <cell r="C1842" t="str">
            <v>9.3.5.3</v>
          </cell>
          <cell r="D1842" t="str">
            <v>Montagem De Interruptor De Luz Seção Dupla 10A/250V</v>
          </cell>
          <cell r="E1842" t="str">
            <v>un</v>
          </cell>
          <cell r="F1842"/>
          <cell r="G1842">
            <v>3.21</v>
          </cell>
          <cell r="H1842">
            <v>0</v>
          </cell>
        </row>
        <row r="1843">
          <cell r="C1843" t="str">
            <v>9.3.5.4</v>
          </cell>
          <cell r="D1843" t="str">
            <v>Aparelho Para Iluminação, Tipo Refletor, Estampado Em Chapa De Aço, Soqueteria De Alumínio Fundido, Para Lâmpada Mista 250 W, 220 V Com Entrada 3/4" (Com Lâmpada).</v>
          </cell>
          <cell r="E1843" t="str">
            <v>un</v>
          </cell>
          <cell r="F1843"/>
          <cell r="G1843">
            <v>66.260000000000005</v>
          </cell>
          <cell r="H1843">
            <v>0</v>
          </cell>
        </row>
        <row r="1844">
          <cell r="C1844" t="str">
            <v>9.3.5.5</v>
          </cell>
          <cell r="D1844" t="str">
            <v>Caixa De Ligação Tipo Condulete, A Prova De Tempo, Gases, Vapores E Pó, Em Liga De Alumínio Fundido Com Tampa Estampada De Alumínio, Fixada Por Parafusos, Com Vedação De Junta De Borracha, Nos Seguintes Tipos E Diâmetros:</v>
          </cell>
          <cell r="E1844" t="str">
            <v>un</v>
          </cell>
          <cell r="F1844"/>
          <cell r="G1844"/>
          <cell r="H1844">
            <v>0</v>
          </cell>
        </row>
        <row r="1845">
          <cell r="C1845" t="str">
            <v>9.3.5.5.1</v>
          </cell>
          <cell r="D1845" t="str">
            <v>T - 3/4"</v>
          </cell>
          <cell r="E1845" t="str">
            <v>un</v>
          </cell>
          <cell r="F1845"/>
          <cell r="G1845">
            <v>6.2</v>
          </cell>
          <cell r="H1845">
            <v>0</v>
          </cell>
        </row>
        <row r="1846">
          <cell r="C1846" t="str">
            <v>9.3.5.5.2</v>
          </cell>
          <cell r="D1846" t="str">
            <v>Lr - 3/4"</v>
          </cell>
          <cell r="E1846" t="str">
            <v>un</v>
          </cell>
          <cell r="F1846"/>
          <cell r="G1846">
            <v>3.99</v>
          </cell>
          <cell r="H1846">
            <v>0</v>
          </cell>
        </row>
        <row r="1847">
          <cell r="C1847" t="str">
            <v>9.3.5.5.3</v>
          </cell>
          <cell r="D1847" t="str">
            <v>X - 3/4"</v>
          </cell>
          <cell r="E1847" t="str">
            <v>un</v>
          </cell>
          <cell r="F1847"/>
          <cell r="G1847">
            <v>5.84</v>
          </cell>
          <cell r="H1847">
            <v>0</v>
          </cell>
        </row>
        <row r="1848">
          <cell r="C1848" t="str">
            <v>9.4</v>
          </cell>
          <cell r="D1848" t="str">
            <v>FORNECIMENTO ELÉTRICA</v>
          </cell>
          <cell r="E1848"/>
          <cell r="F1848"/>
          <cell r="G1848"/>
          <cell r="H1848">
            <v>0</v>
          </cell>
        </row>
        <row r="1849">
          <cell r="C1849" t="str">
            <v>9.4.1</v>
          </cell>
          <cell r="D1849" t="str">
            <v>ATERRAMENTO</v>
          </cell>
          <cell r="E1849"/>
          <cell r="F1849"/>
          <cell r="G1849"/>
          <cell r="H1849">
            <v>0</v>
          </cell>
        </row>
        <row r="1850">
          <cell r="C1850" t="str">
            <v>9.4.1.1</v>
          </cell>
          <cell r="D1850" t="str">
            <v>Caixa Inspeção Do Terra</v>
          </cell>
          <cell r="E1850" t="str">
            <v>un</v>
          </cell>
          <cell r="F1850"/>
          <cell r="G1850">
            <v>5.77</v>
          </cell>
          <cell r="H1850">
            <v>0</v>
          </cell>
        </row>
        <row r="1851">
          <cell r="C1851" t="str">
            <v>9.4.1.2</v>
          </cell>
          <cell r="D1851" t="str">
            <v>Cabo De Cobre Nú, Tempera Meio Dura, Bitola 25 Mm2, Formação 7 Fios (Pireli Ou Similar)</v>
          </cell>
          <cell r="E1851" t="str">
            <v>m</v>
          </cell>
          <cell r="F1851"/>
          <cell r="G1851">
            <v>5.32</v>
          </cell>
          <cell r="H1851">
            <v>0</v>
          </cell>
        </row>
        <row r="1852">
          <cell r="C1852" t="str">
            <v>9.4.1.3</v>
          </cell>
          <cell r="D1852" t="str">
            <v>Caixa De Equalização De Terra Embutir Com 9 Terminais</v>
          </cell>
          <cell r="E1852" t="str">
            <v>un</v>
          </cell>
          <cell r="F1852"/>
          <cell r="G1852">
            <v>197.84</v>
          </cell>
          <cell r="H1852">
            <v>0</v>
          </cell>
        </row>
        <row r="1853">
          <cell r="C1853" t="str">
            <v>9.4.2</v>
          </cell>
          <cell r="D1853" t="str">
            <v>SPDA</v>
          </cell>
          <cell r="E1853"/>
          <cell r="F1853"/>
          <cell r="G1853"/>
          <cell r="H1853">
            <v>0</v>
          </cell>
        </row>
        <row r="1854">
          <cell r="C1854" t="str">
            <v>9.4.2.1</v>
          </cell>
          <cell r="D1854" t="str">
            <v>Poste De Concreto Duplo T, 300Kg, H = 12M</v>
          </cell>
          <cell r="E1854" t="str">
            <v>un</v>
          </cell>
          <cell r="F1854"/>
          <cell r="G1854">
            <v>422.52</v>
          </cell>
          <cell r="H1854">
            <v>0</v>
          </cell>
        </row>
        <row r="1855">
          <cell r="C1855" t="str">
            <v>9.4.2.2</v>
          </cell>
          <cell r="D1855" t="str">
            <v>Terminal Aereo Em Aço Galvanizado Com Base De Fixaçao H - 30Cm</v>
          </cell>
          <cell r="E1855" t="str">
            <v>un</v>
          </cell>
          <cell r="F1855"/>
          <cell r="G1855">
            <v>4.13</v>
          </cell>
          <cell r="H1855">
            <v>0</v>
          </cell>
        </row>
        <row r="1856">
          <cell r="C1856" t="str">
            <v>9.4.2.3</v>
          </cell>
          <cell r="D1856" t="str">
            <v>Para-Raios Tipo Franklin</v>
          </cell>
          <cell r="E1856" t="str">
            <v>un</v>
          </cell>
          <cell r="F1856"/>
          <cell r="G1856">
            <v>39.17</v>
          </cell>
          <cell r="H1856">
            <v>0</v>
          </cell>
        </row>
        <row r="1857">
          <cell r="C1857" t="str">
            <v>9.4.2.4</v>
          </cell>
          <cell r="D1857" t="str">
            <v>Mastro Simples De Ferro Galvanizado P/ Para-Raios H=3,00M Incluindo Base - E Instalacao</v>
          </cell>
          <cell r="E1857" t="str">
            <v>un</v>
          </cell>
          <cell r="F1857"/>
          <cell r="G1857">
            <v>101.88</v>
          </cell>
          <cell r="H1857">
            <v>0</v>
          </cell>
        </row>
        <row r="1858">
          <cell r="C1858" t="str">
            <v>9.4.2.5</v>
          </cell>
          <cell r="D1858" t="str">
            <v>Terminal Ou Conector De Pressão Para Cabo De 35Mm2</v>
          </cell>
          <cell r="E1858" t="str">
            <v>un</v>
          </cell>
          <cell r="F1858"/>
          <cell r="G1858">
            <v>2.65</v>
          </cell>
          <cell r="H1858">
            <v>0</v>
          </cell>
        </row>
        <row r="1859">
          <cell r="C1859" t="str">
            <v>9.4.2.6</v>
          </cell>
          <cell r="D1859" t="str">
            <v>Abraçadeira Guia Reforçada em aço galvanizado a fogo Para Mastros 2"</v>
          </cell>
          <cell r="E1859" t="str">
            <v>un</v>
          </cell>
          <cell r="F1859"/>
          <cell r="G1859">
            <v>1.82</v>
          </cell>
          <cell r="H1859">
            <v>0</v>
          </cell>
        </row>
        <row r="1860">
          <cell r="C1860" t="str">
            <v>9.4.2.7</v>
          </cell>
          <cell r="D1860" t="str">
            <v>Abraçadeira Guia Simples em aço galvanizado a fogo Para Mastros 2"</v>
          </cell>
          <cell r="E1860" t="str">
            <v>un</v>
          </cell>
          <cell r="F1860"/>
          <cell r="G1860">
            <v>1.82</v>
          </cell>
          <cell r="H1860">
            <v>0</v>
          </cell>
        </row>
        <row r="1861">
          <cell r="C1861" t="str">
            <v>9.4.2.8</v>
          </cell>
          <cell r="D1861" t="str">
            <v>Abraçadeira Tipo Porta Bandeira Simples em aço galvanizado a fogo Para Mastros 2" .</v>
          </cell>
          <cell r="E1861" t="str">
            <v>un</v>
          </cell>
          <cell r="F1861"/>
          <cell r="G1861">
            <v>1.82</v>
          </cell>
          <cell r="H1861">
            <v>0</v>
          </cell>
        </row>
        <row r="1862">
          <cell r="C1862" t="str">
            <v>9.4.2.10</v>
          </cell>
          <cell r="D1862" t="str">
            <v>Condulete Dn 50Mm Tipo Ll</v>
          </cell>
          <cell r="E1862" t="str">
            <v>un</v>
          </cell>
          <cell r="F1862"/>
          <cell r="G1862">
            <v>38.619999999999997</v>
          </cell>
          <cell r="H1862">
            <v>0</v>
          </cell>
        </row>
        <row r="1863">
          <cell r="C1863" t="str">
            <v>9.4.2.11</v>
          </cell>
          <cell r="D1863" t="str">
            <v>Abraçadeira Tipo D em aço galvanizado a fogo Com Cunha 2"</v>
          </cell>
          <cell r="E1863" t="str">
            <v>un</v>
          </cell>
          <cell r="F1863"/>
          <cell r="G1863">
            <v>1.65</v>
          </cell>
          <cell r="H1863">
            <v>0</v>
          </cell>
        </row>
        <row r="1864">
          <cell r="C1864" t="str">
            <v>9.4.2.12</v>
          </cell>
          <cell r="D1864" t="str">
            <v>Suporte Guia Base  Cabo 35mm²</v>
          </cell>
          <cell r="E1864" t="str">
            <v>un</v>
          </cell>
          <cell r="F1864"/>
          <cell r="G1864">
            <v>3.13</v>
          </cell>
          <cell r="H1864">
            <v>0</v>
          </cell>
        </row>
        <row r="1865">
          <cell r="C1865" t="str">
            <v>9.4.2.13</v>
          </cell>
          <cell r="D1865" t="str">
            <v>Conector De Aterramento Em Bronze Estanhado, Para Um Cabo De Cobre De 16 A 70 Mm2, Com O Corpo Constitído Por Duas Peças, Fixação A Chapa De Aço De Espessura Até 10 Mm, Com Parafuso, Porca E Arruela De Pressão Em Bronze Silício</v>
          </cell>
          <cell r="E1865" t="str">
            <v>pç</v>
          </cell>
          <cell r="F1865"/>
          <cell r="G1865">
            <v>18.09</v>
          </cell>
          <cell r="H1865">
            <v>0</v>
          </cell>
        </row>
        <row r="1866">
          <cell r="C1866" t="str">
            <v>9.4.3</v>
          </cell>
          <cell r="D1866" t="str">
            <v>SUBESTAÇÃO EBS - ENTRADA DE ENERGIA</v>
          </cell>
          <cell r="E1866"/>
          <cell r="F1866"/>
          <cell r="G1866"/>
          <cell r="H1866">
            <v>0</v>
          </cell>
        </row>
        <row r="1867">
          <cell r="C1867" t="str">
            <v>9.4.3.1</v>
          </cell>
          <cell r="D1867" t="str">
            <v>Dutos Flexíveis Em Pead (Polietileno De Alta Densidade) - D=6", Inclusive Conexões</v>
          </cell>
          <cell r="E1867" t="str">
            <v>m</v>
          </cell>
          <cell r="F1867"/>
          <cell r="G1867">
            <v>8.33</v>
          </cell>
          <cell r="H1867">
            <v>0</v>
          </cell>
        </row>
        <row r="1868">
          <cell r="C1868" t="str">
            <v>9.4.3.2</v>
          </cell>
          <cell r="D1868" t="str">
            <v>Cabo De Cobre Isolado XLPE 20/35 KV #35 Mm²</v>
          </cell>
          <cell r="E1868" t="str">
            <v>m</v>
          </cell>
          <cell r="F1868"/>
          <cell r="G1868">
            <v>31.24</v>
          </cell>
          <cell r="H1868">
            <v>0</v>
          </cell>
        </row>
        <row r="1869">
          <cell r="C1869" t="str">
            <v>9.4.3.3</v>
          </cell>
          <cell r="D1869" t="str">
            <v>Dutos Flexíveis Em Pead (Polietileno De Alta Densidade) - D=4", Inclusive Conexões</v>
          </cell>
          <cell r="E1869" t="str">
            <v>m</v>
          </cell>
          <cell r="F1869"/>
          <cell r="G1869">
            <v>4.6100000000000003</v>
          </cell>
          <cell r="H1869">
            <v>0</v>
          </cell>
        </row>
        <row r="1870">
          <cell r="C1870" t="str">
            <v>9.4.3.4</v>
          </cell>
          <cell r="D1870" t="str">
            <v xml:space="preserve">Cabo De Cobre Isolado XLPE 0,6/1 KV  400 Mm² </v>
          </cell>
          <cell r="E1870" t="str">
            <v>m</v>
          </cell>
          <cell r="F1870"/>
          <cell r="G1870">
            <v>123.41</v>
          </cell>
          <cell r="H1870">
            <v>0</v>
          </cell>
        </row>
        <row r="1871">
          <cell r="C1871" t="str">
            <v>9.4.3.5</v>
          </cell>
          <cell r="D1871" t="str">
            <v xml:space="preserve">Cabo De Cobre Isolado XLPE 0,6/1 KV  240 Mm² </v>
          </cell>
          <cell r="E1871" t="str">
            <v>m</v>
          </cell>
          <cell r="F1871"/>
          <cell r="G1871">
            <v>76.23</v>
          </cell>
          <cell r="H1871">
            <v>0</v>
          </cell>
        </row>
        <row r="1872">
          <cell r="C1872" t="str">
            <v>9.4.3.6</v>
          </cell>
          <cell r="D1872" t="str">
            <v>Poste De Concreto Armado, Seção Duplo "T", 12 / 1000</v>
          </cell>
          <cell r="E1872" t="str">
            <v>un</v>
          </cell>
          <cell r="F1872"/>
          <cell r="G1872">
            <v>1112.8800000000001</v>
          </cell>
          <cell r="H1872">
            <v>0</v>
          </cell>
        </row>
        <row r="1873">
          <cell r="C1873" t="str">
            <v>9.4.3.7</v>
          </cell>
          <cell r="D1873" t="str">
            <v>Fita metálica perfurada, L=*18*mm, rolo de 30m, carga recomendada= *30*KGF</v>
          </cell>
          <cell r="E1873" t="str">
            <v>un</v>
          </cell>
          <cell r="F1873"/>
          <cell r="G1873">
            <v>18.260000000000002</v>
          </cell>
          <cell r="H1873">
            <v>0</v>
          </cell>
        </row>
        <row r="1874">
          <cell r="C1874" t="str">
            <v>9.4.3.8</v>
          </cell>
          <cell r="D1874" t="str">
            <v xml:space="preserve">Conector estribo de alumínio 1/0-4/0AWG (70mm2) </v>
          </cell>
          <cell r="E1874" t="str">
            <v>un</v>
          </cell>
          <cell r="F1874"/>
          <cell r="G1874">
            <v>4.1500000000000004</v>
          </cell>
          <cell r="H1874">
            <v>0</v>
          </cell>
        </row>
        <row r="1875">
          <cell r="C1875" t="str">
            <v>9.4.3.9</v>
          </cell>
          <cell r="D1875" t="str">
            <v>Grampo De Linha Viva Para Cabo de 35mm²</v>
          </cell>
          <cell r="E1875" t="str">
            <v>un</v>
          </cell>
          <cell r="F1875"/>
          <cell r="G1875">
            <v>11.56</v>
          </cell>
          <cell r="H1875">
            <v>0</v>
          </cell>
        </row>
        <row r="1876">
          <cell r="C1876" t="str">
            <v>9.4.3.10</v>
          </cell>
          <cell r="D1876" t="str">
            <v>Chave Fusível Unipolar Distribuição Porcelana 36,2Kv 100 A 10 KA com ferragem</v>
          </cell>
          <cell r="E1876" t="str">
            <v>un</v>
          </cell>
          <cell r="F1876"/>
          <cell r="G1876">
            <v>149.83000000000001</v>
          </cell>
          <cell r="H1876">
            <v>0</v>
          </cell>
        </row>
        <row r="1877">
          <cell r="C1877" t="str">
            <v>9.4.3.11</v>
          </cell>
          <cell r="D1877" t="str">
            <v xml:space="preserve">Elo Fusível Corrente nominal: 25 A. Curva tipo K. Comprimento: 500 mm. Capacidade de interrupção máxima: 5kA assimétrica/3,6 kA simétrica. </v>
          </cell>
          <cell r="E1877" t="str">
            <v>un</v>
          </cell>
          <cell r="F1877"/>
          <cell r="G1877">
            <v>2.75</v>
          </cell>
          <cell r="H1877">
            <v>0</v>
          </cell>
        </row>
        <row r="1878">
          <cell r="C1878" t="str">
            <v>9.4.3.12</v>
          </cell>
          <cell r="D1878" t="str">
            <v>Para-Raios De Distribuição - Zno 36Kv; 31,5Ka</v>
          </cell>
          <cell r="E1878" t="str">
            <v>un</v>
          </cell>
          <cell r="F1878"/>
          <cell r="G1878">
            <v>187.93</v>
          </cell>
          <cell r="H1878">
            <v>0</v>
          </cell>
        </row>
        <row r="1879">
          <cell r="C1879" t="str">
            <v>9.4.3.13</v>
          </cell>
          <cell r="D1879" t="str">
            <v>Mufla Externa Para cabos de 35 mm^2</v>
          </cell>
          <cell r="E1879" t="str">
            <v>un</v>
          </cell>
          <cell r="F1879"/>
          <cell r="G1879">
            <v>288.17</v>
          </cell>
          <cell r="H1879">
            <v>0</v>
          </cell>
        </row>
        <row r="1880">
          <cell r="C1880" t="str">
            <v>9.4.3.14</v>
          </cell>
          <cell r="D1880" t="str">
            <v>Cruzeta De Concreto</v>
          </cell>
          <cell r="E1880" t="str">
            <v>un</v>
          </cell>
          <cell r="F1880"/>
          <cell r="G1880">
            <v>308.68</v>
          </cell>
          <cell r="H1880">
            <v>0</v>
          </cell>
        </row>
        <row r="1881">
          <cell r="C1881" t="str">
            <v>9.4.3.15</v>
          </cell>
          <cell r="D1881" t="str">
            <v>Isolador de ancoragem e suspensão tensão nominal 35kV NBR-6323</v>
          </cell>
          <cell r="E1881" t="str">
            <v>un</v>
          </cell>
          <cell r="F1881"/>
          <cell r="G1881">
            <v>86.5</v>
          </cell>
          <cell r="H1881">
            <v>0</v>
          </cell>
        </row>
        <row r="1882">
          <cell r="C1882" t="str">
            <v>9.4.3.16</v>
          </cell>
          <cell r="D1882" t="str">
            <v>Manilha Sapatilha Em Aço Zincado A Quente</v>
          </cell>
          <cell r="E1882" t="str">
            <v>un</v>
          </cell>
          <cell r="F1882"/>
          <cell r="G1882">
            <v>4.24</v>
          </cell>
          <cell r="H1882">
            <v>0</v>
          </cell>
        </row>
        <row r="1883">
          <cell r="C1883" t="str">
            <v>9.4.3.18</v>
          </cell>
          <cell r="D1883" t="str">
            <v>Olhal Para Parafuso M16 Em Aço Zincado A Quente, Carga De Ruptura 5000 Dan</v>
          </cell>
          <cell r="E1883" t="str">
            <v>pç</v>
          </cell>
          <cell r="F1883"/>
          <cell r="G1883">
            <v>3.68</v>
          </cell>
          <cell r="H1883">
            <v>0</v>
          </cell>
        </row>
        <row r="1884">
          <cell r="C1884" t="str">
            <v>9.4.3.19</v>
          </cell>
          <cell r="D1884" t="str">
            <v>Parafuso De Máquina, Cabeça Quadrada, Em Aço Zincado, Rosca M16 X 2, Comprimento Total A = 400, Parte Rosqueada B = 320 Mm, Completo Com Duas Porcas Quadrada</v>
          </cell>
          <cell r="E1884" t="str">
            <v>pç</v>
          </cell>
          <cell r="F1884"/>
          <cell r="G1884">
            <v>3.52</v>
          </cell>
          <cell r="H1884">
            <v>0</v>
          </cell>
        </row>
        <row r="1885">
          <cell r="C1885" t="str">
            <v>9.4.3.20</v>
          </cell>
          <cell r="D1885" t="str">
            <v>Parafuso De Máquina, Cabeça Quadrada, Em Aço Zincado, Rosca M16 X 2, Comprimento Total A = 300, Parte Rosqueada B = 220 Mm, Completo Com Duas Porcas Quadrada</v>
          </cell>
          <cell r="E1885" t="str">
            <v>pç</v>
          </cell>
          <cell r="F1885"/>
          <cell r="G1885">
            <v>2.88</v>
          </cell>
          <cell r="H1885">
            <v>0</v>
          </cell>
        </row>
        <row r="1886">
          <cell r="C1886" t="str">
            <v>9.4.3.21</v>
          </cell>
          <cell r="D1886" t="str">
            <v>Alça pré-formada distribuição Para cabo de aluminio CAA 4/0 AWG</v>
          </cell>
          <cell r="E1886" t="str">
            <v>un</v>
          </cell>
          <cell r="F1886"/>
          <cell r="G1886">
            <v>0.87</v>
          </cell>
          <cell r="H1886">
            <v>0</v>
          </cell>
        </row>
        <row r="1887">
          <cell r="C1887" t="str">
            <v>9.4.3.22</v>
          </cell>
          <cell r="D1887" t="str">
            <v>Conectores Para Haste De Aterramento</v>
          </cell>
          <cell r="E1887" t="str">
            <v>un</v>
          </cell>
          <cell r="F1887"/>
          <cell r="G1887">
            <v>16.010000000000002</v>
          </cell>
          <cell r="H1887">
            <v>0</v>
          </cell>
        </row>
        <row r="1888">
          <cell r="C1888" t="str">
            <v>9.4.3.23</v>
          </cell>
          <cell r="D1888" t="str">
            <v>Pino autotravante M16</v>
          </cell>
          <cell r="E1888" t="str">
            <v>un</v>
          </cell>
          <cell r="F1888"/>
          <cell r="G1888">
            <v>3.72</v>
          </cell>
          <cell r="H1888">
            <v>0</v>
          </cell>
        </row>
        <row r="1889">
          <cell r="C1889" t="str">
            <v>9.4.3.24</v>
          </cell>
          <cell r="D1889" t="str">
            <v>Transformador De Potência 500Kva - 34500 -380/220V - Uso Externo</v>
          </cell>
          <cell r="E1889" t="str">
            <v>un</v>
          </cell>
          <cell r="F1889"/>
          <cell r="G1889">
            <v>16701.003515422002</v>
          </cell>
          <cell r="H1889">
            <v>0</v>
          </cell>
        </row>
        <row r="1890">
          <cell r="C1890" t="str">
            <v>9.4.3.25</v>
          </cell>
          <cell r="D1890" t="str">
            <v>Cubículo De Proteção E Medição Em Média Tensão (34,5 Kv) Padrão Equatorial, Instalação Abrigada,  Tipo Metal-Clad 380/220 V, Incluindo  Transformadores De Corrente ,  Transformadores De Potencial, Disjuntor De Média Tensão, Reles e Medidores</v>
          </cell>
          <cell r="E1890" t="str">
            <v>un</v>
          </cell>
          <cell r="F1890"/>
          <cell r="G1890">
            <v>417876.47</v>
          </cell>
          <cell r="H1890">
            <v>0</v>
          </cell>
        </row>
        <row r="1891">
          <cell r="C1891" t="str">
            <v>9.4.4</v>
          </cell>
          <cell r="D1891" t="str">
            <v>ALIMENTAÇÃO DE MOTORES E DAS BÓIAS DE NIVEL</v>
          </cell>
          <cell r="E1891"/>
          <cell r="F1891"/>
          <cell r="G1891"/>
          <cell r="H1891">
            <v>0</v>
          </cell>
        </row>
        <row r="1892">
          <cell r="C1892" t="str">
            <v>9.4.4.1</v>
          </cell>
          <cell r="D1892" t="str">
            <v>Eletroduto Rígido De Aço Galvanizado Com Costura, 4" Em Varas De 3 Metros, Rosca Bsp. Ref.: Apolo Ou Similar</v>
          </cell>
          <cell r="E1892" t="str">
            <v>vara</v>
          </cell>
          <cell r="F1892"/>
          <cell r="G1892">
            <v>118.99</v>
          </cell>
          <cell r="H1892">
            <v>0</v>
          </cell>
        </row>
        <row r="1893">
          <cell r="C1893" t="str">
            <v>9.4.4.2</v>
          </cell>
          <cell r="D1893" t="str">
            <v>Curva 90º De Aço Galvanizado Sem Costura, Raio Longo, Para Ligação Em Eletroduto 4" Rosca Bsp. (Pos 35) Ref.: Blinda Ou Similar</v>
          </cell>
          <cell r="E1893" t="str">
            <v>un</v>
          </cell>
          <cell r="F1893"/>
          <cell r="G1893">
            <v>79.959999999999994</v>
          </cell>
          <cell r="H1893">
            <v>0</v>
          </cell>
        </row>
        <row r="1894">
          <cell r="C1894" t="str">
            <v>9.4.4.3</v>
          </cell>
          <cell r="D1894" t="str">
            <v>Cabo De Cobre Múltiplo 4X2,5Mm² Pvc 1Kv</v>
          </cell>
          <cell r="E1894" t="str">
            <v>m</v>
          </cell>
          <cell r="F1894"/>
          <cell r="G1894">
            <v>11.98</v>
          </cell>
          <cell r="H1894">
            <v>0</v>
          </cell>
        </row>
        <row r="1895">
          <cell r="C1895" t="str">
            <v>9.4.4.4</v>
          </cell>
          <cell r="D1895" t="str">
            <v xml:space="preserve">Cabo De Cobre Isolado XLPE 0,6/1 KV  300 Mm² </v>
          </cell>
          <cell r="E1895" t="str">
            <v>m</v>
          </cell>
          <cell r="F1895"/>
          <cell r="G1895">
            <v>99.27</v>
          </cell>
          <cell r="H1895">
            <v>0</v>
          </cell>
        </row>
        <row r="1896">
          <cell r="C1896" t="str">
            <v>9.4.4.5</v>
          </cell>
          <cell r="D1896" t="str">
            <v>Cabo De Cobre Isolado XLPE 0,6/1 KV 150Mm²</v>
          </cell>
          <cell r="E1896" t="str">
            <v>m</v>
          </cell>
          <cell r="F1896"/>
          <cell r="G1896">
            <v>49.15</v>
          </cell>
          <cell r="H1896">
            <v>0</v>
          </cell>
        </row>
        <row r="1897">
          <cell r="C1897" t="str">
            <v>9.4.5</v>
          </cell>
          <cell r="D1897" t="str">
            <v>ILUMINAÇÃO E TOMADAS</v>
          </cell>
          <cell r="E1897"/>
          <cell r="F1897"/>
          <cell r="G1897"/>
          <cell r="H1897">
            <v>0</v>
          </cell>
        </row>
        <row r="1898">
          <cell r="C1898" t="str">
            <v>9.4.5.1</v>
          </cell>
          <cell r="D1898" t="str">
            <v>Luminária Fluorescente Completa (2 X 32)W</v>
          </cell>
          <cell r="E1898" t="str">
            <v>un</v>
          </cell>
          <cell r="F1898"/>
          <cell r="G1898">
            <v>60.52</v>
          </cell>
          <cell r="H1898">
            <v>0</v>
          </cell>
        </row>
        <row r="1899">
          <cell r="C1899" t="str">
            <v>9.4.5.2</v>
          </cell>
          <cell r="D1899" t="str">
            <v>Caixa Metalica Octogonal 4X4" Fundo Movel</v>
          </cell>
          <cell r="E1899" t="str">
            <v>un</v>
          </cell>
          <cell r="F1899"/>
          <cell r="G1899">
            <v>1.19</v>
          </cell>
          <cell r="H1899">
            <v>0</v>
          </cell>
        </row>
        <row r="1900">
          <cell r="C1900" t="str">
            <v>9.4.5.3</v>
          </cell>
          <cell r="D1900" t="str">
            <v>Interruptor De Luz Seção Dupla 10A/250V</v>
          </cell>
          <cell r="E1900" t="str">
            <v>un</v>
          </cell>
          <cell r="F1900"/>
          <cell r="G1900">
            <v>11.05</v>
          </cell>
          <cell r="H1900">
            <v>0</v>
          </cell>
        </row>
        <row r="1901">
          <cell r="C1901" t="str">
            <v>9.4.5.4</v>
          </cell>
          <cell r="D1901" t="str">
            <v>Aparelho Para Iluminação, Tipo Refletor, Estampado Em Chapa De Aço, Soqueteria De Alumínio Fundido, Para Lâmpada Mista 250 W, 220 V Com Entrada 3/4" (Com Lâmpada).</v>
          </cell>
          <cell r="E1901" t="str">
            <v>un</v>
          </cell>
          <cell r="F1901"/>
          <cell r="G1901">
            <v>77.680000000000007</v>
          </cell>
          <cell r="H1901">
            <v>0</v>
          </cell>
        </row>
        <row r="1902">
          <cell r="C1902" t="str">
            <v>9.4.5.5</v>
          </cell>
          <cell r="D1902" t="str">
            <v>Caixa De Ligação Tipo Condulete, A Prova De Tempo, Gases, Vapores E Pó, Em Liga De Alumínio Fundido Com Tampa Estampada De Alumínio, Fixada Por Parafusos, Com Vedação De Junta De Borracha, Nos Seguintes Tipos E Diâmetros:</v>
          </cell>
          <cell r="E1902" t="str">
            <v>un</v>
          </cell>
          <cell r="F1902"/>
          <cell r="G1902"/>
          <cell r="H1902">
            <v>0</v>
          </cell>
        </row>
        <row r="1903">
          <cell r="C1903" t="str">
            <v>9.4.5.5.1</v>
          </cell>
          <cell r="D1903" t="str">
            <v>T - 3/4"</v>
          </cell>
          <cell r="E1903" t="str">
            <v>un</v>
          </cell>
          <cell r="F1903"/>
          <cell r="G1903">
            <v>11.41</v>
          </cell>
          <cell r="H1903">
            <v>0</v>
          </cell>
        </row>
        <row r="1904">
          <cell r="C1904" t="str">
            <v>9.4.5.5.2</v>
          </cell>
          <cell r="D1904" t="str">
            <v>Lr - 3/4"</v>
          </cell>
          <cell r="E1904" t="str">
            <v>un</v>
          </cell>
          <cell r="F1904"/>
          <cell r="G1904">
            <v>11.41</v>
          </cell>
          <cell r="H1904">
            <v>0</v>
          </cell>
        </row>
        <row r="1905">
          <cell r="C1905" t="str">
            <v>9.4.5.5.3</v>
          </cell>
          <cell r="D1905" t="str">
            <v>X - 3/4"</v>
          </cell>
          <cell r="E1905" t="str">
            <v>un</v>
          </cell>
          <cell r="F1905"/>
          <cell r="G1905">
            <v>11.41</v>
          </cell>
          <cell r="H1905">
            <v>0</v>
          </cell>
        </row>
        <row r="1906">
          <cell r="C1906" t="str">
            <v>9.4.5.6</v>
          </cell>
          <cell r="D1906" t="str">
            <v>Split System Completo C/ Controle Remoto - Cap. 4,00 Tr (Fornecimento E Montagem)</v>
          </cell>
          <cell r="E1906" t="str">
            <v>un</v>
          </cell>
          <cell r="F1906"/>
          <cell r="G1906">
            <v>3377.75</v>
          </cell>
          <cell r="H1906">
            <v>0</v>
          </cell>
        </row>
        <row r="1907">
          <cell r="C1907" t="str">
            <v>9.5</v>
          </cell>
          <cell r="D1907" t="str">
            <v>MONTAGEM E AUTOMAÇÃO</v>
          </cell>
          <cell r="E1907"/>
          <cell r="F1907"/>
          <cell r="G1907"/>
          <cell r="H1907">
            <v>0</v>
          </cell>
        </row>
        <row r="1908">
          <cell r="C1908" t="str">
            <v>9.5.1</v>
          </cell>
          <cell r="D1908" t="str">
            <v>Painel Da Utr-1</v>
          </cell>
          <cell r="E1908" t="str">
            <v>un</v>
          </cell>
          <cell r="F1908"/>
          <cell r="G1908">
            <v>3612.16</v>
          </cell>
          <cell r="H1908">
            <v>0</v>
          </cell>
        </row>
        <row r="1909">
          <cell r="C1909" t="str">
            <v>9.5.2</v>
          </cell>
          <cell r="D1909" t="str">
            <v>Controlador Lógico Programável Modular</v>
          </cell>
          <cell r="E1909" t="str">
            <v>un</v>
          </cell>
          <cell r="F1909"/>
          <cell r="G1909">
            <v>662.12</v>
          </cell>
          <cell r="H1909">
            <v>0</v>
          </cell>
        </row>
        <row r="1910">
          <cell r="C1910" t="str">
            <v>9.5.3</v>
          </cell>
          <cell r="D1910" t="str">
            <v>Software De Programação De Plcs, Cd - Instalado</v>
          </cell>
          <cell r="E1910" t="str">
            <v>un</v>
          </cell>
          <cell r="F1910"/>
          <cell r="G1910">
            <v>3463.78</v>
          </cell>
          <cell r="H1910">
            <v>0</v>
          </cell>
        </row>
        <row r="1911">
          <cell r="C1911" t="str">
            <v>9.5.4</v>
          </cell>
          <cell r="D1911" t="str">
            <v xml:space="preserve">Transmissor Eletrônico De Pressão Tipo Inserção, Com Indicador Incorporado, Range 0-12 Kgf/Cm² </v>
          </cell>
          <cell r="E1911" t="str">
            <v>un</v>
          </cell>
          <cell r="F1911"/>
          <cell r="G1911">
            <v>413.82</v>
          </cell>
          <cell r="H1911">
            <v>0</v>
          </cell>
        </row>
        <row r="1912">
          <cell r="C1912" t="str">
            <v>9.5.5</v>
          </cell>
          <cell r="D1912" t="str">
            <v xml:space="preserve">Sensor De Temperatura P/ Mancais </v>
          </cell>
          <cell r="E1912" t="str">
            <v>un</v>
          </cell>
          <cell r="F1912"/>
          <cell r="G1912">
            <v>248.29</v>
          </cell>
          <cell r="H1912">
            <v>0</v>
          </cell>
        </row>
        <row r="1913">
          <cell r="C1913" t="str">
            <v>9.5.6</v>
          </cell>
          <cell r="D1913" t="str">
            <v>Cabo De Cobre Isolado 750V Multipolar 2 X 1,00Mm²</v>
          </cell>
          <cell r="E1913" t="str">
            <v>m</v>
          </cell>
          <cell r="F1913"/>
          <cell r="G1913">
            <v>1.05</v>
          </cell>
          <cell r="H1913">
            <v>0</v>
          </cell>
        </row>
        <row r="1914">
          <cell r="C1914" t="str">
            <v>9.5.7</v>
          </cell>
          <cell r="D1914" t="str">
            <v>Cabo De Cobre Múltiplo 2X2,5Mm² Pvc 1Kv</v>
          </cell>
          <cell r="E1914" t="str">
            <v>m</v>
          </cell>
          <cell r="F1914"/>
          <cell r="G1914">
            <v>1.36</v>
          </cell>
          <cell r="H1914">
            <v>0</v>
          </cell>
        </row>
        <row r="1915">
          <cell r="C1915" t="str">
            <v>9.5.8</v>
          </cell>
          <cell r="D1915" t="str">
            <v>Eletroduto De Pvc Rígido, Diam 2 1/2"X 3,00M,Com1 Luva</v>
          </cell>
          <cell r="E1915" t="str">
            <v>PÇ</v>
          </cell>
          <cell r="F1915"/>
          <cell r="G1915">
            <v>21.81</v>
          </cell>
          <cell r="H1915">
            <v>0</v>
          </cell>
        </row>
        <row r="1916">
          <cell r="C1916" t="str">
            <v>9.5.9</v>
          </cell>
          <cell r="D1916" t="str">
            <v>Curva 90 Graus De Pvc Rígido, Diam 2 1/2 "Com 2 Luvas</v>
          </cell>
          <cell r="E1916" t="str">
            <v>PÇ</v>
          </cell>
          <cell r="F1916"/>
          <cell r="G1916">
            <v>3.4270169979338663</v>
          </cell>
          <cell r="H1916">
            <v>0</v>
          </cell>
        </row>
        <row r="1917">
          <cell r="C1917" t="str">
            <v>9.5.10</v>
          </cell>
          <cell r="D1917" t="str">
            <v>Cabo Coaxial Rgc 213</v>
          </cell>
          <cell r="E1917" t="str">
            <v>pç</v>
          </cell>
          <cell r="F1917"/>
          <cell r="G1917">
            <v>1.4</v>
          </cell>
          <cell r="H1917">
            <v>0</v>
          </cell>
        </row>
        <row r="1918">
          <cell r="C1918" t="str">
            <v>9.5.11</v>
          </cell>
          <cell r="D1918" t="str">
            <v>Antena Yagidirecional 14 Dbi 902-928 Mhz</v>
          </cell>
          <cell r="E1918" t="str">
            <v>un</v>
          </cell>
          <cell r="F1918"/>
          <cell r="G1918">
            <v>633.99</v>
          </cell>
          <cell r="H1918">
            <v>0</v>
          </cell>
        </row>
        <row r="1919">
          <cell r="C1919" t="str">
            <v>9.5.12</v>
          </cell>
          <cell r="D1919" t="str">
            <v>Mastro Simples De Ferro Galvanizado P/ Para-Raios H=3,00M Incluindo Base - E Instalacao</v>
          </cell>
          <cell r="E1919" t="str">
            <v>un</v>
          </cell>
          <cell r="F1919"/>
          <cell r="G1919">
            <v>132.41999999999999</v>
          </cell>
          <cell r="H1919">
            <v>0</v>
          </cell>
        </row>
        <row r="1920">
          <cell r="C1920" t="str">
            <v>9.5.13</v>
          </cell>
          <cell r="D1920" t="str">
            <v>Poste De Concreto Duplo T, 300Kg, H = 12M</v>
          </cell>
          <cell r="E1920" t="str">
            <v>un</v>
          </cell>
          <cell r="F1920"/>
          <cell r="G1920">
            <v>477.8</v>
          </cell>
          <cell r="H1920">
            <v>0</v>
          </cell>
        </row>
        <row r="1921">
          <cell r="C1921" t="str">
            <v>9.5.14</v>
          </cell>
          <cell r="D1921" t="str">
            <v>Para-Raios Tipo Franklin</v>
          </cell>
          <cell r="E1921" t="str">
            <v>un</v>
          </cell>
          <cell r="F1921"/>
          <cell r="G1921">
            <v>7.02</v>
          </cell>
          <cell r="H1921">
            <v>0</v>
          </cell>
        </row>
        <row r="1922">
          <cell r="C1922" t="str">
            <v>9.5.15</v>
          </cell>
          <cell r="D1922" t="str">
            <v>Haste Coperweld 3/4" X 3,00M Com Conector</v>
          </cell>
          <cell r="E1922" t="str">
            <v>un</v>
          </cell>
          <cell r="F1922"/>
          <cell r="G1922">
            <v>24.57</v>
          </cell>
          <cell r="H1922">
            <v>0</v>
          </cell>
        </row>
        <row r="1923">
          <cell r="C1923" t="str">
            <v>9.5.16</v>
          </cell>
          <cell r="D1923" t="str">
            <v>Cordoalha De Cobre Nú, Inclusive Isoladores - 25,00 Mm2</v>
          </cell>
          <cell r="E1923" t="str">
            <v>m</v>
          </cell>
          <cell r="F1923"/>
          <cell r="G1923">
            <v>1.54</v>
          </cell>
          <cell r="H1923">
            <v>0</v>
          </cell>
        </row>
        <row r="1924">
          <cell r="C1924" t="str">
            <v>9.5.17</v>
          </cell>
          <cell r="D1924" t="str">
            <v>Cabo De Cobre Nú, Tempera Meio Dura, Bitola 25 Mm2, Formação 7 Fios (Pireli Ou Similar)</v>
          </cell>
          <cell r="E1924" t="str">
            <v>m</v>
          </cell>
          <cell r="F1924"/>
          <cell r="G1924">
            <v>8.35</v>
          </cell>
          <cell r="H1924">
            <v>0</v>
          </cell>
        </row>
        <row r="1925">
          <cell r="C1925" t="str">
            <v>9.5.18</v>
          </cell>
          <cell r="D1925" t="str">
            <v>Caixa Inspeção Do Terra</v>
          </cell>
          <cell r="E1925" t="str">
            <v>un</v>
          </cell>
          <cell r="F1925"/>
          <cell r="G1925">
            <v>6.99</v>
          </cell>
          <cell r="H1925">
            <v>0</v>
          </cell>
        </row>
        <row r="1926">
          <cell r="C1926" t="str">
            <v>9.5.19</v>
          </cell>
          <cell r="D1926" t="str">
            <v>Cabo Elétrico De Controle, 4 Condutores, Cobre, Têmpera Mole, Seção Nominal, 1,5 Mm2, Formação 7 Fios, Isolamento De Pvc, Capa De Pvc Anti-Chama, Cor Preta, 0,6/1 Kv, Blindado. (Pos 66)  Ref.: Sintenax Da Pirelli Ou Similar</v>
          </cell>
          <cell r="E1926" t="str">
            <v>m</v>
          </cell>
          <cell r="F1926"/>
          <cell r="G1926">
            <v>0.97</v>
          </cell>
          <cell r="H1926">
            <v>0</v>
          </cell>
        </row>
        <row r="1927">
          <cell r="C1927" t="str">
            <v>9.6</v>
          </cell>
          <cell r="D1927" t="str">
            <v>FORNECIMENTO E AUTOMAÇÃO</v>
          </cell>
          <cell r="E1927"/>
          <cell r="F1927"/>
          <cell r="G1927"/>
          <cell r="H1927">
            <v>0</v>
          </cell>
        </row>
        <row r="1928">
          <cell r="C1928" t="str">
            <v>9.6.1</v>
          </cell>
          <cell r="D1928" t="str">
            <v>Painel Da Utr-1</v>
          </cell>
          <cell r="E1928" t="str">
            <v>un</v>
          </cell>
          <cell r="F1928"/>
          <cell r="G1928">
            <v>7840.6</v>
          </cell>
          <cell r="H1928">
            <v>0</v>
          </cell>
        </row>
        <row r="1929">
          <cell r="C1929" t="str">
            <v>9.6.2</v>
          </cell>
          <cell r="D1929" t="str">
            <v>Controlador Lógico Programável Modular</v>
          </cell>
          <cell r="E1929" t="str">
            <v>un</v>
          </cell>
          <cell r="F1929"/>
          <cell r="G1929">
            <v>5152.7</v>
          </cell>
          <cell r="H1929">
            <v>0</v>
          </cell>
        </row>
        <row r="1930">
          <cell r="C1930" t="str">
            <v>9.6.3</v>
          </cell>
          <cell r="D1930" t="str">
            <v>Software De Programação De Plcs, Cd - Instalado</v>
          </cell>
          <cell r="E1930" t="str">
            <v>un</v>
          </cell>
          <cell r="F1930"/>
          <cell r="G1930">
            <v>1690.6</v>
          </cell>
          <cell r="H1930">
            <v>0</v>
          </cell>
        </row>
        <row r="1931">
          <cell r="C1931" t="str">
            <v>9.6.4</v>
          </cell>
          <cell r="D1931" t="str">
            <v xml:space="preserve">Transmissor Eletrônico De Pressão Tipo Inserção, Com Indicador Incorporado, Range 0-12 Kgf/Cm² </v>
          </cell>
          <cell r="E1931" t="str">
            <v>un</v>
          </cell>
          <cell r="F1931"/>
          <cell r="G1931">
            <v>1298.8800000000001</v>
          </cell>
          <cell r="H1931">
            <v>0</v>
          </cell>
        </row>
        <row r="1932">
          <cell r="C1932" t="str">
            <v>9.6.5</v>
          </cell>
          <cell r="D1932" t="str">
            <v xml:space="preserve">Sensor De Temperatura P/ Mancais </v>
          </cell>
          <cell r="E1932" t="str">
            <v>un</v>
          </cell>
          <cell r="F1932"/>
          <cell r="G1932">
            <v>341.12</v>
          </cell>
          <cell r="H1932">
            <v>0</v>
          </cell>
        </row>
        <row r="1933">
          <cell r="C1933" t="str">
            <v>9.6.6</v>
          </cell>
          <cell r="D1933" t="str">
            <v>Cabo De Cobre Isolado 750V Multipolar 2 X 1,00Mm²</v>
          </cell>
          <cell r="E1933" t="str">
            <v>m</v>
          </cell>
          <cell r="F1933"/>
          <cell r="G1933">
            <v>0.9</v>
          </cell>
          <cell r="H1933">
            <v>0</v>
          </cell>
        </row>
        <row r="1934">
          <cell r="C1934" t="str">
            <v>9.6.7</v>
          </cell>
          <cell r="D1934" t="str">
            <v>Cabo De Cobre Múltiplo 2X2,5Mm² Pvc 1Kv</v>
          </cell>
          <cell r="E1934" t="str">
            <v>m</v>
          </cell>
          <cell r="F1934"/>
          <cell r="G1934">
            <v>6</v>
          </cell>
          <cell r="H1934">
            <v>0</v>
          </cell>
        </row>
        <row r="1935">
          <cell r="C1935" t="str">
            <v>9.6.8</v>
          </cell>
          <cell r="D1935" t="str">
            <v>Eletroduto De Pvc Rígido, Diam 2 1/2"X 3,00M,Com1 Luva</v>
          </cell>
          <cell r="E1935" t="str">
            <v>m</v>
          </cell>
          <cell r="F1935"/>
          <cell r="G1935">
            <v>36.619999999999997</v>
          </cell>
          <cell r="H1935">
            <v>0</v>
          </cell>
        </row>
        <row r="1936">
          <cell r="C1936" t="str">
            <v>9.6.9</v>
          </cell>
          <cell r="D1936" t="str">
            <v>Curva 90 Graus De Pvc Rígido, Diam 2 1/2 "Com 2 Luvas</v>
          </cell>
          <cell r="E1936" t="str">
            <v>PÇ</v>
          </cell>
          <cell r="F1936"/>
          <cell r="G1936">
            <v>29.07</v>
          </cell>
          <cell r="H1936">
            <v>0</v>
          </cell>
        </row>
        <row r="1937">
          <cell r="C1937" t="str">
            <v>9.6.10</v>
          </cell>
          <cell r="D1937" t="str">
            <v>Cabo Coaxial Rgc 213</v>
          </cell>
          <cell r="E1937" t="str">
            <v>pç</v>
          </cell>
          <cell r="F1937"/>
          <cell r="G1937">
            <v>4.22</v>
          </cell>
          <cell r="H1937">
            <v>0</v>
          </cell>
        </row>
        <row r="1938">
          <cell r="C1938" t="str">
            <v>9.6.11</v>
          </cell>
          <cell r="D1938" t="str">
            <v>Antena Yagidirecional 14 Dbi 902-928 Mhz</v>
          </cell>
          <cell r="E1938" t="str">
            <v>un</v>
          </cell>
          <cell r="F1938"/>
          <cell r="G1938">
            <v>112.94</v>
          </cell>
          <cell r="H1938">
            <v>0</v>
          </cell>
        </row>
        <row r="1939">
          <cell r="C1939" t="str">
            <v>9.6.12</v>
          </cell>
          <cell r="D1939" t="str">
            <v>Mastro Simples De Ferro Galvanizado P/ Para-Raios H=3,00M Incluindo Base - E Instalacao</v>
          </cell>
          <cell r="E1939" t="str">
            <v>un</v>
          </cell>
          <cell r="F1939"/>
          <cell r="G1939">
            <v>101.88</v>
          </cell>
          <cell r="H1939">
            <v>0</v>
          </cell>
        </row>
        <row r="1940">
          <cell r="C1940" t="str">
            <v>9.6.13</v>
          </cell>
          <cell r="D1940" t="str">
            <v>Poste De Concreto Duplo T, 300Kg, H = 12M</v>
          </cell>
          <cell r="E1940" t="str">
            <v>un</v>
          </cell>
          <cell r="F1940"/>
          <cell r="G1940">
            <v>422.52</v>
          </cell>
          <cell r="H1940">
            <v>0</v>
          </cell>
        </row>
        <row r="1941">
          <cell r="C1941" t="str">
            <v>9.6.14</v>
          </cell>
          <cell r="D1941" t="str">
            <v>Para-Raios Tipo Franklin</v>
          </cell>
          <cell r="E1941" t="str">
            <v>un</v>
          </cell>
          <cell r="F1941"/>
          <cell r="G1941">
            <v>39.17</v>
          </cell>
          <cell r="H1941">
            <v>0</v>
          </cell>
        </row>
        <row r="1942">
          <cell r="C1942" t="str">
            <v>9.6.15</v>
          </cell>
          <cell r="D1942" t="str">
            <v>Haste Coperweld 3/4" X 3,00M Com Conector</v>
          </cell>
          <cell r="E1942" t="str">
            <v>un</v>
          </cell>
          <cell r="F1942"/>
          <cell r="G1942">
            <v>25.11</v>
          </cell>
          <cell r="H1942">
            <v>0</v>
          </cell>
        </row>
        <row r="1943">
          <cell r="C1943" t="str">
            <v>9.6.16</v>
          </cell>
          <cell r="D1943" t="str">
            <v>Cordoalha De Cobre Nú, Inclusive Isoladores - 25,00 Mm2</v>
          </cell>
          <cell r="E1943" t="str">
            <v>m</v>
          </cell>
          <cell r="F1943"/>
          <cell r="G1943">
            <v>9.14</v>
          </cell>
          <cell r="H1943">
            <v>0</v>
          </cell>
        </row>
        <row r="1944">
          <cell r="C1944" t="str">
            <v>9.6.17</v>
          </cell>
          <cell r="D1944" t="str">
            <v>Cabo De Cobre Nú, Tempera Meio Dura, Bitola 25 Mm2, Formação 7 Fios (Pos 49) Ref.: Pirelli Ou Similar.</v>
          </cell>
          <cell r="E1944" t="str">
            <v>m</v>
          </cell>
          <cell r="F1944"/>
          <cell r="G1944">
            <v>5.32</v>
          </cell>
          <cell r="H1944">
            <v>0</v>
          </cell>
        </row>
        <row r="1945">
          <cell r="C1945" t="str">
            <v>9.6.18</v>
          </cell>
          <cell r="D1945" t="str">
            <v>Caixa Inspeção Do Terra</v>
          </cell>
          <cell r="E1945" t="str">
            <v>UN</v>
          </cell>
          <cell r="F1945"/>
          <cell r="G1945">
            <v>5.77</v>
          </cell>
          <cell r="H1945">
            <v>0</v>
          </cell>
        </row>
        <row r="1946">
          <cell r="C1946" t="str">
            <v>9.6.19</v>
          </cell>
          <cell r="D1946" t="str">
            <v>Cabo Elétrico De Controle, 4 Condutores, Cobre, Têmpera Mole,Seção Nominal, 1,5 Mm2, Formação 7 Fios, Isolamento De Pvc, Capa De Pvc Anti-Chama, Cor Preta, 0,6/1 Kv, Blindado. (Pos 66) Ref.: Sintenax Da Pirelli Ou Similar.</v>
          </cell>
          <cell r="E1946" t="str">
            <v>m</v>
          </cell>
          <cell r="F1946"/>
          <cell r="G1946">
            <v>4.9400000000000004</v>
          </cell>
          <cell r="H1946">
            <v>0</v>
          </cell>
        </row>
        <row r="1947">
          <cell r="C1947" t="str">
            <v>10.</v>
          </cell>
          <cell r="D1947" t="str">
            <v>10 - REDE PRESSURIZADA</v>
          </cell>
          <cell r="E1947"/>
          <cell r="F1947"/>
          <cell r="G1947"/>
          <cell r="H1947">
            <v>0</v>
          </cell>
        </row>
        <row r="1948">
          <cell r="C1948" t="str">
            <v>10.1</v>
          </cell>
          <cell r="D1948" t="str">
            <v>OBRAS CIVIS E MONTAGEM</v>
          </cell>
          <cell r="E1948"/>
          <cell r="F1948"/>
          <cell r="G1948"/>
          <cell r="H1948">
            <v>0</v>
          </cell>
        </row>
        <row r="1949">
          <cell r="C1949" t="str">
            <v>10.1.1</v>
          </cell>
          <cell r="D1949" t="str">
            <v xml:space="preserve"> Escav. Manual  Em Material De  1ª Cat. Com Dmt&lt;= 100 M. (Até 1,5M)</v>
          </cell>
          <cell r="E1949" t="str">
            <v>m³</v>
          </cell>
          <cell r="F1949"/>
          <cell r="G1949">
            <v>18.07</v>
          </cell>
          <cell r="H1949">
            <v>0</v>
          </cell>
        </row>
        <row r="1950">
          <cell r="C1950" t="str">
            <v>10.1.2</v>
          </cell>
          <cell r="D1950" t="str">
            <v xml:space="preserve"> Escavação Mecânica Vala De Assentamento Dmt&lt;= 100 M (Até 2M)</v>
          </cell>
          <cell r="E1950" t="str">
            <v>m³</v>
          </cell>
          <cell r="F1950"/>
          <cell r="G1950">
            <v>3.23</v>
          </cell>
          <cell r="H1950">
            <v>0</v>
          </cell>
        </row>
        <row r="1951">
          <cell r="C1951" t="str">
            <v>10.1.3</v>
          </cell>
          <cell r="D1951" t="str">
            <v xml:space="preserve"> Reaterro Manual De Vala, Com Reaproveitamento Do  Material Escavado . </v>
          </cell>
          <cell r="E1951" t="str">
            <v>m³</v>
          </cell>
          <cell r="F1951"/>
          <cell r="G1951">
            <v>7.41</v>
          </cell>
          <cell r="H1951">
            <v>0</v>
          </cell>
        </row>
        <row r="1952">
          <cell r="C1952" t="str">
            <v>10.1.4</v>
          </cell>
          <cell r="D1952" t="str">
            <v xml:space="preserve">Reaterro Manual De Vala, Com Colchão De Areia , Com Dmt &lt; 100 M  </v>
          </cell>
          <cell r="E1952" t="str">
            <v>m³</v>
          </cell>
          <cell r="F1952"/>
          <cell r="G1952">
            <v>22.57</v>
          </cell>
          <cell r="H1952">
            <v>0</v>
          </cell>
        </row>
        <row r="1953">
          <cell r="C1953" t="str">
            <v>10.1.5</v>
          </cell>
          <cell r="D1953" t="str">
            <v>Desmatamento, Destocamento E Limpeza De Terreno.</v>
          </cell>
          <cell r="E1953" t="str">
            <v>ha</v>
          </cell>
          <cell r="F1953"/>
          <cell r="G1953">
            <v>1660.74</v>
          </cell>
          <cell r="H1953">
            <v>0</v>
          </cell>
        </row>
        <row r="1954">
          <cell r="C1954" t="str">
            <v>10.1.6</v>
          </cell>
          <cell r="D1954" t="str">
            <v>Escoramento Simples Fechado De Vala, Profundidade Até 3 M</v>
          </cell>
          <cell r="E1954" t="str">
            <v>m²</v>
          </cell>
          <cell r="F1954"/>
          <cell r="G1954">
            <v>48.83</v>
          </cell>
          <cell r="H1954">
            <v>0</v>
          </cell>
        </row>
        <row r="1955">
          <cell r="C1955" t="str">
            <v>10.1.7</v>
          </cell>
          <cell r="D1955" t="str">
            <v>Preparo, Lançamento E Adensamento De Concreto  (Ca-7 J)</v>
          </cell>
          <cell r="E1955" t="str">
            <v>m³</v>
          </cell>
          <cell r="F1955"/>
          <cell r="G1955">
            <v>236.36</v>
          </cell>
          <cell r="H1955">
            <v>0</v>
          </cell>
        </row>
        <row r="1956">
          <cell r="C1956" t="str">
            <v>10.1.8</v>
          </cell>
          <cell r="D1956" t="str">
            <v>Preparo, Lançamento E Adensamento De Concreto  (Ca-4 B)</v>
          </cell>
          <cell r="E1956" t="str">
            <v>m³</v>
          </cell>
          <cell r="F1956"/>
          <cell r="G1956">
            <v>284.41000000000003</v>
          </cell>
          <cell r="H1956">
            <v>0</v>
          </cell>
        </row>
        <row r="1957">
          <cell r="C1957" t="str">
            <v>10.1.9</v>
          </cell>
          <cell r="D1957" t="str">
            <v>Formas Planas Para Concreto</v>
          </cell>
          <cell r="E1957" t="str">
            <v>m²</v>
          </cell>
          <cell r="F1957"/>
          <cell r="G1957">
            <v>53.52</v>
          </cell>
          <cell r="H1957">
            <v>0</v>
          </cell>
        </row>
        <row r="1958">
          <cell r="C1958" t="str">
            <v>10.1.10</v>
          </cell>
          <cell r="D1958" t="str">
            <v>Armadura Para Concreto Estrutural, Aço Ca-50B</v>
          </cell>
          <cell r="E1958" t="str">
            <v>kg</v>
          </cell>
          <cell r="F1958"/>
          <cell r="G1958">
            <v>3.87</v>
          </cell>
          <cell r="H1958">
            <v>0</v>
          </cell>
        </row>
        <row r="1959">
          <cell r="C1959" t="str">
            <v>10.1.11</v>
          </cell>
          <cell r="D1959" t="str">
            <v>Preparo, Lançamento E Adensamento Concreto Ciclópico (200 Kg/M3)</v>
          </cell>
          <cell r="E1959" t="str">
            <v>m³</v>
          </cell>
          <cell r="F1959"/>
          <cell r="G1959">
            <v>176.64</v>
          </cell>
          <cell r="H1959">
            <v>0</v>
          </cell>
        </row>
        <row r="1960">
          <cell r="C1960" t="str">
            <v>10.1.12</v>
          </cell>
          <cell r="D1960" t="str">
            <v>Alvenaria De Tijolo Cerâmico 10 X 20 X 20 Cm , Esp. 15 Cm.</v>
          </cell>
          <cell r="E1960" t="str">
            <v>m²</v>
          </cell>
          <cell r="F1960"/>
          <cell r="G1960">
            <v>32.79</v>
          </cell>
          <cell r="H1960">
            <v>0</v>
          </cell>
        </row>
        <row r="1961">
          <cell r="C1961" t="str">
            <v>10.1.13</v>
          </cell>
          <cell r="D1961" t="str">
            <v>Tampa De Caixa De Válvulas Em Folha De Flandres, 2,20 X 1,30 M, Com Alça</v>
          </cell>
          <cell r="E1961" t="str">
            <v>un</v>
          </cell>
          <cell r="F1961"/>
          <cell r="G1961">
            <v>99.55</v>
          </cell>
          <cell r="H1961">
            <v>0</v>
          </cell>
        </row>
        <row r="1962">
          <cell r="C1962" t="str">
            <v>10.1.14</v>
          </cell>
          <cell r="D1962" t="str">
            <v>Montagem De Tomada De Lote - Det. 1  (Tipo 1)</v>
          </cell>
          <cell r="E1962" t="str">
            <v>un</v>
          </cell>
          <cell r="F1962"/>
          <cell r="G1962">
            <v>1090.1099999999999</v>
          </cell>
          <cell r="H1962">
            <v>0</v>
          </cell>
        </row>
        <row r="1963">
          <cell r="C1963" t="str">
            <v>10.1.15</v>
          </cell>
          <cell r="D1963" t="str">
            <v>Montagem De Tomada De Lote - Det. 2  (Tipo 2)</v>
          </cell>
          <cell r="E1963" t="str">
            <v>un</v>
          </cell>
          <cell r="F1963"/>
          <cell r="G1963">
            <v>1536.09</v>
          </cell>
          <cell r="H1963">
            <v>0</v>
          </cell>
        </row>
        <row r="1964">
          <cell r="C1964" t="str">
            <v>10.1.16</v>
          </cell>
          <cell r="D1964" t="str">
            <v>Montagem De Tomada De Lote - Det. 2  (Tipo 3)</v>
          </cell>
          <cell r="E1964" t="str">
            <v>un</v>
          </cell>
          <cell r="F1964"/>
          <cell r="G1964">
            <v>1661.74</v>
          </cell>
          <cell r="H1964">
            <v>0</v>
          </cell>
        </row>
        <row r="1965">
          <cell r="C1965" t="str">
            <v>10.1.17</v>
          </cell>
          <cell r="D1965" t="str">
            <v>Montagem De Tubulação E Acessórios Da Rede Pressurizada:</v>
          </cell>
          <cell r="E1965"/>
          <cell r="F1965"/>
          <cell r="G1965">
            <v>0</v>
          </cell>
          <cell r="H1965">
            <v>0</v>
          </cell>
        </row>
        <row r="1966">
          <cell r="C1966" t="str">
            <v>10.1.17.1</v>
          </cell>
          <cell r="D1966" t="str">
            <v>Pvc Ø 100 Mm</v>
          </cell>
          <cell r="E1966" t="str">
            <v>m</v>
          </cell>
          <cell r="F1966"/>
          <cell r="G1966">
            <v>2.37</v>
          </cell>
          <cell r="H1966">
            <v>0</v>
          </cell>
        </row>
        <row r="1967">
          <cell r="C1967" t="str">
            <v>10.1.17.2</v>
          </cell>
          <cell r="D1967" t="str">
            <v>Pvc Ø 150 Mm</v>
          </cell>
          <cell r="E1967" t="str">
            <v>m</v>
          </cell>
          <cell r="F1967"/>
          <cell r="G1967">
            <v>2.64</v>
          </cell>
          <cell r="H1967">
            <v>0</v>
          </cell>
        </row>
        <row r="1968">
          <cell r="C1968" t="str">
            <v>10.1.17.3</v>
          </cell>
          <cell r="D1968" t="str">
            <v>Ferro Dúctil Ø 150 Mm</v>
          </cell>
          <cell r="E1968" t="str">
            <v>m</v>
          </cell>
          <cell r="F1968"/>
          <cell r="G1968">
            <v>5.29</v>
          </cell>
          <cell r="H1968">
            <v>0</v>
          </cell>
        </row>
        <row r="1969">
          <cell r="C1969" t="str">
            <v>10.1.17.4</v>
          </cell>
          <cell r="D1969" t="str">
            <v>Ferro Dúctil Ø 200 Mm</v>
          </cell>
          <cell r="E1969" t="str">
            <v>m</v>
          </cell>
          <cell r="F1969"/>
          <cell r="G1969">
            <v>6.09</v>
          </cell>
          <cell r="H1969">
            <v>0</v>
          </cell>
        </row>
        <row r="1970">
          <cell r="C1970" t="str">
            <v>10.1.17.5</v>
          </cell>
          <cell r="D1970" t="str">
            <v>Ferro Dúctil Ø 250 Mm</v>
          </cell>
          <cell r="E1970" t="str">
            <v>m</v>
          </cell>
          <cell r="F1970"/>
          <cell r="G1970">
            <v>7.14</v>
          </cell>
          <cell r="H1970">
            <v>0</v>
          </cell>
        </row>
        <row r="1971">
          <cell r="C1971" t="str">
            <v>10.1.17.6</v>
          </cell>
          <cell r="D1971" t="str">
            <v>Ferro Dúctil Ø 300 Mm</v>
          </cell>
          <cell r="E1971" t="str">
            <v>m</v>
          </cell>
          <cell r="F1971"/>
          <cell r="G1971">
            <v>7.68</v>
          </cell>
          <cell r="H1971">
            <v>0</v>
          </cell>
        </row>
        <row r="1972">
          <cell r="C1972" t="str">
            <v>10.1.17.7</v>
          </cell>
          <cell r="D1972" t="str">
            <v>Ferro Dúctil Ø 350 Mm</v>
          </cell>
          <cell r="E1972" t="str">
            <v>m</v>
          </cell>
          <cell r="F1972"/>
          <cell r="G1972">
            <v>8.1199999999999992</v>
          </cell>
          <cell r="H1972">
            <v>0</v>
          </cell>
        </row>
        <row r="1973">
          <cell r="C1973" t="str">
            <v>10.1.17.8</v>
          </cell>
          <cell r="D1973" t="str">
            <v>Ferro Dúctil Ø 400 Mm</v>
          </cell>
          <cell r="E1973" t="str">
            <v>m</v>
          </cell>
          <cell r="F1973"/>
          <cell r="G1973">
            <v>10.59</v>
          </cell>
          <cell r="H1973">
            <v>0</v>
          </cell>
        </row>
        <row r="1974">
          <cell r="C1974" t="str">
            <v>10.1.17.9</v>
          </cell>
          <cell r="D1974" t="str">
            <v>Ferro Dúctil Ø 450 Mm</v>
          </cell>
          <cell r="E1974" t="str">
            <v>m</v>
          </cell>
          <cell r="F1974"/>
          <cell r="G1974">
            <v>12.62</v>
          </cell>
          <cell r="H1974">
            <v>0</v>
          </cell>
        </row>
        <row r="1975">
          <cell r="C1975" t="str">
            <v>10.1.17.10</v>
          </cell>
          <cell r="D1975" t="str">
            <v>Ferro Dúctil Ø 500 Mm</v>
          </cell>
          <cell r="E1975" t="str">
            <v>m</v>
          </cell>
          <cell r="F1975"/>
          <cell r="G1975">
            <v>13.59</v>
          </cell>
          <cell r="H1975">
            <v>0</v>
          </cell>
        </row>
        <row r="1976">
          <cell r="C1976" t="str">
            <v>10.1.17.11</v>
          </cell>
          <cell r="D1976" t="str">
            <v>Ferro Dúctil Ø 600 Mm</v>
          </cell>
          <cell r="E1976" t="str">
            <v>m</v>
          </cell>
          <cell r="F1976"/>
          <cell r="G1976">
            <v>15.15</v>
          </cell>
          <cell r="H1976">
            <v>0</v>
          </cell>
        </row>
        <row r="1977">
          <cell r="C1977" t="str">
            <v>10.1.17.12</v>
          </cell>
          <cell r="D1977" t="str">
            <v>Ferro Dúctil Ø 700 Mm</v>
          </cell>
          <cell r="E1977" t="str">
            <v>m</v>
          </cell>
          <cell r="F1977"/>
          <cell r="G1977">
            <v>17.64</v>
          </cell>
          <cell r="H1977">
            <v>0</v>
          </cell>
        </row>
        <row r="1978">
          <cell r="C1978" t="str">
            <v>10.1.17.13</v>
          </cell>
          <cell r="D1978" t="str">
            <v>Ferro Dúctil Ø 800 Mm</v>
          </cell>
          <cell r="E1978" t="str">
            <v>m</v>
          </cell>
          <cell r="F1978"/>
          <cell r="G1978">
            <v>19.87</v>
          </cell>
          <cell r="H1978">
            <v>0</v>
          </cell>
        </row>
        <row r="1979">
          <cell r="C1979" t="str">
            <v>10.1.17.14</v>
          </cell>
          <cell r="D1979" t="str">
            <v>Ferro Dúctil Ø 900 Mm</v>
          </cell>
          <cell r="E1979" t="str">
            <v>m</v>
          </cell>
          <cell r="F1979"/>
          <cell r="G1979">
            <v>20.98</v>
          </cell>
          <cell r="H1979">
            <v>0</v>
          </cell>
        </row>
        <row r="1980">
          <cell r="C1980" t="str">
            <v>10.1.18</v>
          </cell>
          <cell r="D1980" t="str">
            <v>Montagem De Caixas De Ventosa Ø 50 Mm</v>
          </cell>
          <cell r="E1980" t="str">
            <v>un</v>
          </cell>
          <cell r="F1980"/>
          <cell r="G1980">
            <v>45.91</v>
          </cell>
          <cell r="H1980">
            <v>0</v>
          </cell>
        </row>
        <row r="1981">
          <cell r="C1981" t="str">
            <v>10.1.19</v>
          </cell>
          <cell r="D1981" t="str">
            <v>Montagem De Caixas De Ventosa Ø 100 Mm</v>
          </cell>
          <cell r="E1981" t="str">
            <v>un</v>
          </cell>
          <cell r="F1981"/>
          <cell r="G1981">
            <v>67.099999999999994</v>
          </cell>
          <cell r="H1981">
            <v>0</v>
          </cell>
        </row>
        <row r="1982">
          <cell r="C1982" t="str">
            <v>10.1.20</v>
          </cell>
          <cell r="D1982" t="str">
            <v>Montagem De Caixas De Ventosa Ø 150 Mm</v>
          </cell>
          <cell r="E1982" t="str">
            <v>un</v>
          </cell>
          <cell r="F1982"/>
          <cell r="G1982">
            <v>98.89</v>
          </cell>
          <cell r="H1982">
            <v>0</v>
          </cell>
        </row>
        <row r="1983">
          <cell r="C1983" t="str">
            <v>10.1.21</v>
          </cell>
          <cell r="D1983" t="str">
            <v>Montagem De Caixas De Ventosa Ø 200 Mm</v>
          </cell>
          <cell r="E1983" t="str">
            <v>un</v>
          </cell>
          <cell r="F1983"/>
          <cell r="G1983">
            <v>137.74</v>
          </cell>
          <cell r="H1983">
            <v>0</v>
          </cell>
        </row>
        <row r="1984">
          <cell r="C1984" t="str">
            <v>10.1.22</v>
          </cell>
          <cell r="D1984" t="str">
            <v>Montagem De Caixas De Descarga Ø 150 Mm</v>
          </cell>
          <cell r="E1984" t="str">
            <v>un</v>
          </cell>
          <cell r="F1984"/>
          <cell r="G1984">
            <v>105.96</v>
          </cell>
          <cell r="H1984">
            <v>0</v>
          </cell>
        </row>
        <row r="1985">
          <cell r="C1985" t="str">
            <v>10.1.23</v>
          </cell>
          <cell r="D1985" t="str">
            <v>Montagem De Caixas De Descarga Ø 200 Mm</v>
          </cell>
          <cell r="E1985" t="str">
            <v>un</v>
          </cell>
          <cell r="F1985"/>
          <cell r="G1985">
            <v>144.81</v>
          </cell>
          <cell r="H1985">
            <v>0</v>
          </cell>
        </row>
        <row r="1986">
          <cell r="C1986" t="str">
            <v>10.1.24</v>
          </cell>
          <cell r="D1986" t="str">
            <v>Preparo, Lançamento E Adensamento De Concreto  (Ca-5 E)</v>
          </cell>
          <cell r="E1986" t="str">
            <v>m³</v>
          </cell>
          <cell r="F1986"/>
          <cell r="G1986">
            <v>271.56</v>
          </cell>
          <cell r="H1986">
            <v>0</v>
          </cell>
        </row>
        <row r="1987">
          <cell r="C1987" t="str">
            <v>10.1.25</v>
          </cell>
          <cell r="D1987" t="str">
            <v>Reboco Interno Ou Externo, Argamassa De Cal Hidratada 1:3</v>
          </cell>
          <cell r="E1987" t="str">
            <v>m²</v>
          </cell>
          <cell r="F1987"/>
          <cell r="G1987">
            <v>13.25</v>
          </cell>
          <cell r="H1987">
            <v>0</v>
          </cell>
        </row>
        <row r="1988">
          <cell r="C1988" t="str">
            <v>10.1.26</v>
          </cell>
          <cell r="D1988" t="str">
            <v>Chapisco</v>
          </cell>
          <cell r="E1988" t="str">
            <v>m²</v>
          </cell>
          <cell r="F1988"/>
          <cell r="G1988">
            <v>8.77</v>
          </cell>
          <cell r="H1988">
            <v>0</v>
          </cell>
        </row>
        <row r="1989">
          <cell r="C1989" t="str">
            <v>10.1.27</v>
          </cell>
          <cell r="D1989" t="str">
            <v>Montagem De Tubulação De Pvc Dn 100, Inclusive Acessórios</v>
          </cell>
          <cell r="E1989" t="str">
            <v>m</v>
          </cell>
          <cell r="F1989"/>
          <cell r="G1989">
            <v>11.6</v>
          </cell>
          <cell r="H1989">
            <v>0</v>
          </cell>
        </row>
        <row r="1990">
          <cell r="C1990" t="str">
            <v>10.1.28</v>
          </cell>
          <cell r="D1990" t="str">
            <v>Colchão De Brita</v>
          </cell>
          <cell r="E1990" t="str">
            <v>m³</v>
          </cell>
          <cell r="F1990"/>
          <cell r="G1990">
            <v>63.2</v>
          </cell>
          <cell r="H1990">
            <v>0</v>
          </cell>
        </row>
        <row r="1991">
          <cell r="C1991" t="str">
            <v>10.1.29</v>
          </cell>
          <cell r="D1991" t="str">
            <v>Momento Extraordinário De Transporte, Para Material De 1ª Categoria</v>
          </cell>
          <cell r="E1991" t="str">
            <v>m³xkm</v>
          </cell>
          <cell r="F1991"/>
          <cell r="G1991">
            <v>1.1499999999999999</v>
          </cell>
          <cell r="H1991">
            <v>0</v>
          </cell>
        </row>
        <row r="1992">
          <cell r="C1992" t="str">
            <v>10.1.30</v>
          </cell>
          <cell r="D1992" t="str">
            <v>Escavação Mecânica Em Material De 1ª Categoria, Dmt &lt;= 300 M</v>
          </cell>
          <cell r="E1992" t="str">
            <v>m³</v>
          </cell>
          <cell r="F1992"/>
          <cell r="G1992">
            <v>5.54</v>
          </cell>
          <cell r="H1992">
            <v>0</v>
          </cell>
        </row>
        <row r="1993">
          <cell r="C1993" t="str">
            <v>10.1.31</v>
          </cell>
          <cell r="D1993" t="str">
            <v>Escavação Mecânica Em Material De 2ª Categoria, Dmt&lt;=300 M</v>
          </cell>
          <cell r="E1993" t="str">
            <v>m³</v>
          </cell>
          <cell r="F1993"/>
          <cell r="G1993">
            <v>5.91</v>
          </cell>
          <cell r="H1993">
            <v>0</v>
          </cell>
        </row>
        <row r="1994">
          <cell r="C1994" t="str">
            <v>10.1.32</v>
          </cell>
          <cell r="D1994" t="str">
            <v>Montagem De Caixas De Descarga Ø100Mm</v>
          </cell>
          <cell r="E1994" t="str">
            <v>un</v>
          </cell>
          <cell r="F1994"/>
          <cell r="G1994">
            <v>66.73</v>
          </cell>
          <cell r="H1994">
            <v>0</v>
          </cell>
        </row>
        <row r="1995">
          <cell r="C1995" t="str">
            <v>10.1.33</v>
          </cell>
          <cell r="D1995" t="str">
            <v>Montagem De Caixas De Descarga Ø50Mm</v>
          </cell>
          <cell r="E1995" t="str">
            <v>un</v>
          </cell>
          <cell r="F1995"/>
          <cell r="G1995">
            <v>63.95</v>
          </cell>
          <cell r="H1995">
            <v>0</v>
          </cell>
        </row>
        <row r="1996">
          <cell r="C1996" t="str">
            <v>10.1.34</v>
          </cell>
          <cell r="D1996" t="str">
            <v>Espalhamento de material escavado</v>
          </cell>
          <cell r="E1996" t="str">
            <v>m³</v>
          </cell>
          <cell r="F1996"/>
          <cell r="G1996">
            <v>2.2149456563425867</v>
          </cell>
          <cell r="H1996">
            <v>0</v>
          </cell>
        </row>
        <row r="1997">
          <cell r="C1997" t="str">
            <v>10.1.35</v>
          </cell>
          <cell r="D1997" t="str">
            <v>Transporte e colocação de placas pré-moldadas</v>
          </cell>
          <cell r="E1997" t="str">
            <v>un</v>
          </cell>
          <cell r="F1997"/>
          <cell r="G1997">
            <v>5.59</v>
          </cell>
          <cell r="H1997">
            <v>0</v>
          </cell>
        </row>
        <row r="1998">
          <cell r="C1998" t="str">
            <v>10.2</v>
          </cell>
          <cell r="D1998" t="str">
            <v>FORNECIMENTO (O BDI do item 10.2 foi reduzido de 40% para 37,2%)</v>
          </cell>
          <cell r="E1998"/>
          <cell r="F1998"/>
          <cell r="G1998"/>
          <cell r="H1998">
            <v>0</v>
          </cell>
        </row>
        <row r="1999">
          <cell r="C1999" t="str">
            <v>10.2.1</v>
          </cell>
          <cell r="D1999" t="str">
            <v>Tomada de lote Detalhe 1 (tipo 1)</v>
          </cell>
          <cell r="E1999"/>
          <cell r="F1999"/>
          <cell r="G1999"/>
          <cell r="H1999">
            <v>0</v>
          </cell>
        </row>
        <row r="2000">
          <cell r="C2000" t="str">
            <v>10.2.1.1</v>
          </cell>
          <cell r="D2000" t="str">
            <v xml:space="preserve">Curva 90º , Com Bolsas, Junta Elástica, Ferro Dúctil, Ø100 Mm.  </v>
          </cell>
          <cell r="E2000" t="str">
            <v>un</v>
          </cell>
          <cell r="F2000"/>
          <cell r="G2000">
            <v>105.76</v>
          </cell>
          <cell r="H2000">
            <v>0</v>
          </cell>
        </row>
        <row r="2001">
          <cell r="C2001" t="str">
            <v>10.2.1.2</v>
          </cell>
          <cell r="D2001" t="str">
            <v>Tubo De Ferro Dúctil, Com Flange E Ponta , Classe 1 Mpa, Ø100 Mm, L=3,00 (A Ser Cortado Na Obra)</v>
          </cell>
          <cell r="E2001" t="str">
            <v>un</v>
          </cell>
          <cell r="F2001"/>
          <cell r="G2001">
            <v>533.29999999999995</v>
          </cell>
          <cell r="H2001">
            <v>0</v>
          </cell>
        </row>
        <row r="2002">
          <cell r="C2002" t="str">
            <v>10.2.1.3</v>
          </cell>
          <cell r="D2002" t="str">
            <v xml:space="preserve">Tê Com Flanges, Ferro Dúctil, Ø100 X 75 Mm. </v>
          </cell>
          <cell r="E2002" t="str">
            <v>un</v>
          </cell>
          <cell r="F2002"/>
          <cell r="G2002">
            <v>211.5</v>
          </cell>
          <cell r="H2002">
            <v>0</v>
          </cell>
        </row>
        <row r="2003">
          <cell r="C2003" t="str">
            <v>10.2.1.4</v>
          </cell>
          <cell r="D2003" t="str">
            <v>Registro De Gaveta , Chato, Com Flanges, Cabeçote, Ferro Dúctil, Ø75 Mm</v>
          </cell>
          <cell r="E2003" t="str">
            <v>un</v>
          </cell>
          <cell r="F2003"/>
          <cell r="G2003">
            <v>504.55</v>
          </cell>
          <cell r="H2003">
            <v>0</v>
          </cell>
        </row>
        <row r="2004">
          <cell r="C2004" t="str">
            <v>10.2.1.5</v>
          </cell>
          <cell r="D2004" t="str">
            <v>Válvula Limitadora  De Vazão, Redutora De Pressão E Hidrômetro  Ø75 Mm.</v>
          </cell>
          <cell r="E2004" t="str">
            <v>un</v>
          </cell>
          <cell r="F2004"/>
          <cell r="G2004">
            <v>5386.83</v>
          </cell>
          <cell r="H2004">
            <v>0</v>
          </cell>
        </row>
        <row r="2005">
          <cell r="C2005" t="str">
            <v>10.2.1.6</v>
          </cell>
          <cell r="D2005" t="str">
            <v>Redução Normal Com Flanges , Ferro Dúctil, Ø100 X 75 Mm.</v>
          </cell>
          <cell r="E2005" t="str">
            <v>un</v>
          </cell>
          <cell r="F2005"/>
          <cell r="G2005">
            <v>97.27</v>
          </cell>
          <cell r="H2005">
            <v>0</v>
          </cell>
        </row>
        <row r="2006">
          <cell r="C2006" t="str">
            <v>10.2.1.7</v>
          </cell>
          <cell r="D2006" t="str">
            <v>Toco Com Flanges, Ferro Dúctil , Ø100 Mm, L = 0,50 M.</v>
          </cell>
          <cell r="E2006" t="str">
            <v>un</v>
          </cell>
          <cell r="F2006"/>
          <cell r="G2006">
            <v>257.35000000000002</v>
          </cell>
          <cell r="H2006">
            <v>0</v>
          </cell>
        </row>
        <row r="2007">
          <cell r="C2007" t="str">
            <v>10.2.1.8</v>
          </cell>
          <cell r="D2007" t="str">
            <v>Flange Cego, Ferro Dúctil,  Ø100 Mm, Com Rosca Fêmea, Ø1".</v>
          </cell>
          <cell r="E2007" t="str">
            <v>un</v>
          </cell>
          <cell r="F2007"/>
          <cell r="G2007">
            <v>52.46</v>
          </cell>
          <cell r="H2007">
            <v>0</v>
          </cell>
        </row>
        <row r="2008">
          <cell r="C2008" t="str">
            <v>10.2.1.9</v>
          </cell>
          <cell r="D2008" t="str">
            <v>Ventosa Simples Com Rosca, Ferro Dúctil, Ø1" .</v>
          </cell>
          <cell r="E2008" t="str">
            <v>un</v>
          </cell>
          <cell r="F2008"/>
          <cell r="G2008">
            <v>171.36</v>
          </cell>
          <cell r="H2008">
            <v>0</v>
          </cell>
        </row>
        <row r="2009">
          <cell r="C2009" t="str">
            <v>10.2.1.10</v>
          </cell>
          <cell r="D2009" t="str">
            <v>Niple, Ferro Galvanizado, Ø1"</v>
          </cell>
          <cell r="E2009" t="str">
            <v>un</v>
          </cell>
          <cell r="F2009"/>
          <cell r="G2009">
            <v>4.04</v>
          </cell>
          <cell r="H2009">
            <v>0</v>
          </cell>
        </row>
        <row r="2010">
          <cell r="C2010" t="str">
            <v>10.2.1.11</v>
          </cell>
          <cell r="D2010" t="str">
            <v>Acessório Para Flange, Ø75 Mm</v>
          </cell>
          <cell r="E2010" t="str">
            <v>un</v>
          </cell>
          <cell r="F2010"/>
          <cell r="G2010">
            <v>13.1</v>
          </cell>
          <cell r="H2010">
            <v>0</v>
          </cell>
        </row>
        <row r="2011">
          <cell r="C2011" t="str">
            <v>10.2.1.12</v>
          </cell>
          <cell r="D2011" t="str">
            <v>Acessório Para Flange, Ø100 Mm</v>
          </cell>
          <cell r="E2011" t="str">
            <v>un</v>
          </cell>
          <cell r="F2011"/>
          <cell r="G2011">
            <v>24.76</v>
          </cell>
          <cell r="H2011">
            <v>0</v>
          </cell>
        </row>
        <row r="2012">
          <cell r="C2012" t="str">
            <v>10.2.1.13</v>
          </cell>
          <cell r="D2012" t="str">
            <v>Acessório Para Flange, Ø150 Mm</v>
          </cell>
          <cell r="E2012" t="str">
            <v>un</v>
          </cell>
          <cell r="F2012"/>
          <cell r="G2012">
            <v>78.95</v>
          </cell>
          <cell r="H2012">
            <v>0</v>
          </cell>
        </row>
        <row r="2013">
          <cell r="C2013" t="str">
            <v>10.2.1.14</v>
          </cell>
          <cell r="D2013" t="str">
            <v xml:space="preserve">Toco Com Flanges, Ferro Ductil, Ø 75 Mm L= 0,50 M.  </v>
          </cell>
          <cell r="E2013" t="str">
            <v>un</v>
          </cell>
          <cell r="F2013"/>
          <cell r="G2013">
            <v>109.26</v>
          </cell>
          <cell r="H2013">
            <v>0</v>
          </cell>
        </row>
        <row r="2014">
          <cell r="C2014" t="str">
            <v>10.2.1.15</v>
          </cell>
          <cell r="D2014" t="str">
            <v>Tubo Pvc/Esgoto Dn 100 - Dreno</v>
          </cell>
          <cell r="E2014" t="str">
            <v>m</v>
          </cell>
          <cell r="F2014"/>
          <cell r="G2014">
            <v>6.25</v>
          </cell>
          <cell r="H2014">
            <v>0</v>
          </cell>
        </row>
        <row r="2015">
          <cell r="C2015" t="str">
            <v>10.2.2</v>
          </cell>
          <cell r="D2015" t="str">
            <v>Tomada de lote Detalhe 2 (tipo 2)</v>
          </cell>
          <cell r="E2015"/>
          <cell r="F2015"/>
          <cell r="G2015"/>
          <cell r="H2015">
            <v>0</v>
          </cell>
        </row>
        <row r="2016">
          <cell r="C2016" t="str">
            <v>10.2.2.1</v>
          </cell>
          <cell r="D2016" t="str">
            <v xml:space="preserve">Curva 90º , Com Bolsas, Junta Elástica, Ferro Dúctil, Ø150 Mm.  </v>
          </cell>
          <cell r="E2016" t="str">
            <v>un</v>
          </cell>
          <cell r="F2016"/>
          <cell r="G2016">
            <v>177.02</v>
          </cell>
          <cell r="H2016">
            <v>0</v>
          </cell>
        </row>
        <row r="2017">
          <cell r="C2017" t="str">
            <v>10.2.2.2</v>
          </cell>
          <cell r="D2017" t="str">
            <v>Tubo De Ferro Dúctil, Com Flange E Ponta , Classe 1 Mpa, Ø150 Mm, L=3,00 (A Ser Cortado Na Obra)</v>
          </cell>
          <cell r="E2017" t="str">
            <v>un</v>
          </cell>
          <cell r="F2017"/>
          <cell r="G2017">
            <v>735.91</v>
          </cell>
          <cell r="H2017">
            <v>0</v>
          </cell>
        </row>
        <row r="2018">
          <cell r="C2018" t="str">
            <v>10.2.2.3</v>
          </cell>
          <cell r="D2018" t="str">
            <v xml:space="preserve">Tê Com Flanges, Ferro Dúctil, Ø150 X 75 Mm. </v>
          </cell>
          <cell r="E2018" t="str">
            <v>un</v>
          </cell>
          <cell r="F2018"/>
          <cell r="G2018">
            <v>337.94</v>
          </cell>
          <cell r="H2018">
            <v>0</v>
          </cell>
        </row>
        <row r="2019">
          <cell r="C2019" t="str">
            <v>10.2.2.4</v>
          </cell>
          <cell r="D2019" t="str">
            <v>Registro De Gaveta , Chato, Com Flanges, Cabeçote, Ferro Dúctil, Ø100 Mm</v>
          </cell>
          <cell r="E2019" t="str">
            <v>un</v>
          </cell>
          <cell r="F2019"/>
          <cell r="G2019">
            <v>680.51</v>
          </cell>
          <cell r="H2019">
            <v>0</v>
          </cell>
        </row>
        <row r="2020">
          <cell r="C2020" t="str">
            <v>10.2.2.5</v>
          </cell>
          <cell r="D2020" t="str">
            <v>Válvula Limitadora  De Vazão, Redutora De Pressão E Hidrômetro  Ø100 Mm.</v>
          </cell>
          <cell r="E2020" t="str">
            <v>un</v>
          </cell>
          <cell r="F2020"/>
          <cell r="G2020">
            <v>7720.42</v>
          </cell>
          <cell r="H2020">
            <v>0</v>
          </cell>
        </row>
        <row r="2021">
          <cell r="C2021" t="str">
            <v>10.2.2.6</v>
          </cell>
          <cell r="D2021" t="str">
            <v>Redução Normal Com Flanges , Ferro Dúctil, Ø150 X 100 Mm.</v>
          </cell>
          <cell r="E2021" t="str">
            <v>un</v>
          </cell>
          <cell r="F2021"/>
          <cell r="G2021">
            <v>164.89</v>
          </cell>
          <cell r="H2021">
            <v>0</v>
          </cell>
        </row>
        <row r="2022">
          <cell r="C2022" t="str">
            <v>10.2.2.7</v>
          </cell>
          <cell r="D2022" t="str">
            <v>Toco Com Flanges, Ferro Dúctil , Ø150 Mm, L = 0,50 M.</v>
          </cell>
          <cell r="E2022" t="str">
            <v>un</v>
          </cell>
          <cell r="F2022"/>
          <cell r="G2022">
            <v>338.58</v>
          </cell>
          <cell r="H2022">
            <v>0</v>
          </cell>
        </row>
        <row r="2023">
          <cell r="C2023" t="str">
            <v>10.2.2.8</v>
          </cell>
          <cell r="D2023" t="str">
            <v>Flange Cego, Ferro Dúctil,  Ø150 Mm, Com Rosca Fêmea, Ø1".</v>
          </cell>
          <cell r="E2023" t="str">
            <v>un</v>
          </cell>
          <cell r="F2023"/>
          <cell r="G2023">
            <v>92.46</v>
          </cell>
          <cell r="H2023">
            <v>0</v>
          </cell>
        </row>
        <row r="2024">
          <cell r="C2024" t="str">
            <v>10.2.2.9</v>
          </cell>
          <cell r="D2024" t="str">
            <v>Ventosa Simples Com Rosca, Ferro Dúctil, Ø1" .</v>
          </cell>
          <cell r="E2024" t="str">
            <v>un</v>
          </cell>
          <cell r="F2024"/>
          <cell r="G2024">
            <v>171.36</v>
          </cell>
          <cell r="H2024">
            <v>0</v>
          </cell>
        </row>
        <row r="2025">
          <cell r="C2025" t="str">
            <v>10.2.2.10</v>
          </cell>
          <cell r="D2025" t="str">
            <v>Niple, Ferro Galvanizado, Ø1"</v>
          </cell>
          <cell r="E2025" t="str">
            <v>un</v>
          </cell>
          <cell r="F2025"/>
          <cell r="G2025">
            <v>4.04</v>
          </cell>
          <cell r="H2025">
            <v>0</v>
          </cell>
        </row>
        <row r="2026">
          <cell r="C2026" t="str">
            <v>10.2.2.11</v>
          </cell>
          <cell r="D2026" t="str">
            <v>Acessório Para Flange, Ø75 Mm</v>
          </cell>
          <cell r="E2026" t="str">
            <v>un</v>
          </cell>
          <cell r="F2026"/>
          <cell r="G2026">
            <v>13.1</v>
          </cell>
          <cell r="H2026">
            <v>0</v>
          </cell>
        </row>
        <row r="2027">
          <cell r="C2027" t="str">
            <v>10.2.2.12</v>
          </cell>
          <cell r="D2027" t="str">
            <v>Acessório Para Flange, Ø100 Mm</v>
          </cell>
          <cell r="E2027" t="str">
            <v>un</v>
          </cell>
          <cell r="F2027"/>
          <cell r="G2027">
            <v>24.76</v>
          </cell>
          <cell r="H2027">
            <v>0</v>
          </cell>
        </row>
        <row r="2028">
          <cell r="C2028" t="str">
            <v>10.2.2.13</v>
          </cell>
          <cell r="D2028" t="str">
            <v>Acessório Para Flange, Ø150 Mm</v>
          </cell>
          <cell r="E2028" t="str">
            <v>un</v>
          </cell>
          <cell r="F2028"/>
          <cell r="G2028">
            <v>78.95</v>
          </cell>
          <cell r="H2028">
            <v>0</v>
          </cell>
        </row>
        <row r="2029">
          <cell r="C2029" t="str">
            <v>10.2.2.14</v>
          </cell>
          <cell r="D2029" t="str">
            <v>Tubo Pvc/Esgoto Dn 100 - Dreno</v>
          </cell>
          <cell r="E2029" t="str">
            <v>m</v>
          </cell>
          <cell r="F2029"/>
          <cell r="G2029">
            <v>6.25</v>
          </cell>
          <cell r="H2029">
            <v>0</v>
          </cell>
        </row>
        <row r="2030">
          <cell r="C2030" t="str">
            <v>10.2.3</v>
          </cell>
          <cell r="D2030" t="str">
            <v>Tomada de lote Detalhe 2 (tipo 3)</v>
          </cell>
          <cell r="E2030"/>
          <cell r="F2030"/>
          <cell r="G2030"/>
          <cell r="H2030">
            <v>0</v>
          </cell>
        </row>
        <row r="2031">
          <cell r="C2031" t="str">
            <v>10.2.3.1</v>
          </cell>
          <cell r="D2031" t="str">
            <v xml:space="preserve">Curva 90º , Com Bolsas, Junta Elástica, Ferro Dúctil, Ø200 Mm.  </v>
          </cell>
          <cell r="E2031" t="str">
            <v>un</v>
          </cell>
          <cell r="F2031"/>
          <cell r="G2031">
            <v>275.88</v>
          </cell>
          <cell r="H2031">
            <v>0</v>
          </cell>
        </row>
        <row r="2032">
          <cell r="C2032" t="str">
            <v>10.2.3.2</v>
          </cell>
          <cell r="D2032" t="str">
            <v>Tubo De Ferro Dúctil, Com Flange E Ponta , Classe 1 Mpa, Ø200 Mm, L=3,00 (A Ser Cortado Na Obra)</v>
          </cell>
          <cell r="E2032" t="str">
            <v>un</v>
          </cell>
          <cell r="F2032"/>
          <cell r="G2032">
            <v>978.88</v>
          </cell>
          <cell r="H2032">
            <v>0</v>
          </cell>
        </row>
        <row r="2033">
          <cell r="C2033" t="str">
            <v>10.2.3.3</v>
          </cell>
          <cell r="D2033" t="str">
            <v xml:space="preserve">Tê Com Flanges, Ferro Dúctil, Ø200 X 100 Mm. </v>
          </cell>
          <cell r="E2033" t="str">
            <v>un</v>
          </cell>
          <cell r="F2033"/>
          <cell r="G2033">
            <v>380.54</v>
          </cell>
          <cell r="H2033">
            <v>0</v>
          </cell>
        </row>
        <row r="2034">
          <cell r="C2034" t="str">
            <v>10.2.3.4</v>
          </cell>
          <cell r="D2034" t="str">
            <v>Registro De Gaveta , Chato, Com Flanges, Cabeçote, Ferro Dúctil, Ø100 Mm</v>
          </cell>
          <cell r="E2034" t="str">
            <v>un</v>
          </cell>
          <cell r="F2034"/>
          <cell r="G2034">
            <v>680.51</v>
          </cell>
          <cell r="H2034">
            <v>0</v>
          </cell>
        </row>
        <row r="2035">
          <cell r="C2035" t="str">
            <v>10.2.3.5</v>
          </cell>
          <cell r="D2035" t="str">
            <v>Válvula Limitadora  De Vazão, Redutora De Pressão E Hidrômetro  Ø100 Mm.</v>
          </cell>
          <cell r="E2035" t="str">
            <v>un</v>
          </cell>
          <cell r="F2035"/>
          <cell r="G2035">
            <v>7720.42</v>
          </cell>
          <cell r="H2035">
            <v>0</v>
          </cell>
        </row>
        <row r="2036">
          <cell r="C2036" t="str">
            <v>10.2.3.6</v>
          </cell>
          <cell r="D2036" t="str">
            <v>Redução Normal Com Flanges , Ferro Dúctil, Ø200 X 100 Mm.</v>
          </cell>
          <cell r="E2036" t="str">
            <v>un</v>
          </cell>
          <cell r="F2036"/>
          <cell r="G2036">
            <v>249.49</v>
          </cell>
          <cell r="H2036">
            <v>0</v>
          </cell>
        </row>
        <row r="2037">
          <cell r="C2037" t="str">
            <v>10.2.3.7</v>
          </cell>
          <cell r="D2037" t="str">
            <v>Toco Com Flanges, Ferro Dúctil , Ø200 Mm, L = 0,50 M.</v>
          </cell>
          <cell r="E2037" t="str">
            <v>un</v>
          </cell>
          <cell r="F2037"/>
          <cell r="G2037">
            <v>448.08</v>
          </cell>
          <cell r="H2037">
            <v>0</v>
          </cell>
        </row>
        <row r="2038">
          <cell r="C2038" t="str">
            <v>10.2.3.8</v>
          </cell>
          <cell r="D2038" t="str">
            <v>Flange Cego, Ferro Dúctil,  Ø200 Mm, Com Rosca, Ø1".</v>
          </cell>
          <cell r="E2038" t="str">
            <v>un</v>
          </cell>
          <cell r="F2038"/>
          <cell r="G2038">
            <v>137.44999999999999</v>
          </cell>
          <cell r="H2038">
            <v>0</v>
          </cell>
        </row>
        <row r="2039">
          <cell r="C2039" t="str">
            <v>10.2.3.9</v>
          </cell>
          <cell r="D2039" t="str">
            <v>Ventosa Simples Com Rosca, Ferro Dúctil, Ø1" .</v>
          </cell>
          <cell r="E2039" t="str">
            <v>un</v>
          </cell>
          <cell r="F2039"/>
          <cell r="G2039">
            <v>186.59</v>
          </cell>
          <cell r="H2039">
            <v>0</v>
          </cell>
        </row>
        <row r="2040">
          <cell r="C2040" t="str">
            <v>10.2.3.10</v>
          </cell>
          <cell r="D2040" t="str">
            <v>Niple, Ferro Galvanizado, Ø1"</v>
          </cell>
          <cell r="E2040" t="str">
            <v>un</v>
          </cell>
          <cell r="F2040"/>
          <cell r="G2040">
            <v>4.04</v>
          </cell>
          <cell r="H2040">
            <v>0</v>
          </cell>
        </row>
        <row r="2041">
          <cell r="C2041" t="str">
            <v>10.2.3.11</v>
          </cell>
          <cell r="D2041" t="str">
            <v>Acessório Para Flange, Ø100 Mm</v>
          </cell>
          <cell r="E2041" t="str">
            <v>un</v>
          </cell>
          <cell r="F2041"/>
          <cell r="G2041">
            <v>24.76</v>
          </cell>
          <cell r="H2041">
            <v>0</v>
          </cell>
        </row>
        <row r="2042">
          <cell r="C2042" t="str">
            <v>10.2.3.12</v>
          </cell>
          <cell r="D2042" t="str">
            <v>Acessório Para Flange, Ø200 Mm</v>
          </cell>
          <cell r="E2042" t="str">
            <v>un</v>
          </cell>
          <cell r="F2042"/>
          <cell r="G2042">
            <v>48.07</v>
          </cell>
          <cell r="H2042">
            <v>0</v>
          </cell>
        </row>
        <row r="2043">
          <cell r="C2043" t="str">
            <v>10.2.3.13</v>
          </cell>
          <cell r="D2043" t="str">
            <v>Tubo Pvc/Esgoto Dn 100 - Dreno</v>
          </cell>
          <cell r="E2043" t="str">
            <v>m</v>
          </cell>
          <cell r="F2043"/>
          <cell r="G2043">
            <v>6.25</v>
          </cell>
          <cell r="H2043">
            <v>0</v>
          </cell>
        </row>
        <row r="2044">
          <cell r="C2044" t="str">
            <v>10.2.4</v>
          </cell>
          <cell r="D2044" t="str">
            <v>Rede Pressurizada</v>
          </cell>
          <cell r="E2044"/>
          <cell r="F2044"/>
          <cell r="G2044"/>
          <cell r="H2044">
            <v>0</v>
          </cell>
        </row>
        <row r="2045">
          <cell r="C2045" t="str">
            <v>10.2.4.1</v>
          </cell>
          <cell r="D2045" t="str">
            <v xml:space="preserve">Curva 11º15' , Com Bolsas, Junta Elástica, Ferro Dúctil, Ø150 Mm.  </v>
          </cell>
          <cell r="E2045" t="str">
            <v>un</v>
          </cell>
          <cell r="F2045"/>
          <cell r="G2045">
            <v>128.75</v>
          </cell>
          <cell r="H2045">
            <v>0</v>
          </cell>
        </row>
        <row r="2046">
          <cell r="C2046" t="str">
            <v>10.2.4.2</v>
          </cell>
          <cell r="D2046" t="str">
            <v xml:space="preserve">Curva 11º15' , Com Bolsas, Junta Elástica, Ferro Dúctil, Ø350 Mm.  </v>
          </cell>
          <cell r="E2046" t="str">
            <v>un</v>
          </cell>
          <cell r="F2046"/>
          <cell r="G2046">
            <v>537.98</v>
          </cell>
          <cell r="H2046">
            <v>0</v>
          </cell>
        </row>
        <row r="2047">
          <cell r="C2047" t="str">
            <v>10.2.4.3</v>
          </cell>
          <cell r="D2047" t="str">
            <v xml:space="preserve">Curva 11º15' , Com Bolsas, Junta Elástica, Ferro Dúctil, Ø600 Mm.  </v>
          </cell>
          <cell r="E2047" t="str">
            <v>un</v>
          </cell>
          <cell r="F2047"/>
          <cell r="G2047">
            <v>1492.06</v>
          </cell>
          <cell r="H2047">
            <v>0</v>
          </cell>
        </row>
        <row r="2048">
          <cell r="C2048" t="str">
            <v>10.2.4.4</v>
          </cell>
          <cell r="D2048" t="str">
            <v xml:space="preserve">Curva 22º30' , Com Bolsas, Junta Elástica, Ferro Dúctil, Ø200 Mm.  </v>
          </cell>
          <cell r="E2048" t="str">
            <v>un</v>
          </cell>
          <cell r="F2048"/>
          <cell r="G2048">
            <v>190.81</v>
          </cell>
          <cell r="H2048">
            <v>0</v>
          </cell>
        </row>
        <row r="2049">
          <cell r="C2049" t="str">
            <v>10.2.4.5</v>
          </cell>
          <cell r="D2049" t="str">
            <v xml:space="preserve">Curva 22º30' , Com Bolsas, Junta Elástica, Ferro Dúctil, Ø250 Mm.  </v>
          </cell>
          <cell r="E2049" t="str">
            <v>un</v>
          </cell>
          <cell r="F2049"/>
          <cell r="G2049">
            <v>359.21</v>
          </cell>
          <cell r="H2049">
            <v>0</v>
          </cell>
        </row>
        <row r="2050">
          <cell r="C2050" t="str">
            <v>10.2.4.6</v>
          </cell>
          <cell r="D2050" t="str">
            <v xml:space="preserve">Curva 22º30' , Com Bolsas, Junta Elástica, Ferro Dúctil, Ø300 Mm.  </v>
          </cell>
          <cell r="E2050" t="str">
            <v>un</v>
          </cell>
          <cell r="F2050"/>
          <cell r="G2050">
            <v>443.7</v>
          </cell>
          <cell r="H2050">
            <v>0</v>
          </cell>
        </row>
        <row r="2051">
          <cell r="C2051" t="str">
            <v>10.2.4.7</v>
          </cell>
          <cell r="D2051" t="str">
            <v xml:space="preserve">Curva 22º30' , Com Bolsas, Junta Elástica, Ferro Dúctil, Ø400 Mm.  </v>
          </cell>
          <cell r="E2051" t="str">
            <v>un</v>
          </cell>
          <cell r="F2051"/>
          <cell r="G2051">
            <v>774.94</v>
          </cell>
          <cell r="H2051">
            <v>0</v>
          </cell>
        </row>
        <row r="2052">
          <cell r="C2052" t="str">
            <v>10.2.4.8</v>
          </cell>
          <cell r="D2052" t="str">
            <v xml:space="preserve">Curva 22º30' , Com Bolsas, Junta Elástica, Ferro Dúctil, Ø600 Mm.  </v>
          </cell>
          <cell r="E2052" t="str">
            <v>un</v>
          </cell>
          <cell r="F2052"/>
          <cell r="G2052">
            <v>1921.98</v>
          </cell>
          <cell r="H2052">
            <v>0</v>
          </cell>
        </row>
        <row r="2053">
          <cell r="C2053" t="str">
            <v>10.2.4.9</v>
          </cell>
          <cell r="D2053" t="str">
            <v xml:space="preserve">Curva 22º30' , Com Bolsas, Junta Elástica, Ferro Dúctil, Ø900 Mm.  </v>
          </cell>
          <cell r="E2053" t="str">
            <v>un</v>
          </cell>
          <cell r="F2053"/>
          <cell r="G2053">
            <v>4425.63</v>
          </cell>
          <cell r="H2053">
            <v>0</v>
          </cell>
        </row>
        <row r="2054">
          <cell r="C2054" t="str">
            <v>10.2.4.10</v>
          </cell>
          <cell r="D2054" t="str">
            <v xml:space="preserve">Curva 45º , Com Bolsas, Junta Elástica, Ferro Dúctil, Ø150 Mm.  </v>
          </cell>
          <cell r="E2054" t="str">
            <v>un</v>
          </cell>
          <cell r="F2054"/>
          <cell r="G2054">
            <v>135.63999999999999</v>
          </cell>
          <cell r="H2054">
            <v>0</v>
          </cell>
        </row>
        <row r="2055">
          <cell r="C2055" t="str">
            <v>10.2.4.11</v>
          </cell>
          <cell r="D2055" t="str">
            <v xml:space="preserve">Curva 45º , Com Bolsas, Junta Elástica, Ferro Dúctil, Ø250 Mm.  </v>
          </cell>
          <cell r="E2055" t="str">
            <v>un</v>
          </cell>
          <cell r="F2055"/>
          <cell r="G2055">
            <v>390.55</v>
          </cell>
          <cell r="H2055">
            <v>0</v>
          </cell>
        </row>
        <row r="2056">
          <cell r="C2056" t="str">
            <v>10.2.4.12</v>
          </cell>
          <cell r="D2056" t="str">
            <v xml:space="preserve">Curva 45º , Com Bolsas, Junta Elástica, Ferro Dúctil, Ø300 Mm.  </v>
          </cell>
          <cell r="E2056" t="str">
            <v>un</v>
          </cell>
          <cell r="F2056"/>
          <cell r="G2056">
            <v>536.99</v>
          </cell>
          <cell r="H2056">
            <v>0</v>
          </cell>
        </row>
        <row r="2057">
          <cell r="C2057" t="str">
            <v>10.2.4.13</v>
          </cell>
          <cell r="D2057" t="str">
            <v xml:space="preserve">Curva 45º , Com Bolsas, Junta Elástica, Ferro Dúctil, Ø350 Mm.  </v>
          </cell>
          <cell r="E2057" t="str">
            <v>un</v>
          </cell>
          <cell r="F2057"/>
          <cell r="G2057">
            <v>859.83</v>
          </cell>
          <cell r="H2057">
            <v>0</v>
          </cell>
        </row>
        <row r="2058">
          <cell r="C2058" t="str">
            <v>10.2.4.14</v>
          </cell>
          <cell r="D2058" t="str">
            <v xml:space="preserve">Curva 45º , Com Bolsas, Junta Elástica, Ferro Dúctil, Ø500 Mm.  </v>
          </cell>
          <cell r="E2058" t="str">
            <v>un</v>
          </cell>
          <cell r="F2058"/>
          <cell r="G2058">
            <v>1632.31</v>
          </cell>
          <cell r="H2058">
            <v>0</v>
          </cell>
        </row>
        <row r="2059">
          <cell r="C2059" t="str">
            <v>10.2.4.15</v>
          </cell>
          <cell r="D2059" t="str">
            <v xml:space="preserve">Curva 45º , Com Bolsas, Junta Elástica, Ferro Dúctil, Ø600 Mm.  </v>
          </cell>
          <cell r="E2059" t="str">
            <v>un</v>
          </cell>
          <cell r="F2059"/>
          <cell r="G2059">
            <v>2107.0100000000002</v>
          </cell>
          <cell r="H2059">
            <v>0</v>
          </cell>
        </row>
        <row r="2060">
          <cell r="C2060" t="str">
            <v>10.2.4.16</v>
          </cell>
          <cell r="D2060" t="str">
            <v xml:space="preserve">Curva 45º , Com Bolsas, Junta Elástica, Ferro Dúctil, Ø700 Mm.  </v>
          </cell>
          <cell r="E2060" t="str">
            <v>un</v>
          </cell>
          <cell r="F2060"/>
          <cell r="G2060">
            <v>4184.22</v>
          </cell>
          <cell r="H2060">
            <v>0</v>
          </cell>
        </row>
        <row r="2061">
          <cell r="C2061" t="str">
            <v>10.2.4.17</v>
          </cell>
          <cell r="D2061" t="str">
            <v xml:space="preserve">Curva 45º , Com Bolsas, Junta Elástica, Ferro Dúctil, Ø800 Mm.  </v>
          </cell>
          <cell r="E2061" t="str">
            <v>un</v>
          </cell>
          <cell r="F2061"/>
          <cell r="G2061">
            <v>5011.8900000000003</v>
          </cell>
          <cell r="H2061">
            <v>0</v>
          </cell>
        </row>
        <row r="2062">
          <cell r="C2062" t="str">
            <v>10.2.4.18</v>
          </cell>
          <cell r="D2062" t="str">
            <v xml:space="preserve">Curva 45º , Com Bolsas, Junta Elástica, Ferro Dúctil, Ø900 Mm.  </v>
          </cell>
          <cell r="E2062" t="str">
            <v>un</v>
          </cell>
          <cell r="F2062"/>
          <cell r="G2062">
            <v>6639.59</v>
          </cell>
          <cell r="H2062">
            <v>0</v>
          </cell>
        </row>
        <row r="2063">
          <cell r="C2063" t="str">
            <v>10.2.4.19</v>
          </cell>
          <cell r="D2063" t="str">
            <v xml:space="preserve">Curva 90º , Com Bolsas, Junta Elástica, Ferro Dúctil, Ø100 Mm.  </v>
          </cell>
          <cell r="E2063" t="str">
            <v>un</v>
          </cell>
          <cell r="F2063"/>
          <cell r="G2063">
            <v>105.76</v>
          </cell>
          <cell r="H2063">
            <v>0</v>
          </cell>
        </row>
        <row r="2064">
          <cell r="C2064" t="str">
            <v>10.2.4.20</v>
          </cell>
          <cell r="D2064" t="str">
            <v xml:space="preserve">Curva 90º , Com Bolsas, Junta Elástica, Ferro Dúctil, Ø150 Mm.  </v>
          </cell>
          <cell r="E2064" t="str">
            <v>un</v>
          </cell>
          <cell r="F2064"/>
          <cell r="G2064">
            <v>177.02</v>
          </cell>
          <cell r="H2064">
            <v>0</v>
          </cell>
        </row>
        <row r="2065">
          <cell r="C2065" t="str">
            <v>10.2.4.21</v>
          </cell>
          <cell r="D2065" t="str">
            <v xml:space="preserve">Curva 90º , Com Bolsas, Junta Elástica, Ferro Dúctil, Ø200 Mm.  </v>
          </cell>
          <cell r="E2065" t="str">
            <v>un</v>
          </cell>
          <cell r="F2065"/>
          <cell r="G2065">
            <v>275.88</v>
          </cell>
          <cell r="H2065">
            <v>0</v>
          </cell>
        </row>
        <row r="2066">
          <cell r="C2066" t="str">
            <v>10.2.4.22</v>
          </cell>
          <cell r="D2066" t="str">
            <v xml:space="preserve">Curva 90º , Com Bolsas, Junta Elástica, Ferro Dúctil, Ø250 Mm.  </v>
          </cell>
          <cell r="E2066" t="str">
            <v>un</v>
          </cell>
          <cell r="F2066"/>
          <cell r="G2066">
            <v>494.62</v>
          </cell>
          <cell r="H2066">
            <v>0</v>
          </cell>
        </row>
        <row r="2067">
          <cell r="C2067" t="str">
            <v>10.2.4.23</v>
          </cell>
          <cell r="D2067" t="str">
            <v xml:space="preserve">Curva 90º , Com Bolsas, Junta Elástica, Ferro Dúctil, Ø350 Mm.  </v>
          </cell>
          <cell r="E2067" t="str">
            <v>un</v>
          </cell>
          <cell r="F2067"/>
          <cell r="G2067">
            <v>1363.11</v>
          </cell>
          <cell r="H2067">
            <v>0</v>
          </cell>
        </row>
        <row r="2068">
          <cell r="C2068" t="str">
            <v>10.2.4.24</v>
          </cell>
          <cell r="D2068" t="str">
            <v xml:space="preserve">Curva 90º , Com Bolsas, Junta Elástica, Ferro Dúctil, Ø400 Mm.  </v>
          </cell>
          <cell r="E2068" t="str">
            <v>un</v>
          </cell>
          <cell r="F2068"/>
          <cell r="G2068">
            <v>1260.03</v>
          </cell>
          <cell r="H2068">
            <v>0</v>
          </cell>
        </row>
        <row r="2069">
          <cell r="C2069" t="str">
            <v>10.2.4.25</v>
          </cell>
          <cell r="D2069" t="str">
            <v xml:space="preserve">Curva 90º , Com Bolsas, Junta Elástica, Ferro Dúctil, Ø450 Mm.  </v>
          </cell>
          <cell r="E2069" t="str">
            <v>un</v>
          </cell>
          <cell r="F2069"/>
          <cell r="G2069">
            <v>2068.4299999999998</v>
          </cell>
          <cell r="H2069">
            <v>0</v>
          </cell>
        </row>
        <row r="2070">
          <cell r="C2070" t="str">
            <v>10.2.4.26</v>
          </cell>
          <cell r="D2070" t="str">
            <v xml:space="preserve">Curva 90º , Com Bolsas, Junta Elástica, Ferro Dúctil, Ø500 Mm.  </v>
          </cell>
          <cell r="E2070" t="str">
            <v>un</v>
          </cell>
          <cell r="F2070"/>
          <cell r="G2070">
            <v>2240.5500000000002</v>
          </cell>
          <cell r="H2070">
            <v>0</v>
          </cell>
        </row>
        <row r="2071">
          <cell r="C2071" t="str">
            <v>10.2.4.27</v>
          </cell>
          <cell r="D2071" t="str">
            <v xml:space="preserve">Curva 90º , Com Bolsas, Junta Elástica, Ferro Dúctil, Ø600 Mm.  </v>
          </cell>
          <cell r="E2071" t="str">
            <v>un</v>
          </cell>
          <cell r="F2071"/>
          <cell r="G2071">
            <v>3038.57</v>
          </cell>
          <cell r="H2071">
            <v>0</v>
          </cell>
        </row>
        <row r="2072">
          <cell r="C2072" t="str">
            <v>10.2.4.28</v>
          </cell>
          <cell r="D2072" t="str">
            <v xml:space="preserve">Curva 90º , Com Bolsas, Junta Elástica, Ferro Dúctil, Ø700 Mm.  </v>
          </cell>
          <cell r="E2072" t="str">
            <v>un</v>
          </cell>
          <cell r="F2072"/>
          <cell r="G2072">
            <v>4880.82</v>
          </cell>
          <cell r="H2072">
            <v>0</v>
          </cell>
        </row>
        <row r="2073">
          <cell r="C2073" t="str">
            <v>10.2.4.29</v>
          </cell>
          <cell r="D2073" t="str">
            <v xml:space="preserve">Curva 90º , Com Flanges, Ferro Dúctil, Ø800 Mm.  </v>
          </cell>
          <cell r="E2073" t="str">
            <v>un</v>
          </cell>
          <cell r="F2073"/>
          <cell r="G2073">
            <v>8214.7199999999993</v>
          </cell>
          <cell r="H2073">
            <v>0</v>
          </cell>
        </row>
        <row r="2074">
          <cell r="C2074" t="str">
            <v>10.2.4.30</v>
          </cell>
          <cell r="D2074" t="str">
            <v xml:space="preserve">Curva 90º , Com Flanges, Ferro Dúctil, Ø900 Mm.  </v>
          </cell>
          <cell r="E2074" t="str">
            <v>un</v>
          </cell>
          <cell r="F2074"/>
          <cell r="G2074">
            <v>10014.57</v>
          </cell>
          <cell r="H2074">
            <v>0</v>
          </cell>
        </row>
        <row r="2075">
          <cell r="C2075" t="str">
            <v>10.2.4.31</v>
          </cell>
          <cell r="D2075" t="str">
            <v>Extremidade Flange E Bolsa, Junta Elástica, Ferro Dúctil, Ø100 Mm.</v>
          </cell>
          <cell r="E2075" t="str">
            <v>un</v>
          </cell>
          <cell r="F2075"/>
          <cell r="G2075">
            <v>91.95</v>
          </cell>
          <cell r="H2075">
            <v>0</v>
          </cell>
        </row>
        <row r="2076">
          <cell r="C2076" t="str">
            <v>10.2.4.32</v>
          </cell>
          <cell r="D2076" t="str">
            <v>Extremidade Flange E Bolsa, Junta Elástica, Ferro Dúctil, Ø200 Mm.</v>
          </cell>
          <cell r="E2076" t="str">
            <v>un</v>
          </cell>
          <cell r="F2076"/>
          <cell r="G2076">
            <v>205.1</v>
          </cell>
          <cell r="H2076">
            <v>0</v>
          </cell>
        </row>
        <row r="2077">
          <cell r="C2077" t="str">
            <v>10.2.4.33</v>
          </cell>
          <cell r="D2077" t="str">
            <v>Extremidade Flange E Bolsa, Junta Elástica, Ferro Dúctil, Ø350 Mm.</v>
          </cell>
          <cell r="E2077" t="str">
            <v>un</v>
          </cell>
          <cell r="F2077"/>
          <cell r="G2077">
            <v>556.37</v>
          </cell>
          <cell r="H2077">
            <v>0</v>
          </cell>
        </row>
        <row r="2078">
          <cell r="C2078" t="str">
            <v>10.2.4.34</v>
          </cell>
          <cell r="D2078" t="str">
            <v>Extremidade Flange E Bolsa, Junta Travada, Ferro Dúctil, Ø700 Mm.</v>
          </cell>
          <cell r="E2078" t="str">
            <v>un</v>
          </cell>
          <cell r="F2078"/>
          <cell r="G2078">
            <v>1581.73</v>
          </cell>
          <cell r="H2078">
            <v>0</v>
          </cell>
        </row>
        <row r="2079">
          <cell r="C2079" t="str">
            <v>10.2.4.35</v>
          </cell>
          <cell r="D2079" t="str">
            <v>Extremidade Flange E Bolsa, Junta Travada, Ferro Dúctil, Ø800 Mm.</v>
          </cell>
          <cell r="E2079" t="str">
            <v>un</v>
          </cell>
          <cell r="F2079"/>
          <cell r="G2079">
            <v>3087.59</v>
          </cell>
          <cell r="H2079">
            <v>0</v>
          </cell>
        </row>
        <row r="2080">
          <cell r="C2080" t="str">
            <v>10.2.4.36</v>
          </cell>
          <cell r="D2080" t="str">
            <v>Extremidade Flange E Bolsa, Junta Travada, Ferro Dúctil, Ø900 Mm.</v>
          </cell>
          <cell r="E2080" t="str">
            <v>un</v>
          </cell>
          <cell r="F2080"/>
          <cell r="G2080">
            <v>2673.76</v>
          </cell>
          <cell r="H2080">
            <v>0</v>
          </cell>
        </row>
        <row r="2081">
          <cell r="C2081" t="str">
            <v>10.2.4.37</v>
          </cell>
          <cell r="D2081" t="str">
            <v>Registro De Gaveta , Chato, Com Bolsas, Junta Elástica, Cabeçote, Ferro Dúctil, Ø150 Mm</v>
          </cell>
          <cell r="E2081" t="str">
            <v>un</v>
          </cell>
          <cell r="F2081"/>
          <cell r="G2081">
            <v>1044.05</v>
          </cell>
          <cell r="H2081">
            <v>0</v>
          </cell>
        </row>
        <row r="2082">
          <cell r="C2082" t="str">
            <v>10.2.4.38</v>
          </cell>
          <cell r="D2082" t="str">
            <v>Registro De Gaveta , Chato, Com Bolsas, Junta Elástica, Cabeçote, Ferro Dúctil, Ø200 Mm</v>
          </cell>
          <cell r="E2082" t="str">
            <v>un</v>
          </cell>
          <cell r="F2082"/>
          <cell r="G2082">
            <v>1505.85</v>
          </cell>
          <cell r="H2082">
            <v>0</v>
          </cell>
        </row>
        <row r="2083">
          <cell r="C2083" t="str">
            <v>10.2.4.39</v>
          </cell>
          <cell r="D2083" t="str">
            <v>Redução Com Bolsas, Junta Travada, Ferro Dúctil, Ø450 X 400 Mm.</v>
          </cell>
          <cell r="E2083" t="str">
            <v>un</v>
          </cell>
          <cell r="F2083"/>
          <cell r="G2083">
            <v>797.76</v>
          </cell>
          <cell r="H2083">
            <v>0</v>
          </cell>
        </row>
        <row r="2084">
          <cell r="C2084" t="str">
            <v>10.2.4.40</v>
          </cell>
          <cell r="D2084" t="str">
            <v>Redução Com Bolsas, Junta Travada, Ferro Dúctil, Ø700 X 600 Mm.</v>
          </cell>
          <cell r="E2084" t="str">
            <v>un</v>
          </cell>
          <cell r="F2084"/>
          <cell r="G2084">
            <v>1719.67</v>
          </cell>
          <cell r="H2084">
            <v>0</v>
          </cell>
        </row>
        <row r="2085">
          <cell r="C2085" t="str">
            <v>10.2.4.41</v>
          </cell>
          <cell r="D2085" t="str">
            <v>Redução Com Bolsas, Junta Travada, Ferro Dúctil, Ø800 X 600 Mm.</v>
          </cell>
          <cell r="E2085" t="str">
            <v>un</v>
          </cell>
          <cell r="F2085"/>
          <cell r="G2085">
            <v>13768.73</v>
          </cell>
          <cell r="H2085">
            <v>0</v>
          </cell>
        </row>
        <row r="2086">
          <cell r="C2086" t="str">
            <v>10.2.4.42</v>
          </cell>
          <cell r="D2086" t="str">
            <v>Redução Com Bolsas, Junta Travada, Ferro Dúctil, Ø800 X 700 Mm.</v>
          </cell>
          <cell r="E2086" t="str">
            <v>un</v>
          </cell>
          <cell r="F2086"/>
          <cell r="G2086">
            <v>13935.06</v>
          </cell>
          <cell r="H2086">
            <v>0</v>
          </cell>
        </row>
        <row r="2087">
          <cell r="C2087" t="str">
            <v>10.2.4.43</v>
          </cell>
          <cell r="D2087" t="str">
            <v>Redução Com Bolsas, Junta Travada, Ferro Dúctil, Ø900 X 700 Mm.</v>
          </cell>
          <cell r="E2087" t="str">
            <v>un</v>
          </cell>
          <cell r="F2087"/>
          <cell r="G2087">
            <v>15338.47</v>
          </cell>
          <cell r="H2087">
            <v>0</v>
          </cell>
        </row>
        <row r="2088">
          <cell r="C2088" t="str">
            <v>10.2.4.44</v>
          </cell>
          <cell r="D2088" t="str">
            <v>Redução Com Bolsas, Junta Travada, Ferro Dúctil, Ø900 X 800 Mm.</v>
          </cell>
          <cell r="E2088" t="str">
            <v>un</v>
          </cell>
          <cell r="F2088"/>
          <cell r="G2088">
            <v>15406.84</v>
          </cell>
          <cell r="H2088">
            <v>0</v>
          </cell>
        </row>
        <row r="2089">
          <cell r="C2089" t="str">
            <v>10.2.4.45</v>
          </cell>
          <cell r="D2089" t="str">
            <v>Redução Com Bolsas, Junta Travada, Ferro Dúctil, Ø1000 X 800 Mm.</v>
          </cell>
          <cell r="E2089" t="str">
            <v>un</v>
          </cell>
          <cell r="F2089"/>
          <cell r="G2089">
            <v>18708.07</v>
          </cell>
          <cell r="H2089">
            <v>0</v>
          </cell>
        </row>
        <row r="2090">
          <cell r="C2090" t="str">
            <v>10.2.4.46</v>
          </cell>
          <cell r="D2090" t="str">
            <v>Redução Com Bolsas, Junta Travada, Ferro Dúctil, Ø1000 X 900 Mm.</v>
          </cell>
          <cell r="E2090" t="str">
            <v>un</v>
          </cell>
          <cell r="F2090"/>
          <cell r="G2090">
            <v>18762.77</v>
          </cell>
          <cell r="H2090">
            <v>0</v>
          </cell>
        </row>
        <row r="2091">
          <cell r="C2091" t="str">
            <v>10.2.4.47</v>
          </cell>
          <cell r="D2091" t="str">
            <v>Registro De Gaveta , Oval, Com Bolsas, Junta Elástica, Cabeçote, Ferro Dúctil, Ø250 Mm</v>
          </cell>
          <cell r="E2091" t="str">
            <v>un</v>
          </cell>
          <cell r="F2091"/>
          <cell r="G2091">
            <v>2425.4699999999998</v>
          </cell>
          <cell r="H2091">
            <v>0</v>
          </cell>
        </row>
        <row r="2092">
          <cell r="C2092" t="str">
            <v>10.2.4.48</v>
          </cell>
          <cell r="D2092" t="str">
            <v>Registro De Gaveta , Oval, Com Bolsas, Junta Elástica, Cabeçote, Ferro Dúctil, Ø300 Mm</v>
          </cell>
          <cell r="E2092" t="str">
            <v>un</v>
          </cell>
          <cell r="F2092"/>
          <cell r="G2092">
            <v>3563.5</v>
          </cell>
          <cell r="H2092">
            <v>0</v>
          </cell>
        </row>
        <row r="2093">
          <cell r="C2093" t="str">
            <v>10.2.4.49</v>
          </cell>
          <cell r="D2093" t="str">
            <v>Registro De Gaveta , Oval, Com Bolsas, Junta Elástica, Cabeçote, Ferro Dúctil, Ø350 Mm</v>
          </cell>
          <cell r="E2093" t="str">
            <v>un</v>
          </cell>
          <cell r="F2093"/>
          <cell r="G2093">
            <v>4522.1899999999996</v>
          </cell>
          <cell r="H2093">
            <v>0</v>
          </cell>
        </row>
        <row r="2094">
          <cell r="C2094" t="str">
            <v>10.2.4.50</v>
          </cell>
          <cell r="D2094" t="str">
            <v>Registro De Gaveta , Oval, Com Bolsas, Junta Elástica, Cabeçote, Ferro Dúctil, Ø400 Mm</v>
          </cell>
          <cell r="E2094" t="str">
            <v>un</v>
          </cell>
          <cell r="F2094"/>
          <cell r="G2094">
            <v>5421.12</v>
          </cell>
          <cell r="H2094">
            <v>0</v>
          </cell>
        </row>
        <row r="2095">
          <cell r="C2095" t="str">
            <v>10.2.4.51</v>
          </cell>
          <cell r="D2095" t="str">
            <v>Registro De Gaveta , Oval, Com Bolsas, Junta Elástica, Cabeçote, Ferro Dúctil, Ø450 Mm</v>
          </cell>
          <cell r="E2095" t="str">
            <v>un</v>
          </cell>
          <cell r="F2095"/>
          <cell r="G2095">
            <v>18242.28</v>
          </cell>
          <cell r="H2095">
            <v>0</v>
          </cell>
        </row>
        <row r="2096">
          <cell r="C2096" t="str">
            <v>10.2.4.52</v>
          </cell>
          <cell r="D2096" t="str">
            <v>Registro De Gaveta , Oval, Com Bolsas, Junta Elástica, Cabeçote, Ferro Dúctil, Ø500 Mm</v>
          </cell>
          <cell r="E2096" t="str">
            <v>un</v>
          </cell>
          <cell r="F2096"/>
          <cell r="G2096">
            <v>12389.47</v>
          </cell>
          <cell r="H2096">
            <v>0</v>
          </cell>
        </row>
        <row r="2097">
          <cell r="C2097" t="str">
            <v>10.2.4.53</v>
          </cell>
          <cell r="D2097" t="str">
            <v>Registro De Gaveta , Oval, Com Bolsas, Junta Elástica, Cabeçote, Ferro Dúctil, Ø600 Mm</v>
          </cell>
          <cell r="E2097" t="str">
            <v>un</v>
          </cell>
          <cell r="F2097"/>
          <cell r="G2097">
            <v>14870.12</v>
          </cell>
          <cell r="H2097">
            <v>0</v>
          </cell>
        </row>
        <row r="2098">
          <cell r="C2098" t="str">
            <v>10.2.4.54</v>
          </cell>
          <cell r="D2098" t="str">
            <v>Registro De Gaveta , Oval, Com Bolsas, Junta Elástica, Cabeçote, Ferro Dúctil, Ø800 Mm</v>
          </cell>
          <cell r="E2098" t="str">
            <v>un</v>
          </cell>
          <cell r="F2098"/>
          <cell r="G2098">
            <v>116668.8</v>
          </cell>
          <cell r="H2098">
            <v>0</v>
          </cell>
        </row>
        <row r="2099">
          <cell r="C2099" t="str">
            <v>10.2.4.55</v>
          </cell>
          <cell r="D2099" t="str">
            <v>Redução Com Ponta E Bolsa, Junta Elástica, Ferro Dúctil, Ø150 X 100 Mm.</v>
          </cell>
          <cell r="E2099" t="str">
            <v>un</v>
          </cell>
          <cell r="F2099"/>
          <cell r="G2099">
            <v>119.55</v>
          </cell>
          <cell r="H2099">
            <v>0</v>
          </cell>
        </row>
        <row r="2100">
          <cell r="C2100" t="str">
            <v>10.2.4.56</v>
          </cell>
          <cell r="D2100" t="str">
            <v>Redução Com Ponta E Bolsa, Junta Elástica, Ferro Dúctil, Ø200 X 100 Mm.</v>
          </cell>
          <cell r="E2100" t="str">
            <v>un</v>
          </cell>
          <cell r="F2100"/>
          <cell r="G2100">
            <v>170.13</v>
          </cell>
          <cell r="H2100">
            <v>0</v>
          </cell>
        </row>
        <row r="2101">
          <cell r="C2101" t="str">
            <v>10.2.4.57</v>
          </cell>
          <cell r="D2101" t="str">
            <v>Redução Com Ponta E Bolsa, Junta Elástica, Ferro Dúctil, Ø200 X 150 Mm.</v>
          </cell>
          <cell r="E2101" t="str">
            <v>un</v>
          </cell>
          <cell r="F2101"/>
          <cell r="G2101">
            <v>165.52</v>
          </cell>
          <cell r="H2101">
            <v>0</v>
          </cell>
        </row>
        <row r="2102">
          <cell r="C2102" t="str">
            <v>10.2.4.58</v>
          </cell>
          <cell r="D2102" t="str">
            <v>Redução Com Ponta E Bolsa, Junta Elástica, Ferro Dúctil, Ø250 X 150 Mm.</v>
          </cell>
          <cell r="E2102" t="str">
            <v>un</v>
          </cell>
          <cell r="F2102"/>
          <cell r="G2102">
            <v>232.2</v>
          </cell>
          <cell r="H2102">
            <v>0</v>
          </cell>
        </row>
        <row r="2103">
          <cell r="C2103" t="str">
            <v>10.2.4.59</v>
          </cell>
          <cell r="D2103" t="str">
            <v>Redução Com Ponta E Bolsa, Junta Elástica, Ferro Dúctil, Ø250 X 200 Mm.</v>
          </cell>
          <cell r="E2103" t="str">
            <v>un</v>
          </cell>
          <cell r="F2103"/>
          <cell r="G2103">
            <v>249.44</v>
          </cell>
          <cell r="H2103">
            <v>0</v>
          </cell>
        </row>
        <row r="2104">
          <cell r="C2104" t="str">
            <v>10.2.4.60</v>
          </cell>
          <cell r="D2104" t="str">
            <v>Redução Com Ponta E Bolsa, Junta Elástica, Ferro Dúctil, Ø300 X 150 Mm.</v>
          </cell>
          <cell r="E2104" t="str">
            <v>un</v>
          </cell>
          <cell r="F2104"/>
          <cell r="G2104">
            <v>308.68</v>
          </cell>
          <cell r="H2104">
            <v>0</v>
          </cell>
        </row>
        <row r="2105">
          <cell r="C2105" t="str">
            <v>10.2.4.61</v>
          </cell>
          <cell r="D2105" t="str">
            <v>Redução Com Ponta E Bolsa, Junta Elástica, Ferro Dúctil, Ø300 X 250 Mm.</v>
          </cell>
          <cell r="E2105" t="str">
            <v>un</v>
          </cell>
          <cell r="F2105"/>
          <cell r="G2105">
            <v>329.8</v>
          </cell>
          <cell r="H2105">
            <v>0</v>
          </cell>
        </row>
        <row r="2106">
          <cell r="C2106" t="str">
            <v>10.2.4.62</v>
          </cell>
          <cell r="D2106" t="str">
            <v>Redução Com Ponta E Bolsa, Junta Elástica, Ferro Dúctil, Ø350 X 200 Mm.</v>
          </cell>
          <cell r="E2106" t="str">
            <v>un</v>
          </cell>
          <cell r="F2106"/>
          <cell r="G2106">
            <v>455.2</v>
          </cell>
          <cell r="H2106">
            <v>0</v>
          </cell>
        </row>
        <row r="2107">
          <cell r="C2107" t="str">
            <v>10.2.4.63</v>
          </cell>
          <cell r="D2107" t="str">
            <v>Redução Com Ponta E Bolsa, Junta Elástica, Ferro Dúctil, Ø350 X 250 Mm.</v>
          </cell>
          <cell r="E2107" t="str">
            <v>un</v>
          </cell>
          <cell r="F2107"/>
          <cell r="G2107">
            <v>480.49</v>
          </cell>
          <cell r="H2107">
            <v>0</v>
          </cell>
        </row>
        <row r="2108">
          <cell r="C2108" t="str">
            <v>10.2.4.64</v>
          </cell>
          <cell r="D2108" t="str">
            <v>Redução Com Ponta E Bolsa, Junta Elástica, Ferro Dúctil, Ø350 X 300 Mm.</v>
          </cell>
          <cell r="E2108" t="str">
            <v>un</v>
          </cell>
          <cell r="F2108"/>
          <cell r="G2108">
            <v>505.78</v>
          </cell>
          <cell r="H2108">
            <v>0</v>
          </cell>
        </row>
        <row r="2109">
          <cell r="C2109" t="str">
            <v>10.2.4.65</v>
          </cell>
          <cell r="D2109" t="str">
            <v>Redução Com Ponta E Bolsa, Junta Elástica, Ferro Dúctil, Ø400 X 250 Mm.</v>
          </cell>
          <cell r="E2109" t="str">
            <v>un</v>
          </cell>
          <cell r="F2109"/>
          <cell r="G2109">
            <v>570.16</v>
          </cell>
          <cell r="H2109">
            <v>0</v>
          </cell>
        </row>
        <row r="2110">
          <cell r="C2110" t="str">
            <v>10.2.4.66</v>
          </cell>
          <cell r="D2110" t="str">
            <v>Redução Com Ponta E Bolsa, Junta Elástica, Ferro Dúctil, Ø400 X 300 Mm.</v>
          </cell>
          <cell r="E2110" t="str">
            <v>un</v>
          </cell>
          <cell r="F2110"/>
          <cell r="G2110">
            <v>514.12</v>
          </cell>
          <cell r="H2110">
            <v>0</v>
          </cell>
        </row>
        <row r="2111">
          <cell r="C2111" t="str">
            <v>10.2.4.67</v>
          </cell>
          <cell r="D2111" t="str">
            <v>Redução Com Ponta E Bolsa, Junta Elástica, Ferro Dúctil, Ø400 X 350 Mm.</v>
          </cell>
          <cell r="E2111" t="str">
            <v>un</v>
          </cell>
          <cell r="F2111"/>
          <cell r="G2111">
            <v>632.22</v>
          </cell>
          <cell r="H2111">
            <v>0</v>
          </cell>
        </row>
        <row r="2112">
          <cell r="C2112" t="str">
            <v>10.2.4.68</v>
          </cell>
          <cell r="D2112" t="str">
            <v>Redução Com Ponta E Bolsa, Junta Elástica, Ferro Dúctil, Ø450 X 400 Mm.</v>
          </cell>
          <cell r="E2112" t="str">
            <v>un</v>
          </cell>
          <cell r="F2112"/>
          <cell r="G2112">
            <v>797.76</v>
          </cell>
          <cell r="H2112">
            <v>0</v>
          </cell>
        </row>
        <row r="2113">
          <cell r="C2113" t="str">
            <v>10.2.4.69</v>
          </cell>
          <cell r="D2113" t="str">
            <v>Redução Com Ponta E Bolsa, Junta Elástica, Ferro Dúctil, Ø500 X 350 Mm.</v>
          </cell>
          <cell r="E2113" t="str">
            <v>un</v>
          </cell>
          <cell r="F2113"/>
          <cell r="G2113">
            <v>823.06</v>
          </cell>
          <cell r="H2113">
            <v>0</v>
          </cell>
        </row>
        <row r="2114">
          <cell r="C2114" t="str">
            <v>10.2.4.70</v>
          </cell>
          <cell r="D2114" t="str">
            <v>Redução Com Ponta E Bolsa, Junta Elástica, Ferro Dúctil, Ø500 X 450 Mm.</v>
          </cell>
          <cell r="E2114" t="str">
            <v>un</v>
          </cell>
          <cell r="F2114"/>
          <cell r="G2114">
            <v>1011.57</v>
          </cell>
          <cell r="H2114">
            <v>0</v>
          </cell>
        </row>
        <row r="2115">
          <cell r="C2115" t="str">
            <v>10.2.4.71</v>
          </cell>
          <cell r="D2115" t="str">
            <v>Redução Com Ponta E Bolsa, Junta Elástica, Ferro Dúctil, Ø600 X 400 Mm.</v>
          </cell>
          <cell r="E2115" t="str">
            <v>un</v>
          </cell>
          <cell r="F2115"/>
          <cell r="G2115">
            <v>1308.27</v>
          </cell>
          <cell r="H2115">
            <v>0</v>
          </cell>
        </row>
        <row r="2116">
          <cell r="C2116" t="str">
            <v>10.2.4.72</v>
          </cell>
          <cell r="D2116" t="str">
            <v>Redução Com Ponta E Bolsa, Junta Elástica, Ferro Dúctil, Ø600 X 500 Mm.</v>
          </cell>
          <cell r="E2116" t="str">
            <v>un</v>
          </cell>
          <cell r="F2116"/>
          <cell r="G2116">
            <v>1354.12</v>
          </cell>
          <cell r="H2116">
            <v>0</v>
          </cell>
        </row>
        <row r="2117">
          <cell r="C2117" t="str">
            <v>10.2.4.73</v>
          </cell>
          <cell r="D2117" t="str">
            <v xml:space="preserve">Tê Com Bolsas, Junta Elástica, Ferro Dúctil, Ø100 X 100 Mm. </v>
          </cell>
          <cell r="E2117" t="str">
            <v>un</v>
          </cell>
          <cell r="F2117"/>
          <cell r="G2117">
            <v>147.13</v>
          </cell>
          <cell r="H2117">
            <v>0</v>
          </cell>
        </row>
        <row r="2118">
          <cell r="C2118" t="str">
            <v>10.2.4.74</v>
          </cell>
          <cell r="D2118" t="str">
            <v xml:space="preserve">Tê Com Bolsas, Junta Elástica, Ferro Dúctil, Ø150 X 150 Mm. </v>
          </cell>
          <cell r="E2118" t="str">
            <v>un</v>
          </cell>
          <cell r="F2118"/>
          <cell r="G2118">
            <v>271.29000000000002</v>
          </cell>
          <cell r="H2118">
            <v>0</v>
          </cell>
        </row>
        <row r="2119">
          <cell r="C2119" t="str">
            <v>10.2.4.75</v>
          </cell>
          <cell r="D2119" t="str">
            <v xml:space="preserve">Tê Com Bolsas, Junta Elástica, Ferro Dúctil, Ø150 X 100 Mm. </v>
          </cell>
          <cell r="E2119" t="str">
            <v>un</v>
          </cell>
          <cell r="F2119"/>
          <cell r="G2119">
            <v>177.02</v>
          </cell>
          <cell r="H2119">
            <v>0</v>
          </cell>
        </row>
        <row r="2120">
          <cell r="C2120" t="str">
            <v>10.2.4.76</v>
          </cell>
          <cell r="D2120" t="str">
            <v xml:space="preserve">Tê Com Bolsas, Junta Elástica, Ferro Dúctil, Ø200 X 100 Mm. </v>
          </cell>
          <cell r="E2120" t="str">
            <v>un</v>
          </cell>
          <cell r="F2120"/>
          <cell r="G2120">
            <v>338.31</v>
          </cell>
          <cell r="H2120">
            <v>0</v>
          </cell>
        </row>
        <row r="2121">
          <cell r="C2121" t="str">
            <v>10.2.4.77</v>
          </cell>
          <cell r="D2121" t="str">
            <v xml:space="preserve">Tê Com Bolsas, Junta Elástica, Ferro Dúctil, Ø200 X 200 Mm. </v>
          </cell>
          <cell r="E2121" t="str">
            <v>un</v>
          </cell>
          <cell r="F2121"/>
          <cell r="G2121">
            <v>446.01</v>
          </cell>
          <cell r="H2121">
            <v>0</v>
          </cell>
        </row>
        <row r="2122">
          <cell r="C2122" t="str">
            <v>10.2.4.78</v>
          </cell>
          <cell r="D2122" t="str">
            <v xml:space="preserve">Tê Com Bolsas, Junta Elástica, Ferro Dúctil, Ø250 X 100 Mm. </v>
          </cell>
          <cell r="E2122" t="str">
            <v>un</v>
          </cell>
          <cell r="F2122"/>
          <cell r="G2122">
            <v>418.6</v>
          </cell>
          <cell r="H2122">
            <v>0</v>
          </cell>
        </row>
        <row r="2123">
          <cell r="C2123" t="str">
            <v>10.2.4.79</v>
          </cell>
          <cell r="D2123" t="str">
            <v xml:space="preserve">Tê Com Bolsas, Junta Elástica, Ferro Dúctil, Ø250 X 250 Mm. </v>
          </cell>
          <cell r="E2123" t="str">
            <v>un</v>
          </cell>
          <cell r="F2123"/>
          <cell r="G2123">
            <v>570.16</v>
          </cell>
          <cell r="H2123">
            <v>0</v>
          </cell>
        </row>
        <row r="2124">
          <cell r="C2124" t="str">
            <v>10.2.4.80</v>
          </cell>
          <cell r="D2124" t="str">
            <v xml:space="preserve">Tê Com Bolsas, Junta Elástica, Ferro Dúctil, Ø300 X 100 Mm. </v>
          </cell>
          <cell r="E2124" t="str">
            <v>un</v>
          </cell>
          <cell r="F2124"/>
          <cell r="G2124">
            <v>541.24</v>
          </cell>
          <cell r="H2124">
            <v>0</v>
          </cell>
        </row>
        <row r="2125">
          <cell r="C2125" t="str">
            <v>10.2.4.81</v>
          </cell>
          <cell r="D2125" t="str">
            <v xml:space="preserve">Tê Com Bolsas, Junta Elástica, Ferro Dúctil, Ø300 X 150 Mm. </v>
          </cell>
          <cell r="E2125" t="str">
            <v>un</v>
          </cell>
          <cell r="F2125"/>
          <cell r="G2125">
            <v>581.64</v>
          </cell>
          <cell r="H2125">
            <v>0</v>
          </cell>
        </row>
        <row r="2126">
          <cell r="C2126" t="str">
            <v>10.2.4.82</v>
          </cell>
          <cell r="D2126" t="str">
            <v xml:space="preserve">Tê Com Bolsas, Junta Elástica, Ferro Dúctil, Ø300 X 300 Mm. </v>
          </cell>
          <cell r="E2126" t="str">
            <v>un</v>
          </cell>
          <cell r="F2126"/>
          <cell r="G2126">
            <v>828.76</v>
          </cell>
          <cell r="H2126">
            <v>0</v>
          </cell>
        </row>
        <row r="2127">
          <cell r="C2127" t="str">
            <v>10.2.4.83</v>
          </cell>
          <cell r="D2127" t="str">
            <v xml:space="preserve">Tê Com Bolsas, Junta Elástica, Ferro Dúctil, Ø400 X 100 Mm. </v>
          </cell>
          <cell r="E2127" t="str">
            <v>un</v>
          </cell>
          <cell r="F2127"/>
          <cell r="G2127">
            <v>866.73</v>
          </cell>
          <cell r="H2127">
            <v>0</v>
          </cell>
        </row>
        <row r="2128">
          <cell r="C2128" t="str">
            <v>10.2.4.84</v>
          </cell>
          <cell r="D2128" t="str">
            <v xml:space="preserve">Tê Com Bolsas, Junta Elástica, Ferro Dúctil, Ø400 X 200 Mm. </v>
          </cell>
          <cell r="E2128" t="str">
            <v>un</v>
          </cell>
          <cell r="F2128"/>
          <cell r="G2128">
            <v>915.63</v>
          </cell>
          <cell r="H2128">
            <v>0</v>
          </cell>
        </row>
        <row r="2129">
          <cell r="C2129" t="str">
            <v>10.2.4.85</v>
          </cell>
          <cell r="D2129" t="str">
            <v xml:space="preserve">Tê Com Bolsas, Junta Elástica, Ferro Dúctil, Ø400 X 400 Mm. </v>
          </cell>
          <cell r="E2129" t="str">
            <v>un</v>
          </cell>
          <cell r="F2129"/>
          <cell r="G2129">
            <v>1534.91</v>
          </cell>
          <cell r="H2129">
            <v>0</v>
          </cell>
        </row>
        <row r="2130">
          <cell r="C2130" t="str">
            <v>10.2.4.86</v>
          </cell>
          <cell r="D2130" t="str">
            <v xml:space="preserve">Tê Com Bolsas, Junta Elástica, Ferro Dúctil, Ø500 X 100 Mm. </v>
          </cell>
          <cell r="E2130" t="str">
            <v>un</v>
          </cell>
          <cell r="F2130"/>
          <cell r="G2130">
            <v>910.41</v>
          </cell>
          <cell r="H2130">
            <v>0</v>
          </cell>
        </row>
        <row r="2131">
          <cell r="C2131" t="str">
            <v>10.2.4.87</v>
          </cell>
          <cell r="D2131" t="str">
            <v xml:space="preserve">Tê Com Bolsas, Junta Elástica, Ferro Dúctil, Ø500 X 200 Mm. </v>
          </cell>
          <cell r="E2131" t="str">
            <v>un</v>
          </cell>
          <cell r="F2131"/>
          <cell r="G2131">
            <v>1455.28</v>
          </cell>
          <cell r="H2131">
            <v>0</v>
          </cell>
        </row>
        <row r="2132">
          <cell r="C2132" t="str">
            <v>10.2.4.88</v>
          </cell>
          <cell r="D2132" t="str">
            <v xml:space="preserve">Tê Com Bolsas, Junta Elástica, Ferro Dúctil, Ø500 X 300 Mm. </v>
          </cell>
          <cell r="E2132" t="str">
            <v>un</v>
          </cell>
          <cell r="F2132"/>
          <cell r="G2132">
            <v>1390.58</v>
          </cell>
          <cell r="H2132">
            <v>0</v>
          </cell>
        </row>
        <row r="2133">
          <cell r="C2133" t="str">
            <v>10.2.4.89</v>
          </cell>
          <cell r="D2133" t="str">
            <v xml:space="preserve">Tê Com Bolsas, Junta Elástica, Ferro Dúctil, Ø500 X 500 Mm. </v>
          </cell>
          <cell r="E2133" t="str">
            <v>un</v>
          </cell>
          <cell r="F2133"/>
          <cell r="G2133">
            <v>2402.48</v>
          </cell>
          <cell r="H2133">
            <v>0</v>
          </cell>
        </row>
        <row r="2134">
          <cell r="C2134" t="str">
            <v>10.2.4.90</v>
          </cell>
          <cell r="D2134" t="str">
            <v xml:space="preserve">Tê Com Bolsas, Junta Elástica, Ferro Dúctil, Ø600 X 100 Mm. </v>
          </cell>
          <cell r="E2134" t="str">
            <v>un</v>
          </cell>
          <cell r="F2134"/>
          <cell r="G2134">
            <v>1770.25</v>
          </cell>
          <cell r="H2134">
            <v>0</v>
          </cell>
        </row>
        <row r="2135">
          <cell r="C2135" t="str">
            <v>10.2.4.91</v>
          </cell>
          <cell r="D2135" t="str">
            <v xml:space="preserve">Tê Com Bolsas, Junta Elástica, Ferro Dúctil, Ø600 X 200 Mm. </v>
          </cell>
          <cell r="E2135" t="str">
            <v>un</v>
          </cell>
          <cell r="F2135"/>
          <cell r="G2135">
            <v>1990.97</v>
          </cell>
          <cell r="H2135">
            <v>0</v>
          </cell>
        </row>
        <row r="2136">
          <cell r="C2136" t="str">
            <v>10.2.4.92</v>
          </cell>
          <cell r="D2136" t="str">
            <v xml:space="preserve">Tê Com Bolsas, Junta Elástica, Ferro Dúctil, Ø600 X 400 Mm. </v>
          </cell>
          <cell r="E2136" t="str">
            <v>un</v>
          </cell>
          <cell r="F2136"/>
          <cell r="G2136">
            <v>2446.15</v>
          </cell>
          <cell r="H2136">
            <v>0</v>
          </cell>
        </row>
        <row r="2137">
          <cell r="C2137" t="str">
            <v>10.2.4.93</v>
          </cell>
          <cell r="D2137" t="str">
            <v xml:space="preserve">Tê Com Bolsas, Junta Elástica, Ferro Dúctil, Ø600 X 600 Mm. </v>
          </cell>
          <cell r="E2137" t="str">
            <v>un</v>
          </cell>
          <cell r="F2137"/>
          <cell r="G2137">
            <v>3436.73</v>
          </cell>
          <cell r="H2137">
            <v>0</v>
          </cell>
        </row>
        <row r="2138">
          <cell r="C2138" t="str">
            <v>10.2.4.94</v>
          </cell>
          <cell r="D2138" t="str">
            <v xml:space="preserve">Tê Com Bolsas, Junta Elástica, E Flange, Ferro Dúctil, Ø1000 X 1000 Mm. </v>
          </cell>
          <cell r="E2138" t="str">
            <v>un</v>
          </cell>
          <cell r="F2138"/>
          <cell r="G2138">
            <v>16051.81</v>
          </cell>
          <cell r="H2138">
            <v>0</v>
          </cell>
        </row>
        <row r="2139">
          <cell r="C2139" t="str">
            <v>10.2.4.95</v>
          </cell>
          <cell r="D2139" t="str">
            <v xml:space="preserve">Tê Com Bolsas, Junta Elástica, E Flange, Ferro Dúctil, Ø300 X 150 Mm. </v>
          </cell>
          <cell r="E2139" t="str">
            <v>un</v>
          </cell>
          <cell r="F2139"/>
          <cell r="G2139">
            <v>756.38</v>
          </cell>
          <cell r="H2139">
            <v>0</v>
          </cell>
        </row>
        <row r="2140">
          <cell r="C2140" t="str">
            <v>10.2.4.96</v>
          </cell>
          <cell r="D2140" t="str">
            <v xml:space="preserve">Tê Com Bolsas, Junta Elástica, E Flange, Ferro Dúctil, Ø350 X 100 Mm. </v>
          </cell>
          <cell r="E2140" t="str">
            <v>un</v>
          </cell>
          <cell r="F2140"/>
          <cell r="G2140">
            <v>593.96</v>
          </cell>
          <cell r="H2140">
            <v>0</v>
          </cell>
        </row>
        <row r="2141">
          <cell r="C2141" t="str">
            <v>10.2.4.97</v>
          </cell>
          <cell r="D2141" t="str">
            <v xml:space="preserve">Tê Com Bolsas, Junta Elástica, E Flange, Ferro Dúctil, Ø350 X 200 Mm. </v>
          </cell>
          <cell r="E2141" t="str">
            <v>un</v>
          </cell>
          <cell r="F2141"/>
          <cell r="G2141">
            <v>1303.54</v>
          </cell>
          <cell r="H2141">
            <v>0</v>
          </cell>
        </row>
        <row r="2142">
          <cell r="C2142" t="str">
            <v>10.2.4.98</v>
          </cell>
          <cell r="D2142" t="str">
            <v xml:space="preserve">Tê Com Bolsas, Junta Elástica, E Flange, Ferro Dúctil, Ø350 X 350 Mm. </v>
          </cell>
          <cell r="E2142" t="str">
            <v>un</v>
          </cell>
          <cell r="F2142"/>
          <cell r="G2142">
            <v>1834.64</v>
          </cell>
          <cell r="H2142">
            <v>0</v>
          </cell>
        </row>
        <row r="2143">
          <cell r="C2143" t="str">
            <v>10.2.4.99</v>
          </cell>
          <cell r="D2143" t="str">
            <v xml:space="preserve">Tê Com Bolsas, Junta Elástica, E Flange, Ferro Dúctil, Ø450 X 100 Mm. </v>
          </cell>
          <cell r="E2143" t="str">
            <v>un</v>
          </cell>
          <cell r="F2143"/>
          <cell r="G2143">
            <v>1163.32</v>
          </cell>
          <cell r="H2143">
            <v>0</v>
          </cell>
        </row>
        <row r="2144">
          <cell r="C2144" t="str">
            <v>10.2.4.100</v>
          </cell>
          <cell r="D2144" t="str">
            <v xml:space="preserve">Tê Com Bolsas, Junta Elástica, E Flange, Ferro Dúctil, Ø450 X 200 Mm. </v>
          </cell>
          <cell r="E2144" t="str">
            <v>un</v>
          </cell>
          <cell r="F2144"/>
          <cell r="G2144">
            <v>1892.09</v>
          </cell>
          <cell r="H2144">
            <v>0</v>
          </cell>
        </row>
        <row r="2145">
          <cell r="C2145" t="str">
            <v>10.2.4.101</v>
          </cell>
          <cell r="D2145" t="str">
            <v xml:space="preserve">Tê Com Bolsas, Junta Elástica, E Flange, Ferro Dúctil, Ø450 X 400 Mm. </v>
          </cell>
          <cell r="E2145" t="str">
            <v>un</v>
          </cell>
          <cell r="F2145"/>
          <cell r="G2145">
            <v>3535.5</v>
          </cell>
          <cell r="H2145">
            <v>0</v>
          </cell>
        </row>
        <row r="2146">
          <cell r="C2146" t="str">
            <v>10.2.4.102</v>
          </cell>
          <cell r="D2146" t="str">
            <v xml:space="preserve">Tê Com Bolsas, Junta Elástica, E Flange, Ferro Dúctil, Ø500 X 200 Mm. </v>
          </cell>
          <cell r="E2146" t="str">
            <v>un</v>
          </cell>
          <cell r="F2146"/>
          <cell r="G2146">
            <v>2011.64</v>
          </cell>
          <cell r="H2146">
            <v>0</v>
          </cell>
        </row>
        <row r="2147">
          <cell r="C2147" t="str">
            <v>10.2.4.103</v>
          </cell>
          <cell r="D2147" t="str">
            <v xml:space="preserve">Tê Com Bolsas, Junta Elástica, E Flange, Ferro Dúctil, Ø700 X 200 Mm. </v>
          </cell>
          <cell r="E2147" t="str">
            <v>un</v>
          </cell>
          <cell r="F2147"/>
          <cell r="G2147">
            <v>3172.66</v>
          </cell>
          <cell r="H2147">
            <v>0</v>
          </cell>
        </row>
        <row r="2148">
          <cell r="C2148" t="str">
            <v>10.2.4.104</v>
          </cell>
          <cell r="D2148" t="str">
            <v xml:space="preserve">Tê Com Bolsas, Junta Elástica, E Flange, Ferro Dúctil, Ø800 X 800 Mm. </v>
          </cell>
          <cell r="E2148" t="str">
            <v>un</v>
          </cell>
          <cell r="F2148"/>
          <cell r="G2148">
            <v>8665.0400000000009</v>
          </cell>
          <cell r="H2148">
            <v>0</v>
          </cell>
        </row>
        <row r="2149">
          <cell r="C2149" t="str">
            <v>10.2.4.105</v>
          </cell>
          <cell r="D2149" t="str">
            <v xml:space="preserve">Tê Com Bolsas, Junta Elástica, E Flange, Ferro Dúctil, Ø900 X 900 Mm. </v>
          </cell>
          <cell r="E2149" t="str">
            <v>un</v>
          </cell>
          <cell r="F2149"/>
          <cell r="G2149">
            <v>12741.02</v>
          </cell>
          <cell r="H2149">
            <v>0</v>
          </cell>
        </row>
        <row r="2150">
          <cell r="C2150" t="str">
            <v>10.2.4.106</v>
          </cell>
          <cell r="D2150" t="str">
            <v xml:space="preserve">Tê Com Bolsas, Junta Elástica, E Flange, Ferro Dúctil, Ø900 X 200 Mm. </v>
          </cell>
          <cell r="E2150" t="str">
            <v>un</v>
          </cell>
          <cell r="F2150"/>
          <cell r="G2150">
            <v>4425.63</v>
          </cell>
          <cell r="H2150">
            <v>0</v>
          </cell>
        </row>
        <row r="2151">
          <cell r="C2151" t="str">
            <v>10.2.4.107</v>
          </cell>
          <cell r="D2151" t="str">
            <v>Tubo Com Ponta E Bolsa, Junta Elástica, Pvc, Pn 125, Ø100 Mm</v>
          </cell>
          <cell r="E2151" t="str">
            <v>m</v>
          </cell>
          <cell r="F2151"/>
          <cell r="G2151">
            <v>20.95</v>
          </cell>
          <cell r="H2151">
            <v>0</v>
          </cell>
        </row>
        <row r="2152">
          <cell r="C2152" t="str">
            <v>10.2.4.108</v>
          </cell>
          <cell r="D2152" t="str">
            <v>Tê Com Bolsas (Junta Travada) Ferro Dúctil Ø450 X 100 Mm</v>
          </cell>
          <cell r="E2152" t="str">
            <v>un</v>
          </cell>
          <cell r="F2152"/>
          <cell r="G2152">
            <v>1138.02</v>
          </cell>
          <cell r="H2152">
            <v>0</v>
          </cell>
        </row>
        <row r="2153">
          <cell r="C2153" t="str">
            <v>10.2.4.109</v>
          </cell>
          <cell r="D2153" t="str">
            <v>Tubo Com Ponta E Bolsa, Junta Elástica, Pvc, Pn 125, Ø150 Mm</v>
          </cell>
          <cell r="E2153" t="str">
            <v>m</v>
          </cell>
          <cell r="F2153"/>
          <cell r="G2153">
            <v>41.08</v>
          </cell>
          <cell r="H2153">
            <v>0</v>
          </cell>
        </row>
        <row r="2154">
          <cell r="C2154" t="str">
            <v>10.2.4.110</v>
          </cell>
          <cell r="D2154" t="str">
            <v>Cruzeta Com Bolsas, Junta Elástica, Ferro Dúctil, Ø100 X 100 Mm</v>
          </cell>
          <cell r="E2154" t="str">
            <v>un</v>
          </cell>
          <cell r="F2154"/>
          <cell r="G2154">
            <v>177.02</v>
          </cell>
          <cell r="H2154">
            <v>0</v>
          </cell>
        </row>
        <row r="2155">
          <cell r="C2155" t="str">
            <v>10.2.4.111</v>
          </cell>
          <cell r="D2155" t="str">
            <v>Cruzeta Com Bolsas, Junta Elástica, Ferro Dúctil, Ø150 X 100 Mm</v>
          </cell>
          <cell r="E2155" t="str">
            <v>un</v>
          </cell>
          <cell r="F2155"/>
          <cell r="G2155">
            <v>274.36</v>
          </cell>
          <cell r="H2155">
            <v>0</v>
          </cell>
        </row>
        <row r="2156">
          <cell r="C2156" t="str">
            <v>10.2.4.112</v>
          </cell>
          <cell r="D2156" t="str">
            <v>Cruzeta Com Bolsas, Junta Elástica, Ferro Dúctil, Ø150 X 150 Mm</v>
          </cell>
          <cell r="E2156" t="str">
            <v>un</v>
          </cell>
          <cell r="F2156"/>
          <cell r="G2156">
            <v>292.05</v>
          </cell>
          <cell r="H2156">
            <v>0</v>
          </cell>
        </row>
        <row r="2157">
          <cell r="C2157" t="str">
            <v>10.2.4.113</v>
          </cell>
          <cell r="D2157" t="str">
            <v>Cruzeta Com Bolsas, Junta Elástica, Ferro Dúctil, Ø200 X 100 Mm</v>
          </cell>
          <cell r="E2157" t="str">
            <v>un</v>
          </cell>
          <cell r="F2157"/>
          <cell r="G2157">
            <v>372.45</v>
          </cell>
          <cell r="H2157">
            <v>0</v>
          </cell>
        </row>
        <row r="2158">
          <cell r="C2158" t="str">
            <v>10.2.4.114</v>
          </cell>
          <cell r="D2158" t="str">
            <v>Cruzeta Com Bolsas, Junta Elástica, Ferro Dúctil, Ø250 X 100 Mm</v>
          </cell>
          <cell r="E2158" t="str">
            <v>un</v>
          </cell>
          <cell r="F2158"/>
          <cell r="G2158">
            <v>489.69</v>
          </cell>
          <cell r="H2158">
            <v>0</v>
          </cell>
        </row>
        <row r="2159">
          <cell r="C2159" t="str">
            <v>10.2.4.115</v>
          </cell>
          <cell r="D2159" t="str">
            <v>Cruzeta Com Bolsas, Junta Elástica, Ferro Dúctil, Ø300 X 100 Mm</v>
          </cell>
          <cell r="E2159" t="str">
            <v>un</v>
          </cell>
          <cell r="F2159"/>
          <cell r="G2159">
            <v>655.22</v>
          </cell>
          <cell r="H2159">
            <v>0</v>
          </cell>
        </row>
        <row r="2160">
          <cell r="C2160" t="str">
            <v>10.2.4.116</v>
          </cell>
          <cell r="D2160" t="str">
            <v>Cruzeta Com Bolsas, Junta Elástica, Ferro Dúctil, Ø400 X 100 Mm</v>
          </cell>
          <cell r="E2160" t="str">
            <v>un</v>
          </cell>
          <cell r="F2160"/>
          <cell r="G2160">
            <v>910.41</v>
          </cell>
          <cell r="H2160">
            <v>0</v>
          </cell>
        </row>
        <row r="2161">
          <cell r="C2161" t="str">
            <v>10.2.4.117</v>
          </cell>
          <cell r="D2161" t="str">
            <v>Cruzeta Com Bolsas, Junta Elástica, Ferro Dúctil, Ø400 X 200 Mm</v>
          </cell>
          <cell r="E2161" t="str">
            <v>un</v>
          </cell>
          <cell r="F2161"/>
          <cell r="G2161">
            <v>1227.68</v>
          </cell>
          <cell r="H2161">
            <v>0</v>
          </cell>
        </row>
        <row r="2162">
          <cell r="C2162" t="str">
            <v>10.2.4.118</v>
          </cell>
          <cell r="D2162" t="str">
            <v>Cruzeta Com Bolsas, Junta Elástica, Ferro Dúctil, Ø500 X 100 Mm</v>
          </cell>
          <cell r="E2162" t="str">
            <v>un</v>
          </cell>
          <cell r="F2162"/>
          <cell r="G2162">
            <v>961</v>
          </cell>
          <cell r="H2162">
            <v>0</v>
          </cell>
        </row>
        <row r="2163">
          <cell r="C2163" t="str">
            <v>10.2.4.119</v>
          </cell>
          <cell r="D2163" t="str">
            <v>Cruzeta Com Bolsas, Junta Elástica, Ferro Dúctil, Ø500 X 500 Mm</v>
          </cell>
          <cell r="E2163" t="str">
            <v>un</v>
          </cell>
          <cell r="F2163"/>
          <cell r="G2163">
            <v>2846.21</v>
          </cell>
          <cell r="H2163">
            <v>0</v>
          </cell>
        </row>
        <row r="2164">
          <cell r="C2164" t="str">
            <v>10.2.4.120</v>
          </cell>
          <cell r="D2164" t="str">
            <v>Cruzeta Com Bolsas, Junta Elástica, Ferro Dúctil, Ø600 X 400 Mm</v>
          </cell>
          <cell r="E2164" t="str">
            <v>un</v>
          </cell>
          <cell r="F2164"/>
          <cell r="G2164">
            <v>3338.18</v>
          </cell>
          <cell r="H2164">
            <v>0</v>
          </cell>
        </row>
        <row r="2165">
          <cell r="C2165" t="str">
            <v>10.2.4.121</v>
          </cell>
          <cell r="D2165" t="str">
            <v>Tubo De Ferro Dúctil, Com Ponta E Bolsa, Junta Elástica, Classe 1 Mpa, Ø150 Mm.</v>
          </cell>
          <cell r="E2165" t="str">
            <v>m</v>
          </cell>
          <cell r="F2165"/>
          <cell r="G2165">
            <v>113.62</v>
          </cell>
          <cell r="H2165">
            <v>0</v>
          </cell>
        </row>
        <row r="2166">
          <cell r="C2166" t="str">
            <v>10.2.4.122</v>
          </cell>
          <cell r="D2166" t="str">
            <v>Tubo De Ferro Dúctil, Com Ponta E Bolsa, Junta Elástica, Classe 1 Mpa, Ø200 Mm.</v>
          </cell>
          <cell r="E2166" t="str">
            <v>m</v>
          </cell>
          <cell r="F2166"/>
          <cell r="G2166">
            <v>153.38</v>
          </cell>
          <cell r="H2166">
            <v>0</v>
          </cell>
        </row>
        <row r="2167">
          <cell r="C2167" t="str">
            <v>10.2.4.123</v>
          </cell>
          <cell r="D2167" t="str">
            <v>Tubo De Ferro Dúctil, Com Ponta E Bolsa, Junta Elástica, Classe 1 Mpa, Ø250 Mm.</v>
          </cell>
          <cell r="E2167" t="str">
            <v>m</v>
          </cell>
          <cell r="F2167"/>
          <cell r="G2167">
            <v>196.4</v>
          </cell>
          <cell r="H2167">
            <v>0</v>
          </cell>
        </row>
        <row r="2168">
          <cell r="C2168" t="str">
            <v>10.2.4.124</v>
          </cell>
          <cell r="D2168" t="str">
            <v>Tubo De Ferro Dúctil, Com Ponta E Bolsa, Junta Elástica, Classe 1 Mpa, Ø300 Mm.</v>
          </cell>
          <cell r="E2168" t="str">
            <v>m</v>
          </cell>
          <cell r="F2168"/>
          <cell r="G2168">
            <v>201.62</v>
          </cell>
          <cell r="H2168">
            <v>0</v>
          </cell>
        </row>
        <row r="2169">
          <cell r="C2169" t="str">
            <v>10.2.4.125</v>
          </cell>
          <cell r="D2169" t="str">
            <v>Tubo De Ferro Dúctil, Com Ponta E Bolsa, Junta Elástica, Classe K7, Ø350 Mm.</v>
          </cell>
          <cell r="E2169" t="str">
            <v>m</v>
          </cell>
          <cell r="F2169"/>
          <cell r="G2169">
            <v>227.45</v>
          </cell>
          <cell r="H2169">
            <v>0</v>
          </cell>
        </row>
        <row r="2170">
          <cell r="C2170" t="str">
            <v>10.2.4.126</v>
          </cell>
          <cell r="D2170" t="str">
            <v>Tubo De Ferro Dúctil, Com Ponta E Bolsa, Junta Elástica, Classe K7, Ø400 Mm.</v>
          </cell>
          <cell r="E2170" t="str">
            <v>m</v>
          </cell>
          <cell r="F2170"/>
          <cell r="G2170">
            <v>251.77</v>
          </cell>
          <cell r="H2170">
            <v>0</v>
          </cell>
        </row>
        <row r="2171">
          <cell r="C2171" t="str">
            <v>10.2.4.127</v>
          </cell>
          <cell r="D2171" t="str">
            <v>Tubo De Ferro Dúctil, Com Ponta E Bolsa, Junta Elástica, Classe K7, Ø450 Mm.</v>
          </cell>
          <cell r="E2171" t="str">
            <v>m</v>
          </cell>
          <cell r="F2171"/>
          <cell r="G2171">
            <v>337.01</v>
          </cell>
          <cell r="H2171">
            <v>0</v>
          </cell>
        </row>
        <row r="2172">
          <cell r="C2172" t="str">
            <v>10.2.4.128</v>
          </cell>
          <cell r="D2172" t="str">
            <v>Tubo De Ferro Dúctil, Com Ponta E Bolsa, Junta Elástica, Classe K7, Ø500 Mm.</v>
          </cell>
          <cell r="E2172" t="str">
            <v>m</v>
          </cell>
          <cell r="F2172"/>
          <cell r="G2172">
            <v>391.23</v>
          </cell>
          <cell r="H2172">
            <v>0</v>
          </cell>
        </row>
        <row r="2173">
          <cell r="C2173" t="str">
            <v>10.2.4.129</v>
          </cell>
          <cell r="D2173" t="str">
            <v>Tubo De Ferro Dúctil, Com Ponta E Bolsa, Junta Elástica, Classe K7, Ø600 Mm.</v>
          </cell>
          <cell r="E2173" t="str">
            <v>m</v>
          </cell>
          <cell r="F2173"/>
          <cell r="G2173">
            <v>506.89</v>
          </cell>
          <cell r="H2173">
            <v>0</v>
          </cell>
        </row>
        <row r="2174">
          <cell r="C2174" t="str">
            <v>10.2.4.130</v>
          </cell>
          <cell r="D2174" t="str">
            <v>Tubo De Ferro Dúctil, Com Ponta E Bolsa, Junta Elástica, Classe K7, Ø700 Mm.</v>
          </cell>
          <cell r="E2174" t="str">
            <v>m</v>
          </cell>
          <cell r="F2174"/>
          <cell r="G2174">
            <v>618.16</v>
          </cell>
          <cell r="H2174">
            <v>0</v>
          </cell>
        </row>
        <row r="2175">
          <cell r="C2175" t="str">
            <v>10.2.4.131</v>
          </cell>
          <cell r="D2175" t="str">
            <v>Tubo De Ferro Dúctil, Com Ponta E Bolsa, Junta Elástica, Classe K7, Ø800 Mm.</v>
          </cell>
          <cell r="E2175" t="str">
            <v>m</v>
          </cell>
          <cell r="F2175"/>
          <cell r="G2175">
            <v>699</v>
          </cell>
          <cell r="H2175">
            <v>0</v>
          </cell>
        </row>
        <row r="2176">
          <cell r="C2176" t="str">
            <v>10.2.4.132</v>
          </cell>
          <cell r="D2176" t="str">
            <v>Tubo De Ferro Dúctil, Com Ponta E Bolsa, Junta Elástica, Classe K7, Ø900 Mm.</v>
          </cell>
          <cell r="E2176" t="str">
            <v>m</v>
          </cell>
          <cell r="F2176"/>
          <cell r="G2176">
            <v>841.01</v>
          </cell>
          <cell r="H2176">
            <v>0</v>
          </cell>
        </row>
        <row r="2177">
          <cell r="C2177" t="str">
            <v>10.2.4.133</v>
          </cell>
          <cell r="D2177" t="str">
            <v>Cruzeta Com Bolsas, Junta Elástica, Ferro Ductil, Ø 250 X 250 Mm</v>
          </cell>
          <cell r="E2177" t="str">
            <v>un</v>
          </cell>
          <cell r="F2177"/>
          <cell r="G2177">
            <v>626.07000000000005</v>
          </cell>
          <cell r="H2177">
            <v>0</v>
          </cell>
        </row>
        <row r="2178">
          <cell r="C2178" t="str">
            <v>10.2.4.134</v>
          </cell>
          <cell r="D2178" t="str">
            <v>Cruzeta Com Bolsas, Junta Elástica, Ferro Ductil, Ø 350 X 100 Mm</v>
          </cell>
          <cell r="E2178" t="str">
            <v>un</v>
          </cell>
          <cell r="F2178"/>
          <cell r="G2178">
            <v>652.79</v>
          </cell>
          <cell r="H2178">
            <v>0</v>
          </cell>
        </row>
        <row r="2179">
          <cell r="C2179" t="str">
            <v>10.2.4.135</v>
          </cell>
          <cell r="D2179" t="str">
            <v>Curva De 22º 30' Com Bolsas, Junta Elástica, Ferro Ductil, Ø 500 Mm</v>
          </cell>
          <cell r="E2179" t="str">
            <v>un</v>
          </cell>
          <cell r="F2179"/>
          <cell r="G2179">
            <v>1061.93</v>
          </cell>
          <cell r="H2179">
            <v>0</v>
          </cell>
        </row>
        <row r="2180">
          <cell r="C2180" t="str">
            <v>10.2.4.136</v>
          </cell>
          <cell r="D2180" t="str">
            <v>Cruzeta Com Bolsas, Junta Elástica, Ferro Ductil, Ø 350 X 250 Mm</v>
          </cell>
          <cell r="E2180" t="str">
            <v>un</v>
          </cell>
          <cell r="F2180"/>
          <cell r="G2180">
            <v>898.2</v>
          </cell>
          <cell r="H2180">
            <v>0</v>
          </cell>
        </row>
        <row r="2181">
          <cell r="C2181" t="str">
            <v>10.2.4.137</v>
          </cell>
          <cell r="D2181" t="str">
            <v>Cruzeta Com Bolsas, Junta Elástica, Ferro Ductil, Ø 400 X 250 Mm</v>
          </cell>
          <cell r="E2181" t="str">
            <v>un</v>
          </cell>
          <cell r="F2181"/>
          <cell r="G2181">
            <v>1343.9</v>
          </cell>
          <cell r="H2181">
            <v>0</v>
          </cell>
        </row>
        <row r="2182">
          <cell r="C2182" t="str">
            <v>10.2.4.138</v>
          </cell>
          <cell r="D2182" t="str">
            <v>Curva De 90º Com Flanges, Ferro Ductil, Ø 150 Mm</v>
          </cell>
          <cell r="E2182" t="str">
            <v>un</v>
          </cell>
          <cell r="F2182"/>
          <cell r="G2182">
            <v>145.62</v>
          </cell>
          <cell r="H2182">
            <v>0</v>
          </cell>
        </row>
        <row r="2183">
          <cell r="C2183" t="str">
            <v>10.2.4.139</v>
          </cell>
          <cell r="D2183" t="str">
            <v>Redução Normal Com Flanges, Ferro Ductil, Ø 100 X 50 Mm</v>
          </cell>
          <cell r="E2183" t="str">
            <v>un</v>
          </cell>
          <cell r="F2183"/>
          <cell r="G2183">
            <v>99.39</v>
          </cell>
          <cell r="H2183">
            <v>0</v>
          </cell>
        </row>
        <row r="2184">
          <cell r="C2184" t="str">
            <v>10.2.4.140</v>
          </cell>
          <cell r="D2184" t="str">
            <v>Tê Com Bolsas, Junta Elástica, Ferro Ductil, Ø 350 X 350 Mm</v>
          </cell>
          <cell r="E2184" t="str">
            <v>un</v>
          </cell>
          <cell r="F2184"/>
          <cell r="G2184">
            <v>686.72</v>
          </cell>
          <cell r="H2184">
            <v>0</v>
          </cell>
        </row>
        <row r="2185">
          <cell r="C2185" t="str">
            <v>10.2.4.141</v>
          </cell>
          <cell r="D2185" t="str">
            <v>Curva De 90º Com Bolsas, Junta Elástica, Ferro Ductil, Ø 800 Mm</v>
          </cell>
          <cell r="E2185" t="str">
            <v>un</v>
          </cell>
          <cell r="F2185"/>
          <cell r="G2185">
            <v>6051.72</v>
          </cell>
          <cell r="H2185">
            <v>0</v>
          </cell>
        </row>
        <row r="2186">
          <cell r="C2186" t="str">
            <v>10.2.4.142</v>
          </cell>
          <cell r="D2186" t="str">
            <v>Curva De 90º Com Flanges, Ferro Ductil, Ø 100 Mm</v>
          </cell>
          <cell r="E2186" t="str">
            <v>un</v>
          </cell>
          <cell r="F2186"/>
          <cell r="G2186">
            <v>87.1</v>
          </cell>
          <cell r="H2186">
            <v>0</v>
          </cell>
        </row>
        <row r="2187">
          <cell r="C2187" t="str">
            <v>10.2.4.143</v>
          </cell>
          <cell r="D2187" t="str">
            <v>Tê Com Bolsas, Junta Elástica, Ferro Ductil, Ø 350 X  100 Mm</v>
          </cell>
          <cell r="E2187" t="str">
            <v>un</v>
          </cell>
          <cell r="F2187"/>
          <cell r="G2187">
            <v>592.75</v>
          </cell>
          <cell r="H2187">
            <v>0</v>
          </cell>
        </row>
        <row r="2188">
          <cell r="C2188" t="str">
            <v>10.2.4.144</v>
          </cell>
          <cell r="D2188" t="str">
            <v>Tê Com Bolsas, Junta Elástica, Ferro Ductil, Ø 700 X 500 Mm</v>
          </cell>
          <cell r="E2188" t="str">
            <v>un</v>
          </cell>
          <cell r="F2188"/>
          <cell r="G2188">
            <v>4711.3100000000004</v>
          </cell>
          <cell r="H2188">
            <v>0</v>
          </cell>
        </row>
        <row r="2189">
          <cell r="C2189" t="str">
            <v>10.2.4.145</v>
          </cell>
          <cell r="D2189" t="str">
            <v>Tê Com Bolsas, Ferro Ductil, Ø 350 X 200 Mm</v>
          </cell>
          <cell r="E2189" t="str">
            <v>un</v>
          </cell>
          <cell r="F2189"/>
          <cell r="G2189">
            <v>642.44000000000005</v>
          </cell>
          <cell r="H2189">
            <v>0</v>
          </cell>
        </row>
        <row r="2190">
          <cell r="C2190" t="str">
            <v>10.2.4.146</v>
          </cell>
          <cell r="D2190" t="str">
            <v>Tê Com Bolsas, Junta Elástica, Ferro Ductil Ø 450 X 100 Mm</v>
          </cell>
          <cell r="E2190" t="str">
            <v>un</v>
          </cell>
          <cell r="F2190"/>
          <cell r="G2190">
            <v>907.53</v>
          </cell>
          <cell r="H2190">
            <v>0</v>
          </cell>
        </row>
        <row r="2191">
          <cell r="C2191" t="str">
            <v>10.2.4.147</v>
          </cell>
          <cell r="D2191" t="str">
            <v>Curva De 11º 15' Com Bolsas, Junta Elástica, Ferro Ductil, Ø 700 Mm</v>
          </cell>
          <cell r="E2191" t="str">
            <v>un</v>
          </cell>
          <cell r="F2191"/>
          <cell r="G2191">
            <v>1598.55</v>
          </cell>
          <cell r="H2191">
            <v>0</v>
          </cell>
        </row>
        <row r="2192">
          <cell r="C2192" t="str">
            <v>10.2.4.148</v>
          </cell>
          <cell r="D2192" t="str">
            <v>Curva De 11º 15' Com Bolsas, Junta Elástica, Ferro Ductil, Ø 250 Mm</v>
          </cell>
          <cell r="E2192" t="str">
            <v>un</v>
          </cell>
          <cell r="F2192"/>
          <cell r="G2192">
            <v>187.05</v>
          </cell>
          <cell r="H2192">
            <v>0</v>
          </cell>
        </row>
        <row r="2193">
          <cell r="C2193" t="str">
            <v>10.2.4.149</v>
          </cell>
          <cell r="D2193" t="str">
            <v>Cruzeta Com Bolsas, Junta Elástica, Ferro Ductil, Ø 350 X 350 Mm.</v>
          </cell>
          <cell r="E2193" t="str">
            <v>un</v>
          </cell>
          <cell r="F2193"/>
          <cell r="G2193">
            <v>852.75</v>
          </cell>
          <cell r="H2193">
            <v>0</v>
          </cell>
        </row>
        <row r="2194">
          <cell r="C2194" t="str">
            <v>10.2.4.150</v>
          </cell>
          <cell r="D2194" t="str">
            <v>Cruzeta Com Bolsas, Junta Elástica, Ferro Ductil, Ø 400 X 400 Mm.</v>
          </cell>
          <cell r="E2194" t="str">
            <v>un</v>
          </cell>
          <cell r="F2194"/>
          <cell r="G2194">
            <v>1035.1300000000001</v>
          </cell>
          <cell r="H2194">
            <v>0</v>
          </cell>
        </row>
        <row r="2195">
          <cell r="C2195" t="str">
            <v>10.2.4.151</v>
          </cell>
          <cell r="D2195" t="str">
            <v xml:space="preserve">Cruzeta Com Bolsas, Junta Elástica, Ferro Ductil, Ø 600 X 200 Mm.  </v>
          </cell>
          <cell r="E2195" t="str">
            <v>un</v>
          </cell>
          <cell r="F2195"/>
          <cell r="G2195">
            <v>1270.52</v>
          </cell>
          <cell r="H2195">
            <v>0</v>
          </cell>
        </row>
        <row r="2196">
          <cell r="C2196" t="str">
            <v>10.2.4.152</v>
          </cell>
          <cell r="D2196" t="str">
            <v xml:space="preserve">Curva De 11º 15' Com Bolsas, Junta Elástica, Ferro Ductil, Ø 300 Mm.  </v>
          </cell>
          <cell r="E2196" t="str">
            <v>un</v>
          </cell>
          <cell r="F2196"/>
          <cell r="G2196">
            <v>174.89</v>
          </cell>
          <cell r="H2196">
            <v>0</v>
          </cell>
        </row>
        <row r="2197">
          <cell r="C2197" t="str">
            <v>10.2.4.153</v>
          </cell>
          <cell r="D2197" t="str">
            <v>Curva De 11º 15' Com Bolsas, Junta Elástica, Ferro Ductil, Ø 800 Mm.</v>
          </cell>
          <cell r="E2197" t="str">
            <v>un</v>
          </cell>
          <cell r="F2197"/>
          <cell r="G2197">
            <v>1875.58</v>
          </cell>
          <cell r="H2197">
            <v>0</v>
          </cell>
        </row>
        <row r="2198">
          <cell r="C2198" t="str">
            <v>10.2.4.154</v>
          </cell>
          <cell r="D2198" t="str">
            <v xml:space="preserve">Curva De 22º 30' Com Bolsas, Junta Elástica, Ferro Ductil, Ø 150 Mm.  </v>
          </cell>
          <cell r="E2198" t="str">
            <v>un</v>
          </cell>
          <cell r="F2198"/>
          <cell r="G2198">
            <v>84.04</v>
          </cell>
          <cell r="H2198">
            <v>0</v>
          </cell>
        </row>
        <row r="2199">
          <cell r="C2199" t="str">
            <v>10.2.4.155</v>
          </cell>
          <cell r="D2199" t="str">
            <v xml:space="preserve">Tê Fofo Com Bolsas E Flange, Pn 10 Ø 900 X 200 Mm.  </v>
          </cell>
          <cell r="E2199" t="str">
            <v>un</v>
          </cell>
          <cell r="F2199"/>
          <cell r="G2199">
            <v>2726.78</v>
          </cell>
          <cell r="H2199">
            <v>0</v>
          </cell>
        </row>
        <row r="2200">
          <cell r="C2200" t="str">
            <v>10.2.4.156</v>
          </cell>
          <cell r="D2200" t="str">
            <v xml:space="preserve">Curva 22º30' , Com Bolsas, Junta Elástica, Ferro Dúctil, Ø350 Mm.  </v>
          </cell>
          <cell r="E2200" t="str">
            <v>un</v>
          </cell>
          <cell r="F2200"/>
          <cell r="G2200">
            <v>327.26</v>
          </cell>
          <cell r="H2200">
            <v>0</v>
          </cell>
        </row>
        <row r="2201">
          <cell r="C2201" t="str">
            <v>10.2.4.157</v>
          </cell>
          <cell r="D2201" t="str">
            <v xml:space="preserve">Curva 22º30' , Com Bolsas, Junta Elástica, Ferro Dúctil, Ø800 Mm.  </v>
          </cell>
          <cell r="E2201" t="str">
            <v>un</v>
          </cell>
          <cell r="F2201"/>
          <cell r="G2201">
            <v>2498.7399999999998</v>
          </cell>
          <cell r="H2201">
            <v>0</v>
          </cell>
        </row>
        <row r="2202">
          <cell r="C2202" t="str">
            <v>10.2.4.158</v>
          </cell>
          <cell r="D2202" t="str">
            <v xml:space="preserve">Curva 45º , Com Bolsas, Junta Elástica, Ferro Dúctil, Ø200 Mm.  </v>
          </cell>
          <cell r="E2202" t="str">
            <v>un</v>
          </cell>
          <cell r="F2202"/>
          <cell r="G2202">
            <v>136.88999999999999</v>
          </cell>
          <cell r="H2202">
            <v>0</v>
          </cell>
        </row>
        <row r="2203">
          <cell r="C2203" t="str">
            <v>10.2.4.159</v>
          </cell>
          <cell r="D2203" t="str">
            <v xml:space="preserve">Curva 90º , Com Bolsas, Junta Elástica, Ferro Dúctil, Ø300 Mm.  </v>
          </cell>
          <cell r="E2203" t="str">
            <v>un</v>
          </cell>
          <cell r="F2203"/>
          <cell r="G2203">
            <v>301.95</v>
          </cell>
          <cell r="H2203">
            <v>0</v>
          </cell>
        </row>
        <row r="2204">
          <cell r="C2204" t="str">
            <v>10.2.4.160</v>
          </cell>
          <cell r="D2204" t="str">
            <v xml:space="preserve">Tê Com Bolsas, Junta Elástica, Ferro Dúctil, Ø700 X 100 Mm. </v>
          </cell>
          <cell r="E2204" t="str">
            <v>un</v>
          </cell>
          <cell r="F2204"/>
          <cell r="G2204">
            <v>1785.28</v>
          </cell>
          <cell r="H2204">
            <v>0</v>
          </cell>
        </row>
        <row r="2205">
          <cell r="C2205" t="str">
            <v>10.2.4.161</v>
          </cell>
          <cell r="D2205" t="str">
            <v>Tubo Aço Flange E Ponta , Ø1000 Mm, L=1,00M</v>
          </cell>
          <cell r="E2205" t="str">
            <v>un</v>
          </cell>
          <cell r="F2205"/>
          <cell r="G2205">
            <v>4073.68</v>
          </cell>
          <cell r="H2205">
            <v>0</v>
          </cell>
        </row>
        <row r="2206">
          <cell r="C2206" t="str">
            <v>10.2.4.162</v>
          </cell>
          <cell r="D2206" t="str">
            <v>Tubo Aço Flange E Ponta , Ø1000 Mm, L=0,60M</v>
          </cell>
          <cell r="E2206" t="str">
            <v>un</v>
          </cell>
          <cell r="F2206"/>
          <cell r="G2206">
            <v>3305.24</v>
          </cell>
          <cell r="H2206">
            <v>0</v>
          </cell>
        </row>
        <row r="2207">
          <cell r="C2207" t="str">
            <v>10.2.4.163</v>
          </cell>
          <cell r="D2207" t="str">
            <v>Redução Fofo Com Flanges, Pn 10, Ø800 X 700 Mm</v>
          </cell>
          <cell r="E2207" t="str">
            <v>un</v>
          </cell>
          <cell r="F2207"/>
          <cell r="G2207">
            <v>2356.4299999999998</v>
          </cell>
          <cell r="H2207">
            <v>0</v>
          </cell>
        </row>
        <row r="2208">
          <cell r="C2208" t="str">
            <v>10.2.4.164</v>
          </cell>
          <cell r="D2208" t="str">
            <v>Redução Fofo Com Flanges, Pn 10, Ø900 X 800 Mm</v>
          </cell>
          <cell r="E2208" t="str">
            <v>un</v>
          </cell>
          <cell r="F2208"/>
          <cell r="G2208">
            <v>3010.13</v>
          </cell>
          <cell r="H2208">
            <v>0</v>
          </cell>
        </row>
        <row r="2209">
          <cell r="C2209" t="str">
            <v>10.2.4.165</v>
          </cell>
          <cell r="D2209" t="str">
            <v>Redução Fofo Com Flanges, Pn 10, Ø1000 X 900 Mm</v>
          </cell>
          <cell r="E2209" t="str">
            <v>un</v>
          </cell>
          <cell r="F2209"/>
          <cell r="G2209">
            <v>3883.75</v>
          </cell>
          <cell r="H2209">
            <v>0</v>
          </cell>
        </row>
        <row r="2210">
          <cell r="C2210" t="str">
            <v>10.2.4.166</v>
          </cell>
          <cell r="D2210" t="str">
            <v>Extremidade Fofo Flange E Ponta , Ø1000 Mm</v>
          </cell>
          <cell r="E2210" t="str">
            <v>un</v>
          </cell>
          <cell r="F2210"/>
          <cell r="G2210">
            <v>2357.11</v>
          </cell>
          <cell r="H2210">
            <v>0</v>
          </cell>
        </row>
        <row r="2211">
          <cell r="C2211" t="str">
            <v>10.2.4.167</v>
          </cell>
          <cell r="D2211" t="str">
            <v>Extremidade Flange E Bolsa, Junta Elástica, Ferro Dúctil, Ø800 Mm</v>
          </cell>
          <cell r="E2211" t="str">
            <v>un</v>
          </cell>
          <cell r="F2211"/>
          <cell r="G2211">
            <v>2105.4308790415434</v>
          </cell>
          <cell r="H2211">
            <v>0</v>
          </cell>
        </row>
        <row r="2212">
          <cell r="C2212" t="str">
            <v>10.2.4.168</v>
          </cell>
          <cell r="D2212" t="str">
            <v>Extremidade Ponta E Flange, Ferro Dúctil, Ø700Mm</v>
          </cell>
          <cell r="E2212" t="str">
            <v>un</v>
          </cell>
          <cell r="F2212"/>
          <cell r="G2212">
            <v>1741.7641177251091</v>
          </cell>
          <cell r="H2212">
            <v>0</v>
          </cell>
        </row>
        <row r="2213">
          <cell r="C2213" t="str">
            <v>10.2.4.169</v>
          </cell>
          <cell r="D2213" t="str">
            <v>Extremidade Flange E Bolsa, Junta Elástica, Ferro Dúctil, Ø150 Mm</v>
          </cell>
          <cell r="E2213" t="str">
            <v>un</v>
          </cell>
          <cell r="F2213"/>
          <cell r="G2213">
            <v>101.50597777389093</v>
          </cell>
          <cell r="H2213">
            <v>0</v>
          </cell>
        </row>
        <row r="2214">
          <cell r="C2214" t="str">
            <v>10.2.4.170</v>
          </cell>
          <cell r="D2214" t="str">
            <v>Toco Com Flanges, Ferro Dúctil , Ø100 Mm, L = 1,00 M</v>
          </cell>
          <cell r="E2214" t="str">
            <v>un</v>
          </cell>
          <cell r="F2214"/>
          <cell r="G2214">
            <v>194.71090817182812</v>
          </cell>
          <cell r="H2214">
            <v>0</v>
          </cell>
        </row>
        <row r="2215">
          <cell r="C2215" t="str">
            <v>10.2.4.171</v>
          </cell>
          <cell r="D2215" t="str">
            <v>Tê Com Bolsas, Junta Elástica, E Flange, Ferro Dúctil, Ø600 X 100 Mm.</v>
          </cell>
          <cell r="E2215" t="str">
            <v>un</v>
          </cell>
          <cell r="F2215"/>
          <cell r="G2215">
            <v>1216.16377177543</v>
          </cell>
          <cell r="H2215">
            <v>0</v>
          </cell>
        </row>
        <row r="2216">
          <cell r="C2216" t="str">
            <v>10.2.4.172</v>
          </cell>
          <cell r="D2216" t="str">
            <v>Tê Com Bolsas E Flange, Junta Elástica, Ferro Dúctil, Ø400 X 100 Mm.</v>
          </cell>
          <cell r="E2216" t="str">
            <v>un</v>
          </cell>
          <cell r="F2216"/>
          <cell r="G2216">
            <v>453.09154297018557</v>
          </cell>
          <cell r="H2216">
            <v>0</v>
          </cell>
        </row>
        <row r="2217">
          <cell r="C2217" t="str">
            <v>10.2.4.173</v>
          </cell>
          <cell r="D2217" t="str">
            <v>Tê Fofo Com  Bolsas E Flange, Pn 10, Ø150 X 100 Mm.</v>
          </cell>
          <cell r="E2217" t="str">
            <v>un</v>
          </cell>
          <cell r="F2217"/>
          <cell r="G2217">
            <v>107.94239700172068</v>
          </cell>
          <cell r="H2217">
            <v>0</v>
          </cell>
        </row>
        <row r="2218">
          <cell r="C2218" t="str">
            <v>10.2.4.174</v>
          </cell>
          <cell r="D2218" t="str">
            <v>Redução Com Ponta E Bolsa, Junta Elástica, Ferro Dúctil, Ø500 X 400 Mm.</v>
          </cell>
          <cell r="E2218" t="str">
            <v>un</v>
          </cell>
          <cell r="F2218"/>
          <cell r="G2218">
            <v>536.91213233665451</v>
          </cell>
          <cell r="H2218">
            <v>0</v>
          </cell>
        </row>
        <row r="2219">
          <cell r="C2219" t="str">
            <v>10.2.4.175</v>
          </cell>
          <cell r="D2219" t="str">
            <v>Luva Simples Fofo Junta Elástica Dn 150</v>
          </cell>
          <cell r="E2219" t="str">
            <v>un</v>
          </cell>
          <cell r="F2219"/>
          <cell r="G2219">
            <v>90.547325958152072</v>
          </cell>
          <cell r="H2219">
            <v>0</v>
          </cell>
        </row>
        <row r="2220">
          <cell r="C2220" t="str">
            <v>10.2.4.176</v>
          </cell>
          <cell r="D2220" t="str">
            <v>Luva Simples Fofo Junta Elástica Dn 250</v>
          </cell>
          <cell r="E2220" t="str">
            <v>un</v>
          </cell>
          <cell r="F2220"/>
          <cell r="G2220">
            <v>179.67176536553319</v>
          </cell>
          <cell r="H2220">
            <v>0</v>
          </cell>
        </row>
        <row r="2221">
          <cell r="C2221" t="str">
            <v>10.2.4.177</v>
          </cell>
          <cell r="D2221" t="str">
            <v>Luva Simples Fofo Junta Elástica Dn 350</v>
          </cell>
          <cell r="E2221" t="str">
            <v>un</v>
          </cell>
          <cell r="F2221"/>
          <cell r="G2221">
            <v>320.7639022067537</v>
          </cell>
          <cell r="H2221">
            <v>0</v>
          </cell>
        </row>
        <row r="2222">
          <cell r="C2222" t="str">
            <v>10.2.4.178</v>
          </cell>
          <cell r="D2222" t="str">
            <v>Luva Simples Fofo Junta Elástica Dn 500</v>
          </cell>
          <cell r="E2222" t="str">
            <v>un</v>
          </cell>
          <cell r="F2222"/>
          <cell r="G2222">
            <v>517.28175502932072</v>
          </cell>
          <cell r="H2222">
            <v>0</v>
          </cell>
        </row>
        <row r="2223">
          <cell r="C2223" t="str">
            <v>10.2.4.179</v>
          </cell>
          <cell r="D2223" t="str">
            <v>Luva Simples Fofo Junta Elástica Dn 700</v>
          </cell>
          <cell r="E2223" t="str">
            <v>un</v>
          </cell>
          <cell r="F2223"/>
          <cell r="G2223">
            <v>1520.9661207156034</v>
          </cell>
          <cell r="H2223">
            <v>0</v>
          </cell>
        </row>
        <row r="2224">
          <cell r="C2224" t="str">
            <v>10.2.4.180</v>
          </cell>
          <cell r="D2224" t="str">
            <v>Luva Correr Junta Mecanica - Fofo Dn150Mm</v>
          </cell>
          <cell r="E2224" t="str">
            <v>un</v>
          </cell>
          <cell r="F2224"/>
          <cell r="G2224">
            <v>238.35540647318481</v>
          </cell>
          <cell r="H2224">
            <v>0</v>
          </cell>
        </row>
        <row r="2225">
          <cell r="C2225" t="str">
            <v>10.2.4.181</v>
          </cell>
          <cell r="D2225" t="str">
            <v>Luva Correr Junta Mecanica - Fofo Dn200Mm</v>
          </cell>
          <cell r="E2225" t="str">
            <v>un</v>
          </cell>
          <cell r="F2225"/>
          <cell r="G2225">
            <v>313.71810755980817</v>
          </cell>
          <cell r="H2225">
            <v>0</v>
          </cell>
        </row>
        <row r="2226">
          <cell r="C2226" t="str">
            <v>10.2.4.182</v>
          </cell>
          <cell r="D2226" t="str">
            <v>Luva Correr Junta Mecanica - Fofo Dn250Mm</v>
          </cell>
          <cell r="E2226" t="str">
            <v>un</v>
          </cell>
          <cell r="F2226"/>
          <cell r="G2226">
            <v>417.91839377882792</v>
          </cell>
          <cell r="H2226">
            <v>0</v>
          </cell>
        </row>
        <row r="2227">
          <cell r="C2227" t="str">
            <v>10.2.4.183</v>
          </cell>
          <cell r="D2227" t="str">
            <v>Luva Correr Junta Mecanica - Fofo Dn300Mm</v>
          </cell>
          <cell r="E2227" t="str">
            <v>un</v>
          </cell>
          <cell r="F2227"/>
          <cell r="G2227">
            <v>493.36634678975753</v>
          </cell>
          <cell r="H2227">
            <v>0</v>
          </cell>
        </row>
        <row r="2228">
          <cell r="C2228" t="str">
            <v>10.2.4.184</v>
          </cell>
          <cell r="D2228" t="str">
            <v>Luva Correr Junta Mecanica - Fofo Dn450Mm</v>
          </cell>
          <cell r="E2228" t="str">
            <v>un</v>
          </cell>
          <cell r="F2228"/>
          <cell r="G2228">
            <v>960.30459704461316</v>
          </cell>
          <cell r="H2228">
            <v>0</v>
          </cell>
        </row>
        <row r="2229">
          <cell r="C2229" t="str">
            <v>10.2.4.185</v>
          </cell>
          <cell r="D2229" t="str">
            <v>Luva Correr Junta Mecanica - Fofo Dn500Mm</v>
          </cell>
          <cell r="E2229" t="str">
            <v>un</v>
          </cell>
          <cell r="F2229"/>
          <cell r="G2229">
            <v>1088.451700106888</v>
          </cell>
          <cell r="H2229">
            <v>0</v>
          </cell>
        </row>
        <row r="2230">
          <cell r="C2230" t="str">
            <v>10.2.4.186</v>
          </cell>
          <cell r="D2230" t="str">
            <v>Luva Correr Junta Mecanica - Fofo Dn600Mm</v>
          </cell>
          <cell r="E2230" t="str">
            <v>un</v>
          </cell>
          <cell r="F2230"/>
          <cell r="G2230">
            <v>1590.6259167604846</v>
          </cell>
          <cell r="H2230">
            <v>0</v>
          </cell>
        </row>
        <row r="2231">
          <cell r="C2231" t="str">
            <v>10.2.4.187</v>
          </cell>
          <cell r="D2231" t="str">
            <v>Luva Correr Junta Mecanica - Fofo Dn700Mm</v>
          </cell>
          <cell r="E2231" t="str">
            <v>un</v>
          </cell>
          <cell r="F2231"/>
          <cell r="G2231">
            <v>2154.4731702344934</v>
          </cell>
          <cell r="H2231">
            <v>0</v>
          </cell>
        </row>
        <row r="2232">
          <cell r="C2232" t="str">
            <v>10.2.4.188</v>
          </cell>
          <cell r="D2232" t="str">
            <v>Luva Correr Junta Mecanica - Fofo Dn800Mm</v>
          </cell>
          <cell r="E2232" t="str">
            <v>un</v>
          </cell>
          <cell r="F2232"/>
          <cell r="G2232">
            <v>2844.3003331160476</v>
          </cell>
          <cell r="H2232">
            <v>0</v>
          </cell>
        </row>
        <row r="2233">
          <cell r="C2233" t="str">
            <v>10.2.4.189</v>
          </cell>
          <cell r="D2233" t="str">
            <v>Luva Correr Junta Mecanica - Fofo Dn900Mm</v>
          </cell>
          <cell r="E2233" t="str">
            <v>un</v>
          </cell>
          <cell r="F2233"/>
          <cell r="G2233">
            <v>3532.0545281539462</v>
          </cell>
          <cell r="H2233">
            <v>0</v>
          </cell>
        </row>
        <row r="2234">
          <cell r="C2234" t="str">
            <v>10.2.4.190</v>
          </cell>
          <cell r="D2234" t="str">
            <v>Anel Borracha P/ Fofo Junta Elástica Dn 100 P/ Água</v>
          </cell>
          <cell r="E2234" t="str">
            <v>un</v>
          </cell>
          <cell r="F2234"/>
          <cell r="G2234">
            <v>2.9972781808683298</v>
          </cell>
          <cell r="H2234">
            <v>0</v>
          </cell>
        </row>
        <row r="2235">
          <cell r="C2235" t="str">
            <v>10.2.4.191</v>
          </cell>
          <cell r="D2235" t="str">
            <v>Anel Borracha P/ Fofo Junta Elástica Dn  150 P/ Água</v>
          </cell>
          <cell r="E2235" t="str">
            <v>un</v>
          </cell>
          <cell r="F2235"/>
          <cell r="G2235">
            <v>6.0035302485057276</v>
          </cell>
          <cell r="H2235">
            <v>0</v>
          </cell>
        </row>
        <row r="2236">
          <cell r="C2236" t="str">
            <v>10.2.4.192</v>
          </cell>
          <cell r="D2236" t="str">
            <v>Anel Borracha P/ Fofo Junta Elástica Dn  200 P/ Água</v>
          </cell>
          <cell r="E2236" t="str">
            <v>un</v>
          </cell>
          <cell r="F2236"/>
          <cell r="G2236">
            <v>8.3771232989239106</v>
          </cell>
          <cell r="H2236">
            <v>0</v>
          </cell>
        </row>
        <row r="2237">
          <cell r="C2237" t="str">
            <v>10.2.4.193</v>
          </cell>
          <cell r="D2237" t="str">
            <v>Anel Borracha P/ Fofo Junta Elástica Dn  250 P/ Água</v>
          </cell>
          <cell r="E2237" t="str">
            <v>un</v>
          </cell>
          <cell r="F2237"/>
          <cell r="G2237">
            <v>10.104596501969279</v>
          </cell>
          <cell r="H2237">
            <v>0</v>
          </cell>
        </row>
        <row r="2238">
          <cell r="C2238" t="str">
            <v>10.2.4.194</v>
          </cell>
          <cell r="D2238" t="str">
            <v>Anel Borracha P/ Fofo Junta Elástica Dn  300 P/ Água</v>
          </cell>
          <cell r="E2238" t="str">
            <v>un</v>
          </cell>
          <cell r="F2238"/>
          <cell r="G2238">
            <v>15.470980789871255</v>
          </cell>
          <cell r="H2238">
            <v>0</v>
          </cell>
        </row>
        <row r="2239">
          <cell r="C2239" t="str">
            <v>10.2.4.195</v>
          </cell>
          <cell r="D2239" t="str">
            <v>Anel Borracha P/ Fofo Junta Elástica Dn  350 P/ Água</v>
          </cell>
          <cell r="E2239" t="str">
            <v>un</v>
          </cell>
          <cell r="F2239"/>
          <cell r="G2239">
            <v>17.373444784913431</v>
          </cell>
          <cell r="H2239">
            <v>0</v>
          </cell>
        </row>
        <row r="2240">
          <cell r="C2240" t="str">
            <v>10.2.4.196</v>
          </cell>
          <cell r="D2240" t="str">
            <v>Anel Borracha P/ Fofo Junta Elástica Dn  400 P/ Água</v>
          </cell>
          <cell r="E2240" t="str">
            <v>un</v>
          </cell>
          <cell r="F2240"/>
          <cell r="G2240">
            <v>23.058402053117288</v>
          </cell>
          <cell r="H2240">
            <v>0</v>
          </cell>
        </row>
        <row r="2241">
          <cell r="C2241" t="str">
            <v>10.2.4.197</v>
          </cell>
          <cell r="D2241" t="str">
            <v>Anel Borracha P/ Fofo Junta Elástica Dn  450 P/ Água</v>
          </cell>
          <cell r="E2241" t="str">
            <v>un</v>
          </cell>
          <cell r="F2241"/>
          <cell r="G2241">
            <v>31.130413201892921</v>
          </cell>
          <cell r="H2241">
            <v>0</v>
          </cell>
        </row>
        <row r="2242">
          <cell r="C2242" t="str">
            <v>10.2.4.198</v>
          </cell>
          <cell r="D2242" t="str">
            <v>Anel Borracha P/ Fofo Junta Elástica Dn  500 P/ Água</v>
          </cell>
          <cell r="E2242" t="str">
            <v>un</v>
          </cell>
          <cell r="F2242"/>
          <cell r="G2242">
            <v>38.695399748216282</v>
          </cell>
          <cell r="H2242">
            <v>0</v>
          </cell>
        </row>
        <row r="2243">
          <cell r="C2243" t="str">
            <v>10.2.4.199</v>
          </cell>
          <cell r="D2243" t="str">
            <v>Anel Borracha P/ Fofo Junta Elástica Dn  600 P/ Água</v>
          </cell>
          <cell r="E2243" t="str">
            <v>un</v>
          </cell>
          <cell r="F2243"/>
          <cell r="G2243">
            <v>73.976235580802637</v>
          </cell>
          <cell r="H2243">
            <v>0</v>
          </cell>
        </row>
        <row r="2244">
          <cell r="C2244" t="str">
            <v>10.2.4.200</v>
          </cell>
          <cell r="D2244" t="str">
            <v>Anel Borracha P/ Fofo Junta Elástica Dn  700 P/ Água</v>
          </cell>
          <cell r="E2244" t="str">
            <v>un</v>
          </cell>
          <cell r="F2244"/>
          <cell r="G2244">
            <v>103.18623701411524</v>
          </cell>
          <cell r="H2244">
            <v>0</v>
          </cell>
        </row>
        <row r="2245">
          <cell r="C2245" t="str">
            <v>10.2.4.201</v>
          </cell>
          <cell r="D2245" t="str">
            <v>Anel Borracha P/ Fofo Junta Elástica Dn  800 P/ Água</v>
          </cell>
          <cell r="E2245" t="str">
            <v>un</v>
          </cell>
          <cell r="F2245"/>
          <cell r="G2245">
            <v>174.36261992296903</v>
          </cell>
          <cell r="H2245">
            <v>0</v>
          </cell>
        </row>
        <row r="2246">
          <cell r="C2246" t="str">
            <v>10.2.4.202</v>
          </cell>
          <cell r="D2246" t="str">
            <v>Anel Borracha P/ Fofo Junta Elástica Dn  900 P/ Água</v>
          </cell>
          <cell r="E2246" t="str">
            <v>un</v>
          </cell>
          <cell r="F2246"/>
          <cell r="G2246">
            <v>223.62925828514602</v>
          </cell>
          <cell r="H2246">
            <v>0</v>
          </cell>
        </row>
        <row r="2247">
          <cell r="C2247" t="str">
            <v>10.2.4.203</v>
          </cell>
          <cell r="D2247" t="str">
            <v>Acessório Para Flange, Ø700 Mm</v>
          </cell>
          <cell r="E2247" t="str">
            <v>un</v>
          </cell>
          <cell r="F2247"/>
          <cell r="G2247">
            <v>106.10610531587204</v>
          </cell>
          <cell r="H2247">
            <v>0</v>
          </cell>
        </row>
        <row r="2248">
          <cell r="C2248" t="str">
            <v>10.2.4.204</v>
          </cell>
          <cell r="D2248" t="str">
            <v>Acessório Para Flange, Ø800 Mm</v>
          </cell>
          <cell r="E2248" t="str">
            <v>un</v>
          </cell>
          <cell r="F2248"/>
          <cell r="G2248">
            <v>257.26354758726211</v>
          </cell>
          <cell r="H2248">
            <v>0</v>
          </cell>
        </row>
        <row r="2249">
          <cell r="C2249" t="str">
            <v>10.2.4.205</v>
          </cell>
          <cell r="D2249" t="str">
            <v>Acessório Para Flange, Ø900 Mm</v>
          </cell>
          <cell r="E2249" t="str">
            <v>un</v>
          </cell>
          <cell r="F2249"/>
          <cell r="G2249">
            <v>289.39976371973125</v>
          </cell>
          <cell r="H2249">
            <v>0</v>
          </cell>
        </row>
        <row r="2250">
          <cell r="C2250" t="str">
            <v>10.2.4.206</v>
          </cell>
          <cell r="D2250" t="str">
            <v>Acessório Para Flange, Ø1000 Mm</v>
          </cell>
          <cell r="E2250" t="str">
            <v>un</v>
          </cell>
          <cell r="F2250"/>
          <cell r="G2250">
            <v>434.10975130794054</v>
          </cell>
          <cell r="H2250">
            <v>0</v>
          </cell>
        </row>
        <row r="2251">
          <cell r="C2251" t="str">
            <v>10.2.4.207</v>
          </cell>
          <cell r="D2251" t="str">
            <v>Curva De 11º 15' Com Bolsas, Junta Elástica, Ferro Ductil, Ø 900 Mm.</v>
          </cell>
          <cell r="E2251" t="str">
            <v>un</v>
          </cell>
          <cell r="F2251"/>
          <cell r="G2251">
            <v>3246.09</v>
          </cell>
          <cell r="H2251">
            <v>0</v>
          </cell>
        </row>
        <row r="2252">
          <cell r="C2252" t="str">
            <v>10.2.5</v>
          </cell>
          <cell r="D2252" t="str">
            <v>Caixas de ventosa e descarga</v>
          </cell>
          <cell r="E2252"/>
          <cell r="F2252"/>
          <cell r="G2252"/>
          <cell r="H2252">
            <v>0</v>
          </cell>
        </row>
        <row r="2253">
          <cell r="C2253" t="str">
            <v>10.2.5.1</v>
          </cell>
          <cell r="D2253" t="str">
            <v>Conjunto Acessórios Para Flanges, Ø100 Mm.</v>
          </cell>
          <cell r="E2253" t="str">
            <v>un</v>
          </cell>
          <cell r="F2253"/>
          <cell r="G2253">
            <v>24.76</v>
          </cell>
          <cell r="H2253">
            <v>0</v>
          </cell>
        </row>
        <row r="2254">
          <cell r="C2254" t="str">
            <v>10.2.5.2</v>
          </cell>
          <cell r="D2254" t="str">
            <v>Conjunto Acessórios Para Flanges, Ø150 Mm.</v>
          </cell>
          <cell r="E2254" t="str">
            <v>un</v>
          </cell>
          <cell r="F2254"/>
          <cell r="G2254">
            <v>46.16</v>
          </cell>
          <cell r="H2254">
            <v>0</v>
          </cell>
        </row>
        <row r="2255">
          <cell r="C2255" t="str">
            <v>10.2.5.3</v>
          </cell>
          <cell r="D2255" t="str">
            <v>Conjunto Acessórios Para Flanges, Ø200 Mm.</v>
          </cell>
          <cell r="E2255" t="str">
            <v>un</v>
          </cell>
          <cell r="F2255"/>
          <cell r="G2255">
            <v>48.07</v>
          </cell>
          <cell r="H2255">
            <v>0</v>
          </cell>
        </row>
        <row r="2256">
          <cell r="C2256" t="str">
            <v>10.2.5.4</v>
          </cell>
          <cell r="D2256" t="str">
            <v>Conjunto Acessórios Para Flanges, Ø50 Mm.</v>
          </cell>
          <cell r="E2256" t="str">
            <v>un</v>
          </cell>
          <cell r="F2256"/>
          <cell r="G2256">
            <v>12.63</v>
          </cell>
          <cell r="H2256">
            <v>0</v>
          </cell>
        </row>
        <row r="2257">
          <cell r="C2257" t="str">
            <v>10.2.5.5</v>
          </cell>
          <cell r="D2257" t="str">
            <v>Curva De Fofo 45º Com Flanges, Ø150 Mm.</v>
          </cell>
          <cell r="E2257" t="str">
            <v>un</v>
          </cell>
          <cell r="F2257"/>
          <cell r="G2257">
            <v>187.15</v>
          </cell>
          <cell r="H2257">
            <v>0</v>
          </cell>
        </row>
        <row r="2258">
          <cell r="C2258" t="str">
            <v>10.2.5.6</v>
          </cell>
          <cell r="D2258" t="str">
            <v>Curva De Fofo 45º Com Flanges, Ø200 Mm.</v>
          </cell>
          <cell r="E2258" t="str">
            <v>un</v>
          </cell>
          <cell r="F2258"/>
          <cell r="G2258">
            <v>286.10000000000002</v>
          </cell>
          <cell r="H2258">
            <v>0</v>
          </cell>
        </row>
        <row r="2259">
          <cell r="C2259" t="str">
            <v>10.2.5.7</v>
          </cell>
          <cell r="D2259" t="str">
            <v>Extremidade Flange E Ponta , Ø150 Mm.</v>
          </cell>
          <cell r="E2259" t="str">
            <v>un</v>
          </cell>
          <cell r="F2259"/>
          <cell r="G2259">
            <v>156.44999999999999</v>
          </cell>
          <cell r="H2259">
            <v>0</v>
          </cell>
        </row>
        <row r="2260">
          <cell r="C2260" t="str">
            <v>10.2.5.8</v>
          </cell>
          <cell r="D2260" t="str">
            <v>Redução Fofo Com Flanges, Pn 10, Ø200 X 150 Mm.</v>
          </cell>
          <cell r="E2260" t="str">
            <v>un</v>
          </cell>
          <cell r="F2260"/>
          <cell r="G2260">
            <v>253.68</v>
          </cell>
          <cell r="H2260">
            <v>0</v>
          </cell>
        </row>
        <row r="2261">
          <cell r="C2261" t="str">
            <v>10.2.5.9</v>
          </cell>
          <cell r="D2261" t="str">
            <v>Registro De Gaveta Chato Fofo Com Flanges , Pn 10, Ø150 Mm.</v>
          </cell>
          <cell r="E2261" t="str">
            <v>un</v>
          </cell>
          <cell r="F2261"/>
          <cell r="G2261">
            <v>1020.51</v>
          </cell>
          <cell r="H2261">
            <v>0</v>
          </cell>
        </row>
        <row r="2262">
          <cell r="C2262" t="str">
            <v>10.2.5.10</v>
          </cell>
          <cell r="D2262" t="str">
            <v>Registro De Gaveta Chato Fofo Com Flanges , Pn 10, Ø200 Mm.</v>
          </cell>
          <cell r="E2262" t="str">
            <v>un</v>
          </cell>
          <cell r="F2262"/>
          <cell r="G2262">
            <v>1517.35</v>
          </cell>
          <cell r="H2262">
            <v>0</v>
          </cell>
        </row>
        <row r="2263">
          <cell r="C2263" t="str">
            <v>10.2.5.11</v>
          </cell>
          <cell r="D2263" t="str">
            <v>Registro De Gaveta Chato Fofo Com Flanges E Cabeçote, Pn 10, Ø100 Mm.</v>
          </cell>
          <cell r="E2263" t="str">
            <v>un</v>
          </cell>
          <cell r="F2263"/>
          <cell r="G2263">
            <v>680.51</v>
          </cell>
          <cell r="H2263">
            <v>0</v>
          </cell>
        </row>
        <row r="2264">
          <cell r="C2264" t="str">
            <v>10.2.5.12</v>
          </cell>
          <cell r="D2264" t="str">
            <v>Registro De Gaveta Chato Fofo Com Flanges E Cabeçote, Pn 10, Ø50 Mm.</v>
          </cell>
          <cell r="E2264" t="str">
            <v>un</v>
          </cell>
          <cell r="F2264"/>
          <cell r="G2264">
            <v>369.36</v>
          </cell>
          <cell r="H2264">
            <v>0</v>
          </cell>
        </row>
        <row r="2265">
          <cell r="C2265" t="str">
            <v>10.2.5.13</v>
          </cell>
          <cell r="D2265" t="str">
            <v>Tê Fofo Com  Bolsas , Pn 10, Ø150 X 150 Mm.</v>
          </cell>
          <cell r="E2265" t="str">
            <v>un</v>
          </cell>
          <cell r="F2265"/>
          <cell r="G2265">
            <v>271.29000000000002</v>
          </cell>
          <cell r="H2265">
            <v>0</v>
          </cell>
        </row>
        <row r="2266">
          <cell r="C2266" t="str">
            <v>10.2.5.14</v>
          </cell>
          <cell r="D2266" t="str">
            <v>Tê Fofo Com  Bolsas E Flange, Pn 10, Ø200 X 100 Mm.</v>
          </cell>
          <cell r="E2266" t="str">
            <v>un</v>
          </cell>
          <cell r="F2266"/>
          <cell r="G2266">
            <v>423.02</v>
          </cell>
          <cell r="H2266">
            <v>0</v>
          </cell>
        </row>
        <row r="2267">
          <cell r="C2267" t="str">
            <v>10.2.5.15</v>
          </cell>
          <cell r="D2267" t="str">
            <v>Tê Fofo Com  Bolsas E Flange, Pn 10, Ø200 X 200 Mm.</v>
          </cell>
          <cell r="E2267" t="str">
            <v>un</v>
          </cell>
          <cell r="F2267"/>
          <cell r="G2267">
            <v>570.16</v>
          </cell>
          <cell r="H2267">
            <v>0</v>
          </cell>
        </row>
        <row r="2268">
          <cell r="C2268" t="str">
            <v>10.2.5.16</v>
          </cell>
          <cell r="D2268" t="str">
            <v>Tê Fofo Com  Bolsas E Flange, Pn 10, Ø250 X 100 Mm.</v>
          </cell>
          <cell r="E2268" t="str">
            <v>un</v>
          </cell>
          <cell r="F2268"/>
          <cell r="G2268">
            <v>455.2</v>
          </cell>
          <cell r="H2268">
            <v>0</v>
          </cell>
        </row>
        <row r="2269">
          <cell r="C2269" t="str">
            <v>10.2.5.17</v>
          </cell>
          <cell r="D2269" t="str">
            <v>Tê Fofo Com  Bolsas E Flange, Pn 10, Ø250 X 200 Mm.</v>
          </cell>
          <cell r="E2269" t="str">
            <v>un</v>
          </cell>
          <cell r="F2269"/>
          <cell r="G2269">
            <v>574.75</v>
          </cell>
          <cell r="H2269">
            <v>0</v>
          </cell>
        </row>
        <row r="2270">
          <cell r="C2270" t="str">
            <v>10.2.5.18</v>
          </cell>
          <cell r="D2270" t="str">
            <v>Tê Fofo Com  Bolsas E Flange, Pn 10, Ø300 X 100 Mm.</v>
          </cell>
          <cell r="E2270" t="str">
            <v>un</v>
          </cell>
          <cell r="F2270"/>
          <cell r="G2270">
            <v>549.46</v>
          </cell>
          <cell r="H2270">
            <v>0</v>
          </cell>
        </row>
        <row r="2271">
          <cell r="C2271" t="str">
            <v>10.2.5.19</v>
          </cell>
          <cell r="D2271" t="str">
            <v>Tê Fofo Com  Bolsas E Flange, Pn 10, Ø300 X 200 Mm.</v>
          </cell>
          <cell r="E2271" t="str">
            <v>un</v>
          </cell>
          <cell r="F2271"/>
          <cell r="G2271">
            <v>793.16</v>
          </cell>
          <cell r="H2271">
            <v>0</v>
          </cell>
        </row>
        <row r="2272">
          <cell r="C2272" t="str">
            <v>10.2.5.20</v>
          </cell>
          <cell r="D2272" t="str">
            <v>Tê Fofo Com  Bolsas E Flange, Pn 10, Ø350 X 200 Mm.</v>
          </cell>
          <cell r="E2272" t="str">
            <v>un</v>
          </cell>
          <cell r="F2272"/>
          <cell r="G2272">
            <v>1303.54</v>
          </cell>
          <cell r="H2272">
            <v>0</v>
          </cell>
        </row>
        <row r="2273">
          <cell r="C2273" t="str">
            <v>10.2.5.21</v>
          </cell>
          <cell r="D2273" t="str">
            <v>Tê Fofo Com  Bolsas E Flange, Pn 10, Ø350 X 200 Mm.</v>
          </cell>
          <cell r="E2273" t="str">
            <v>un</v>
          </cell>
          <cell r="F2273"/>
          <cell r="G2273">
            <v>1303.54</v>
          </cell>
          <cell r="H2273">
            <v>0</v>
          </cell>
        </row>
        <row r="2274">
          <cell r="C2274" t="str">
            <v>10.2.5.22</v>
          </cell>
          <cell r="D2274" t="str">
            <v>Tê Fofo Com  Bolsas E Flange, Pn 10, Ø400 X 200 Mm.</v>
          </cell>
          <cell r="E2274" t="str">
            <v>un</v>
          </cell>
          <cell r="F2274"/>
          <cell r="G2274">
            <v>1289.76</v>
          </cell>
          <cell r="H2274">
            <v>0</v>
          </cell>
        </row>
        <row r="2275">
          <cell r="C2275" t="str">
            <v>10.2.5.23</v>
          </cell>
          <cell r="D2275" t="str">
            <v>Tê Fofo Com  Bolsas E Flange, Pn 10, Ø400 X 200 Mm.</v>
          </cell>
          <cell r="E2275" t="str">
            <v>un</v>
          </cell>
          <cell r="F2275"/>
          <cell r="G2275">
            <v>1289.76</v>
          </cell>
          <cell r="H2275">
            <v>0</v>
          </cell>
        </row>
        <row r="2276">
          <cell r="C2276" t="str">
            <v>10.2.5.24</v>
          </cell>
          <cell r="D2276" t="str">
            <v>Tê Fofo Com  Bolsas E Flange, Pn 10, Ø450 X 200 Mm.</v>
          </cell>
          <cell r="E2276" t="str">
            <v>un</v>
          </cell>
          <cell r="F2276"/>
          <cell r="G2276">
            <v>1892.09</v>
          </cell>
          <cell r="H2276">
            <v>0</v>
          </cell>
        </row>
        <row r="2277">
          <cell r="C2277" t="str">
            <v>10.2.5.25</v>
          </cell>
          <cell r="D2277" t="str">
            <v>Tê Fofo Com  Bolsas E Flange, Pn 10, Ø500 X 200 Mm.</v>
          </cell>
          <cell r="E2277" t="str">
            <v>un</v>
          </cell>
          <cell r="F2277"/>
          <cell r="G2277">
            <v>2011.64</v>
          </cell>
          <cell r="H2277">
            <v>0</v>
          </cell>
        </row>
        <row r="2278">
          <cell r="C2278" t="str">
            <v>10.2.5.26</v>
          </cell>
          <cell r="D2278" t="str">
            <v>Tê Fofo Com  Bolsas E Flange, Pn 10, Ø500 X 200 Mm.</v>
          </cell>
          <cell r="E2278" t="str">
            <v>un</v>
          </cell>
          <cell r="F2278"/>
          <cell r="G2278">
            <v>2011.64</v>
          </cell>
          <cell r="H2278">
            <v>0</v>
          </cell>
        </row>
        <row r="2279">
          <cell r="C2279" t="str">
            <v>10.2.5.27</v>
          </cell>
          <cell r="D2279" t="str">
            <v>Tê Fofo Com  Bolsas E Flange, Pn 10, Ø600 X 200 Mm.</v>
          </cell>
          <cell r="E2279" t="str">
            <v>un</v>
          </cell>
          <cell r="F2279"/>
          <cell r="G2279">
            <v>2517.4299999999998</v>
          </cell>
          <cell r="H2279">
            <v>0</v>
          </cell>
        </row>
        <row r="2280">
          <cell r="C2280" t="str">
            <v>10.2.5.28</v>
          </cell>
          <cell r="D2280" t="str">
            <v>Tê Fofo Com  Bolsas E Flange, Pn 10, Ø700 X 200 Mm.</v>
          </cell>
          <cell r="E2280" t="str">
            <v>un</v>
          </cell>
          <cell r="F2280"/>
          <cell r="G2280">
            <v>3172.66</v>
          </cell>
          <cell r="H2280">
            <v>0</v>
          </cell>
        </row>
        <row r="2281">
          <cell r="C2281" t="str">
            <v>10.2.5.29</v>
          </cell>
          <cell r="D2281" t="str">
            <v>Tê Fofo Com  Bolsas E Flange, Pn 10, Ø800 X 200 Mm.</v>
          </cell>
          <cell r="E2281" t="str">
            <v>un</v>
          </cell>
          <cell r="F2281"/>
          <cell r="G2281">
            <v>4255.5</v>
          </cell>
          <cell r="H2281">
            <v>0</v>
          </cell>
        </row>
        <row r="2282">
          <cell r="C2282" t="str">
            <v>10.2.5.30</v>
          </cell>
          <cell r="D2282" t="str">
            <v>Tê Fofo Com  Bolsas E Flange, Pn 10, Ø800 X 200 Mm.</v>
          </cell>
          <cell r="E2282" t="str">
            <v>un</v>
          </cell>
          <cell r="F2282"/>
          <cell r="G2282">
            <v>4255.5</v>
          </cell>
          <cell r="H2282">
            <v>0</v>
          </cell>
        </row>
        <row r="2283">
          <cell r="C2283" t="str">
            <v>10.2.5.31</v>
          </cell>
          <cell r="D2283" t="str">
            <v>Tê Fofo Com Bolsas E Flange, Ø150 X 50 Mm.</v>
          </cell>
          <cell r="E2283" t="str">
            <v>un</v>
          </cell>
          <cell r="F2283"/>
          <cell r="G2283">
            <v>200</v>
          </cell>
          <cell r="H2283">
            <v>0</v>
          </cell>
        </row>
        <row r="2284">
          <cell r="C2284" t="str">
            <v>10.2.5.32</v>
          </cell>
          <cell r="D2284" t="str">
            <v>Tubo Fofo Com Flanges,  Ø50 Mm, L= 1,0 M.</v>
          </cell>
          <cell r="E2284" t="str">
            <v>un</v>
          </cell>
          <cell r="F2284"/>
          <cell r="G2284">
            <v>297.38</v>
          </cell>
          <cell r="H2284">
            <v>0</v>
          </cell>
        </row>
        <row r="2285">
          <cell r="C2285" t="str">
            <v>10.2.5.33</v>
          </cell>
          <cell r="D2285" t="str">
            <v>Tubo Fofo Com Flanges, Pn 10, Ø100 Mm, L= 1,0 M.</v>
          </cell>
          <cell r="E2285" t="str">
            <v>un</v>
          </cell>
          <cell r="F2285"/>
          <cell r="G2285">
            <v>249.04</v>
          </cell>
          <cell r="H2285">
            <v>0</v>
          </cell>
        </row>
        <row r="2286">
          <cell r="C2286" t="str">
            <v>10.2.5.34</v>
          </cell>
          <cell r="D2286" t="str">
            <v>Tubo Fofo Tk 12  Com Flanges, L= 0,80 M, Ø150 Mm.</v>
          </cell>
          <cell r="E2286" t="str">
            <v>un</v>
          </cell>
          <cell r="F2286"/>
          <cell r="G2286">
            <v>413.81</v>
          </cell>
          <cell r="H2286">
            <v>0</v>
          </cell>
        </row>
        <row r="2287">
          <cell r="C2287" t="str">
            <v>10.2.5.35</v>
          </cell>
          <cell r="D2287" t="str">
            <v>Tubo Fofo Tk 12 Com Flange E Ponta, L= 1,70 M, Ø150 Mm.</v>
          </cell>
          <cell r="E2287" t="str">
            <v>un</v>
          </cell>
          <cell r="F2287"/>
          <cell r="G2287">
            <v>446.67</v>
          </cell>
          <cell r="H2287">
            <v>0</v>
          </cell>
        </row>
        <row r="2288">
          <cell r="C2288" t="str">
            <v>10.2.5.36</v>
          </cell>
          <cell r="D2288" t="str">
            <v>Tubo Fofo Tk 12 Com Flange E Ponta, L= 1,70 M, Ø200 Mm.</v>
          </cell>
          <cell r="E2288" t="str">
            <v>un</v>
          </cell>
          <cell r="F2288"/>
          <cell r="G2288">
            <v>591.75</v>
          </cell>
          <cell r="H2288">
            <v>0</v>
          </cell>
        </row>
        <row r="2289">
          <cell r="C2289" t="str">
            <v>10.2.5.37</v>
          </cell>
          <cell r="D2289" t="str">
            <v>Tubo Fofo Tk 12 Com Flanges, L= 0,50 M, Ø200 Mm.</v>
          </cell>
          <cell r="E2289" t="str">
            <v>un</v>
          </cell>
          <cell r="F2289"/>
          <cell r="G2289">
            <v>448.08</v>
          </cell>
          <cell r="H2289">
            <v>0</v>
          </cell>
        </row>
        <row r="2290">
          <cell r="C2290" t="str">
            <v>10.2.5.38</v>
          </cell>
          <cell r="D2290" t="str">
            <v>Tubo Fofo Tk 12 Com Flanges, L= 0,80 M, Ø200 Mm.</v>
          </cell>
          <cell r="E2290" t="str">
            <v>un</v>
          </cell>
          <cell r="F2290"/>
          <cell r="G2290">
            <v>574.01</v>
          </cell>
          <cell r="H2290">
            <v>0</v>
          </cell>
        </row>
        <row r="2291">
          <cell r="C2291" t="str">
            <v>10.2.5.39</v>
          </cell>
          <cell r="D2291" t="str">
            <v>Tubo Fofo Tk 12 Com Pontas , L= 0,50 M, Ø150 Mm.</v>
          </cell>
          <cell r="E2291" t="str">
            <v>un</v>
          </cell>
          <cell r="F2291"/>
          <cell r="G2291">
            <v>69.430000000000007</v>
          </cell>
          <cell r="H2291">
            <v>0</v>
          </cell>
        </row>
        <row r="2292">
          <cell r="C2292" t="str">
            <v>10.2.5.40</v>
          </cell>
          <cell r="D2292" t="str">
            <v>Tubo Fofo Tk 12 Com Pontas, L= 0,50 M, Ø200 Mm.</v>
          </cell>
          <cell r="E2292" t="str">
            <v>un</v>
          </cell>
          <cell r="F2292"/>
          <cell r="G2292">
            <v>92.92</v>
          </cell>
          <cell r="H2292">
            <v>0</v>
          </cell>
        </row>
        <row r="2293">
          <cell r="C2293" t="str">
            <v>10.2.5.41</v>
          </cell>
          <cell r="D2293" t="str">
            <v>Tubo Tk 12 Fofo, L= 1,0 M, Ø150 Mm.</v>
          </cell>
          <cell r="E2293" t="str">
            <v>un</v>
          </cell>
          <cell r="F2293"/>
          <cell r="G2293">
            <v>463.95</v>
          </cell>
          <cell r="H2293">
            <v>0</v>
          </cell>
        </row>
        <row r="2294">
          <cell r="C2294" t="str">
            <v>10.2.5.42</v>
          </cell>
          <cell r="D2294" t="str">
            <v>Tubo Tk 12 Fofo, L= 1,0 M, Ø200 Mm.</v>
          </cell>
          <cell r="E2294" t="str">
            <v>un</v>
          </cell>
          <cell r="F2294"/>
          <cell r="G2294">
            <v>641.67999999999995</v>
          </cell>
          <cell r="H2294">
            <v>0</v>
          </cell>
        </row>
        <row r="2295">
          <cell r="C2295" t="str">
            <v>10.2.5.43</v>
          </cell>
          <cell r="D2295" t="str">
            <v>Ventosa De Tríplice Função , Com Flanges, Fofo, Pn10, Ø100 Mm.</v>
          </cell>
          <cell r="E2295" t="str">
            <v>un</v>
          </cell>
          <cell r="F2295"/>
          <cell r="G2295">
            <v>1134.75</v>
          </cell>
          <cell r="H2295">
            <v>0</v>
          </cell>
        </row>
        <row r="2296">
          <cell r="C2296" t="str">
            <v>10.2.5.44</v>
          </cell>
          <cell r="D2296" t="str">
            <v>Ventosa De Tríplice Função , Com Flanges, Fofo, Pn10, Ø150 Mm.</v>
          </cell>
          <cell r="E2296" t="str">
            <v>un</v>
          </cell>
          <cell r="F2296"/>
          <cell r="G2296">
            <v>1207.1099999999999</v>
          </cell>
          <cell r="H2296">
            <v>0</v>
          </cell>
        </row>
        <row r="2297">
          <cell r="C2297" t="str">
            <v>10.2.5.45</v>
          </cell>
          <cell r="D2297" t="str">
            <v>Ventosa De Tríplice Função , Com Flanges, Fofo, Pn10, Ø200 Mm.</v>
          </cell>
          <cell r="E2297" t="str">
            <v>un</v>
          </cell>
          <cell r="F2297"/>
          <cell r="G2297">
            <v>1728.79</v>
          </cell>
          <cell r="H2297">
            <v>0</v>
          </cell>
        </row>
        <row r="2298">
          <cell r="C2298" t="str">
            <v>10.2.5.46</v>
          </cell>
          <cell r="D2298" t="str">
            <v>Ventosa De Tríplice Função , Com Flanges, Fofo, Pn10, Ø50 Mm.</v>
          </cell>
          <cell r="E2298" t="str">
            <v>un</v>
          </cell>
          <cell r="F2298"/>
          <cell r="G2298">
            <v>380.78</v>
          </cell>
          <cell r="H2298">
            <v>0</v>
          </cell>
        </row>
        <row r="2299">
          <cell r="C2299" t="str">
            <v>11.</v>
          </cell>
          <cell r="D2299" t="str">
            <v>11 - REDE BAIXA PRESSÃO</v>
          </cell>
          <cell r="E2299"/>
          <cell r="F2299"/>
          <cell r="G2299"/>
          <cell r="H2299">
            <v>0</v>
          </cell>
        </row>
        <row r="2300">
          <cell r="C2300" t="str">
            <v>11.1</v>
          </cell>
          <cell r="D2300" t="str">
            <v>CAIXAS DE LOTE TIPO I</v>
          </cell>
          <cell r="E2300"/>
          <cell r="F2300"/>
          <cell r="G2300"/>
          <cell r="H2300">
            <v>0</v>
          </cell>
        </row>
        <row r="2301">
          <cell r="C2301" t="str">
            <v>11.1.1</v>
          </cell>
          <cell r="D2301" t="str">
            <v>Escavação Mecânica Em Material De 1ª Categoria, Dmt &lt;= 300 M</v>
          </cell>
          <cell r="E2301" t="str">
            <v>m³</v>
          </cell>
          <cell r="F2301"/>
          <cell r="G2301">
            <v>5.54</v>
          </cell>
          <cell r="H2301">
            <v>0</v>
          </cell>
        </row>
        <row r="2302">
          <cell r="C2302" t="str">
            <v>11.1.2</v>
          </cell>
          <cell r="D2302" t="str">
            <v>Aterro Compactado, Compreendendo Escavação, Carga, Descarga E Transporte Até 300 M, Umeddecimento, Espalhamento, Homogenização E Compactação</v>
          </cell>
          <cell r="E2302" t="str">
            <v>m³</v>
          </cell>
          <cell r="F2302"/>
          <cell r="G2302">
            <v>9.69</v>
          </cell>
          <cell r="H2302">
            <v>0</v>
          </cell>
        </row>
        <row r="2303">
          <cell r="C2303" t="str">
            <v>11.1.3</v>
          </cell>
          <cell r="D2303" t="str">
            <v>Reaterro Compactado Com Reaproveitamento Do Material Escavado</v>
          </cell>
          <cell r="E2303" t="str">
            <v>m³</v>
          </cell>
          <cell r="F2303"/>
          <cell r="G2303">
            <v>7.41</v>
          </cell>
          <cell r="H2303">
            <v>0</v>
          </cell>
        </row>
        <row r="2304">
          <cell r="C2304" t="str">
            <v>11.1.4</v>
          </cell>
          <cell r="D2304" t="str">
            <v>Aterro Compactado</v>
          </cell>
          <cell r="E2304" t="str">
            <v>m³</v>
          </cell>
          <cell r="F2304"/>
          <cell r="G2304">
            <v>5.56</v>
          </cell>
          <cell r="H2304">
            <v>0</v>
          </cell>
        </row>
        <row r="2305">
          <cell r="C2305" t="str">
            <v>11.1.5</v>
          </cell>
          <cell r="D2305" t="str">
            <v>Laterita Compactada</v>
          </cell>
          <cell r="E2305" t="str">
            <v>m³</v>
          </cell>
          <cell r="F2305"/>
          <cell r="G2305">
            <v>11.55</v>
          </cell>
          <cell r="H2305">
            <v>0</v>
          </cell>
        </row>
        <row r="2306">
          <cell r="C2306" t="str">
            <v>11.1.6</v>
          </cell>
          <cell r="D2306" t="str">
            <v>Preparo, Lançamento E Adensamento De Concreto  (Ca-7 J)</v>
          </cell>
          <cell r="E2306" t="str">
            <v>m³</v>
          </cell>
          <cell r="F2306"/>
          <cell r="G2306">
            <v>236.36</v>
          </cell>
          <cell r="H2306">
            <v>0</v>
          </cell>
        </row>
        <row r="2307">
          <cell r="C2307" t="str">
            <v>11.1.7</v>
          </cell>
          <cell r="D2307" t="str">
            <v>Preparo, Lançamento E Adensamento De Concreto  (Ca-4 B)</v>
          </cell>
          <cell r="E2307" t="str">
            <v>m³</v>
          </cell>
          <cell r="F2307"/>
          <cell r="G2307">
            <v>284.41000000000003</v>
          </cell>
          <cell r="H2307">
            <v>0</v>
          </cell>
        </row>
        <row r="2308">
          <cell r="C2308" t="str">
            <v>11.1.8</v>
          </cell>
          <cell r="D2308" t="str">
            <v>Formas Planas Para Concreto</v>
          </cell>
          <cell r="E2308" t="str">
            <v>m²</v>
          </cell>
          <cell r="F2308"/>
          <cell r="G2308">
            <v>53.52</v>
          </cell>
          <cell r="H2308">
            <v>0</v>
          </cell>
        </row>
        <row r="2309">
          <cell r="C2309" t="str">
            <v>11.1.9</v>
          </cell>
          <cell r="D2309" t="str">
            <v>Armadura Para Concreto Estrutural, Aço Ca-50B</v>
          </cell>
          <cell r="E2309" t="str">
            <v>kg</v>
          </cell>
          <cell r="F2309"/>
          <cell r="G2309">
            <v>3.87</v>
          </cell>
          <cell r="H2309">
            <v>0</v>
          </cell>
        </row>
        <row r="2310">
          <cell r="C2310" t="str">
            <v>11.1.10</v>
          </cell>
          <cell r="D2310" t="str">
            <v>Concreto Pré-Moldado</v>
          </cell>
          <cell r="E2310" t="str">
            <v>m³</v>
          </cell>
          <cell r="F2310"/>
          <cell r="G2310">
            <v>289.06</v>
          </cell>
          <cell r="H2310">
            <v>0</v>
          </cell>
        </row>
        <row r="2311">
          <cell r="C2311" t="str">
            <v>11.2</v>
          </cell>
          <cell r="D2311" t="str">
            <v xml:space="preserve">CAIXAS DE LOTE TIPO II </v>
          </cell>
          <cell r="E2311"/>
          <cell r="F2311"/>
          <cell r="G2311"/>
          <cell r="H2311">
            <v>0</v>
          </cell>
        </row>
        <row r="2312">
          <cell r="C2312" t="str">
            <v>11.2.1</v>
          </cell>
          <cell r="D2312" t="str">
            <v>OBRAS CIVIS E MONTAGEM</v>
          </cell>
          <cell r="E2312"/>
          <cell r="F2312"/>
          <cell r="G2312"/>
          <cell r="H2312">
            <v>0</v>
          </cell>
        </row>
        <row r="2313">
          <cell r="C2313" t="str">
            <v>11.2.1.1</v>
          </cell>
          <cell r="D2313" t="str">
            <v>Escavação Mecânica Em Material De 1ª Categoria, Dmt &lt;= 300 M</v>
          </cell>
          <cell r="E2313" t="str">
            <v>m³</v>
          </cell>
          <cell r="F2313"/>
          <cell r="G2313">
            <v>5.54</v>
          </cell>
          <cell r="H2313">
            <v>0</v>
          </cell>
        </row>
        <row r="2314">
          <cell r="C2314" t="str">
            <v>11.2.1.2</v>
          </cell>
          <cell r="D2314" t="str">
            <v>Reaterro Compactado Com Reaproveitamento Do Material Escavado</v>
          </cell>
          <cell r="E2314" t="str">
            <v>m³</v>
          </cell>
          <cell r="F2314"/>
          <cell r="G2314">
            <v>7.41</v>
          </cell>
          <cell r="H2314">
            <v>0</v>
          </cell>
        </row>
        <row r="2315">
          <cell r="C2315" t="str">
            <v>11.2.1.3</v>
          </cell>
          <cell r="D2315" t="str">
            <v>Preparo, Lançamento E Adensamento De Concreto   (Ca-7 J)</v>
          </cell>
          <cell r="E2315" t="str">
            <v>m³</v>
          </cell>
          <cell r="F2315"/>
          <cell r="G2315">
            <v>236.36</v>
          </cell>
          <cell r="H2315">
            <v>0</v>
          </cell>
        </row>
        <row r="2316">
          <cell r="C2316" t="str">
            <v>11.2.1.4</v>
          </cell>
          <cell r="D2316" t="str">
            <v>Preparo, Lançamento E Adensamento De Concreto   (Ca-4 B)</v>
          </cell>
          <cell r="E2316" t="str">
            <v>m³</v>
          </cell>
          <cell r="F2316"/>
          <cell r="G2316">
            <v>284.41000000000003</v>
          </cell>
          <cell r="H2316">
            <v>0</v>
          </cell>
        </row>
        <row r="2317">
          <cell r="C2317" t="str">
            <v>11.2.1.5</v>
          </cell>
          <cell r="D2317" t="str">
            <v>Formas Planas Para Concreto</v>
          </cell>
          <cell r="E2317" t="str">
            <v>m²</v>
          </cell>
          <cell r="F2317"/>
          <cell r="G2317">
            <v>53.52</v>
          </cell>
          <cell r="H2317">
            <v>0</v>
          </cell>
        </row>
        <row r="2318">
          <cell r="C2318" t="str">
            <v>11.2.1.6</v>
          </cell>
          <cell r="D2318" t="str">
            <v>Armadura Para Concreto Estrutural, Aço Ca-50B</v>
          </cell>
          <cell r="E2318" t="str">
            <v>kg</v>
          </cell>
          <cell r="F2318"/>
          <cell r="G2318">
            <v>3.87</v>
          </cell>
          <cell r="H2318">
            <v>0</v>
          </cell>
        </row>
        <row r="2319">
          <cell r="C2319" t="str">
            <v>11.2.1.7</v>
          </cell>
          <cell r="D2319" t="str">
            <v>Concreto Pré-Moldado</v>
          </cell>
          <cell r="E2319" t="str">
            <v>m³</v>
          </cell>
          <cell r="F2319"/>
          <cell r="G2319">
            <v>289.06</v>
          </cell>
          <cell r="H2319">
            <v>0</v>
          </cell>
        </row>
        <row r="2320">
          <cell r="C2320" t="str">
            <v>11.2.1.8</v>
          </cell>
          <cell r="D2320" t="str">
            <v>Fabricação E Instalação De Escada Tipo Marinheiro</v>
          </cell>
          <cell r="E2320" t="str">
            <v>m³</v>
          </cell>
          <cell r="F2320"/>
          <cell r="G2320">
            <v>77.069999999999993</v>
          </cell>
          <cell r="H2320">
            <v>0</v>
          </cell>
        </row>
        <row r="2321">
          <cell r="C2321" t="str">
            <v>11.2.1.9</v>
          </cell>
          <cell r="D2321" t="str">
            <v>Montagem</v>
          </cell>
          <cell r="E2321" t="str">
            <v>cj</v>
          </cell>
          <cell r="F2321"/>
          <cell r="G2321">
            <v>3082.3</v>
          </cell>
          <cell r="H2321">
            <v>0</v>
          </cell>
        </row>
        <row r="2322">
          <cell r="C2322" t="str">
            <v>11.3</v>
          </cell>
          <cell r="D2322" t="str">
            <v>FORNECIMENTO (O BDI do item 11.3 foi reduzido de 40% para 37,2%)</v>
          </cell>
          <cell r="E2322"/>
          <cell r="F2322"/>
          <cell r="G2322"/>
          <cell r="H2322">
            <v>0</v>
          </cell>
        </row>
        <row r="2323">
          <cell r="C2323" t="str">
            <v>11.3.1</v>
          </cell>
          <cell r="D2323" t="str">
            <v>Curva 90º Com Bolsa Ø300 Mm, Fºfº</v>
          </cell>
          <cell r="E2323" t="str">
            <v>pç</v>
          </cell>
          <cell r="F2323"/>
          <cell r="G2323">
            <v>706.14</v>
          </cell>
          <cell r="H2323">
            <v>0</v>
          </cell>
        </row>
        <row r="2324">
          <cell r="C2324" t="str">
            <v>11.3.2</v>
          </cell>
          <cell r="D2324" t="str">
            <v>Toco Com Ponta E Flange C/Aba De Vedação Ø300 Mm, Fºfº, L=480 Mm</v>
          </cell>
          <cell r="E2324" t="str">
            <v>pç</v>
          </cell>
          <cell r="F2324"/>
          <cell r="G2324">
            <v>571.67999999999995</v>
          </cell>
          <cell r="H2324">
            <v>0</v>
          </cell>
        </row>
        <row r="2325">
          <cell r="C2325" t="str">
            <v>11.3.3</v>
          </cell>
          <cell r="D2325" t="str">
            <v>Curva 90º Com Flange Ø300 Mm, Fºfº</v>
          </cell>
          <cell r="E2325" t="str">
            <v>pç</v>
          </cell>
          <cell r="F2325"/>
          <cell r="G2325">
            <v>676.51</v>
          </cell>
          <cell r="H2325">
            <v>0</v>
          </cell>
        </row>
        <row r="2326">
          <cell r="C2326" t="str">
            <v>11.3.4</v>
          </cell>
          <cell r="D2326" t="str">
            <v>Redução Com Flange Ø300 X 200 Mm, Fºfº</v>
          </cell>
          <cell r="E2326" t="str">
            <v>pç</v>
          </cell>
          <cell r="F2326"/>
          <cell r="G2326">
            <v>549.46</v>
          </cell>
          <cell r="H2326">
            <v>0</v>
          </cell>
        </row>
        <row r="2327">
          <cell r="C2327" t="str">
            <v>11.3.5</v>
          </cell>
          <cell r="D2327" t="str">
            <v>Registro Chato C/Flange Ø200 Mm</v>
          </cell>
          <cell r="E2327" t="str">
            <v>pç</v>
          </cell>
          <cell r="F2327"/>
          <cell r="G2327">
            <v>1517.35</v>
          </cell>
          <cell r="H2327">
            <v>0</v>
          </cell>
        </row>
        <row r="2328">
          <cell r="C2328" t="str">
            <v>11.3.6</v>
          </cell>
          <cell r="D2328" t="str">
            <v>Toco C/Ponta E Flange Ø200 Mm, Fºfº, L = 240 Mm</v>
          </cell>
          <cell r="E2328" t="str">
            <v>pç</v>
          </cell>
          <cell r="F2328"/>
          <cell r="G2328">
            <v>232.82</v>
          </cell>
          <cell r="H2328">
            <v>0</v>
          </cell>
        </row>
        <row r="2329">
          <cell r="C2329" t="str">
            <v>11.3.7</v>
          </cell>
          <cell r="D2329" t="str">
            <v>Junta Dresser Ø200 Mm</v>
          </cell>
          <cell r="E2329" t="str">
            <v>pç</v>
          </cell>
          <cell r="F2329"/>
          <cell r="G2329">
            <v>1287.46</v>
          </cell>
          <cell r="H2329">
            <v>0</v>
          </cell>
        </row>
        <row r="2330">
          <cell r="C2330" t="str">
            <v>11.3.8</v>
          </cell>
          <cell r="D2330" t="str">
            <v>Válvula Controladora De Vazão Tipo Bermad 770-8"</v>
          </cell>
          <cell r="E2330" t="str">
            <v>pç</v>
          </cell>
          <cell r="F2330"/>
          <cell r="G2330">
            <v>14928.94</v>
          </cell>
          <cell r="H2330">
            <v>0</v>
          </cell>
        </row>
        <row r="2331">
          <cell r="C2331" t="str">
            <v>11.3.9</v>
          </cell>
          <cell r="D2331" t="str">
            <v>Toco C/Flange E Aba De Vedação Ø200 Mm, Fºfº, L = 430 Mm</v>
          </cell>
          <cell r="E2331" t="str">
            <v>pç</v>
          </cell>
          <cell r="F2331"/>
          <cell r="G2331">
            <v>586.24</v>
          </cell>
          <cell r="H2331">
            <v>0</v>
          </cell>
        </row>
        <row r="2332">
          <cell r="C2332" t="str">
            <v>12.</v>
          </cell>
          <cell r="D2332" t="str">
            <v>12 - DESMATAMENTO</v>
          </cell>
          <cell r="E2332"/>
          <cell r="F2332"/>
          <cell r="G2332"/>
          <cell r="H2332">
            <v>0</v>
          </cell>
        </row>
        <row r="2333">
          <cell r="C2333" t="str">
            <v>12.1</v>
          </cell>
          <cell r="D2333" t="str">
            <v>OBRAS CIVIS</v>
          </cell>
          <cell r="E2333"/>
          <cell r="F2333"/>
          <cell r="G2333"/>
          <cell r="H2333">
            <v>0</v>
          </cell>
        </row>
        <row r="2334">
          <cell r="C2334" t="str">
            <v>12.1.1</v>
          </cell>
          <cell r="D2334" t="str">
            <v>Lotes empresariais e Setores</v>
          </cell>
          <cell r="E2334"/>
          <cell r="F2334"/>
          <cell r="G2334"/>
          <cell r="H2334">
            <v>0</v>
          </cell>
        </row>
        <row r="2335">
          <cell r="C2335" t="str">
            <v>12.1.1.1</v>
          </cell>
          <cell r="D2335" t="str">
            <v>Desmatamento, Destocamento E Limpeza Do Terreno</v>
          </cell>
          <cell r="E2335" t="str">
            <v>ha</v>
          </cell>
          <cell r="F2335"/>
          <cell r="G2335">
            <v>1660.74</v>
          </cell>
          <cell r="H2335">
            <v>0</v>
          </cell>
        </row>
        <row r="2336">
          <cell r="C2336" t="str">
            <v>12.1.1.2</v>
          </cell>
          <cell r="D2336" t="str">
            <v>Execução De Cercas Na Poliginal Do Projeto Com Estacas De Concreto Armado (9 Fios De Arame).</v>
          </cell>
          <cell r="E2336" t="str">
            <v>m</v>
          </cell>
          <cell r="F2336"/>
          <cell r="G2336">
            <v>19.05</v>
          </cell>
          <cell r="H2336">
            <v>0</v>
          </cell>
        </row>
        <row r="2337">
          <cell r="C2337" t="str">
            <v>12.1.1.3</v>
          </cell>
          <cell r="D2337" t="str">
            <v>Supressão Vegetal Em Vegetação Densa Com Resgate De Fauna, Aproveitamento Do Material Lenhoso, Trituração E Incorporação Do Resíduo</v>
          </cell>
          <cell r="E2337" t="str">
            <v>ha</v>
          </cell>
          <cell r="F2337"/>
          <cell r="G2337">
            <v>8444.81</v>
          </cell>
          <cell r="H2337">
            <v>0</v>
          </cell>
        </row>
        <row r="2338">
          <cell r="C2338" t="str">
            <v>12.1.1.4</v>
          </cell>
          <cell r="D2338" t="str">
            <v>Supressão Vegetal Em Vegetação Rala Com Resgate De Fauna, Aproveitamento Do Material Lenhoso, Trituração E Incorporação Do Resíduo</v>
          </cell>
          <cell r="E2338" t="str">
            <v>ha</v>
          </cell>
          <cell r="F2338"/>
          <cell r="G2338">
            <v>6755.45</v>
          </cell>
          <cell r="H2338">
            <v>0</v>
          </cell>
        </row>
        <row r="2339">
          <cell r="C2339" t="str">
            <v>13.</v>
          </cell>
          <cell r="D2339" t="str">
            <v>13 - REDES FIXAS E "ON FARM"</v>
          </cell>
          <cell r="E2339"/>
          <cell r="F2339"/>
          <cell r="G2339"/>
          <cell r="H2339">
            <v>0</v>
          </cell>
        </row>
        <row r="2340">
          <cell r="C2340" t="str">
            <v>13.1</v>
          </cell>
          <cell r="D2340" t="str">
            <v>OBRAS CIVIS E MONTAGEM</v>
          </cell>
          <cell r="E2340"/>
          <cell r="F2340"/>
          <cell r="G2340"/>
          <cell r="H2340">
            <v>0</v>
          </cell>
        </row>
        <row r="2341">
          <cell r="C2341" t="str">
            <v>13.1.1</v>
          </cell>
          <cell r="D2341" t="str">
            <v>Demarcação Dos Lotes Com Marcos De Concreto De Dimensões (0,10 X 0,20 X 0,60) M, Nos Vértices</v>
          </cell>
          <cell r="E2341" t="str">
            <v>ha</v>
          </cell>
          <cell r="F2341"/>
          <cell r="G2341">
            <v>88.6</v>
          </cell>
          <cell r="H2341">
            <v>0</v>
          </cell>
        </row>
        <row r="2342">
          <cell r="C2342" t="str">
            <v>13.1.2</v>
          </cell>
          <cell r="D2342" t="str">
            <v>Implantação De Quebra Ventos, Incluindo O Fornecimento De Mudas, Limpeza Do Terreno, Plantio E Tratos Culturais Por Um Período  De 1 Ano.</v>
          </cell>
          <cell r="E2342" t="str">
            <v>ha</v>
          </cell>
          <cell r="F2342"/>
          <cell r="G2342">
            <v>1896.67</v>
          </cell>
          <cell r="H2342">
            <v>0</v>
          </cell>
        </row>
        <row r="2343">
          <cell r="C2343" t="str">
            <v>13.1.3</v>
          </cell>
          <cell r="D2343" t="str">
            <v>Caixas De Alvenaria De Tijolos Cerâmicos, Com Reboco,  Espessura De 15 Cm</v>
          </cell>
          <cell r="E2343" t="str">
            <v>un</v>
          </cell>
          <cell r="F2343"/>
          <cell r="G2343">
            <v>217.59</v>
          </cell>
          <cell r="H2343">
            <v>0</v>
          </cell>
        </row>
        <row r="2344">
          <cell r="C2344" t="str">
            <v>13.1.4</v>
          </cell>
          <cell r="D2344" t="str">
            <v>Escavação Mecânica De Vala Assentamento Material De 1ª Categoria Com Dmt &lt;= 100 M  (Até 2,0M)</v>
          </cell>
          <cell r="E2344" t="str">
            <v>m³</v>
          </cell>
          <cell r="F2344"/>
          <cell r="G2344">
            <v>3.23</v>
          </cell>
          <cell r="H2344">
            <v>0</v>
          </cell>
        </row>
        <row r="2345">
          <cell r="C2345" t="str">
            <v>13.1.5</v>
          </cell>
          <cell r="D2345" t="str">
            <v>Reaterro Manual De Vala Com Aproveitamento Do Material Escavado</v>
          </cell>
          <cell r="E2345" t="str">
            <v>m³</v>
          </cell>
          <cell r="F2345"/>
          <cell r="G2345">
            <v>7.41</v>
          </cell>
          <cell r="H2345">
            <v>0</v>
          </cell>
        </row>
        <row r="2346">
          <cell r="C2346" t="str">
            <v>13.1.6</v>
          </cell>
          <cell r="D2346" t="str">
            <v xml:space="preserve">Fornecimento E Colocação De Blocos De Concreto Simples De 10 X 15 X 50 Cm Para Apoio Dos Registros De Aspersão E Gotejamento. </v>
          </cell>
          <cell r="E2346" t="str">
            <v>un</v>
          </cell>
          <cell r="F2346"/>
          <cell r="G2346">
            <v>2.64</v>
          </cell>
          <cell r="H2346">
            <v>0</v>
          </cell>
        </row>
        <row r="2347">
          <cell r="C2347" t="str">
            <v>13.1.7</v>
          </cell>
          <cell r="D2347" t="str">
            <v>Montagem De Tubulação De Pvc , Com Ponta/Bolsa Dn = 100 Mm, Incluindo Conexões, Acessórios, Registros E Válvulas</v>
          </cell>
          <cell r="E2347" t="str">
            <v>m</v>
          </cell>
          <cell r="F2347"/>
          <cell r="G2347">
            <v>1.76</v>
          </cell>
          <cell r="H2347">
            <v>0</v>
          </cell>
        </row>
        <row r="2348">
          <cell r="C2348" t="str">
            <v>13.1.8</v>
          </cell>
          <cell r="D2348" t="str">
            <v>Montagem De Tubulação De Pvc , Com Ponta/Bolsa Dn = 75 Mm, Incluindo Conexões, Acessórios, Registros E Válvulas</v>
          </cell>
          <cell r="E2348" t="str">
            <v>m</v>
          </cell>
          <cell r="F2348"/>
          <cell r="G2348">
            <v>1.76</v>
          </cell>
          <cell r="H2348">
            <v>0</v>
          </cell>
        </row>
        <row r="2349">
          <cell r="C2349" t="str">
            <v>13.2</v>
          </cell>
          <cell r="D2349" t="str">
            <v>FORNECIMENTO (O BDI do item 13.2 foi reduzido de 40% para 37,2%)</v>
          </cell>
          <cell r="E2349"/>
          <cell r="F2349"/>
          <cell r="G2349"/>
          <cell r="H2349">
            <v>0</v>
          </cell>
        </row>
        <row r="2350">
          <cell r="C2350" t="str">
            <v>13.2.1</v>
          </cell>
          <cell r="D2350" t="str">
            <v>Linha principal</v>
          </cell>
          <cell r="E2350"/>
          <cell r="F2350"/>
          <cell r="G2350"/>
          <cell r="H2350">
            <v>0</v>
          </cell>
        </row>
        <row r="2351">
          <cell r="C2351" t="str">
            <v>13.2.1.1</v>
          </cell>
          <cell r="D2351" t="str">
            <v>Filtro Malha 100 Micra, Vazão Menor Que 50,00 M3/H</v>
          </cell>
          <cell r="E2351" t="str">
            <v>un</v>
          </cell>
          <cell r="F2351"/>
          <cell r="G2351">
            <v>1293.3</v>
          </cell>
          <cell r="H2351">
            <v>0</v>
          </cell>
        </row>
        <row r="2352">
          <cell r="C2352" t="str">
            <v>13.2.1.2</v>
          </cell>
          <cell r="D2352" t="str">
            <v>Filtro Malha 300 Micra, Vazão Menor Que 50,00 M3/H</v>
          </cell>
          <cell r="E2352" t="str">
            <v>un</v>
          </cell>
          <cell r="F2352"/>
          <cell r="G2352">
            <v>1260.2</v>
          </cell>
          <cell r="H2352">
            <v>0</v>
          </cell>
        </row>
        <row r="2353">
          <cell r="C2353" t="str">
            <v>13.2.1.3</v>
          </cell>
          <cell r="D2353" t="str">
            <v>Extremidade  - Bolsa Flange  Pn-10, Pvc, Dn = 100</v>
          </cell>
          <cell r="E2353" t="str">
            <v>un</v>
          </cell>
          <cell r="F2353"/>
          <cell r="G2353">
            <v>52.29</v>
          </cell>
          <cell r="H2353">
            <v>0</v>
          </cell>
        </row>
        <row r="2354">
          <cell r="C2354" t="str">
            <v>13.2.1.4</v>
          </cell>
          <cell r="D2354" t="str">
            <v>Extremidade  - Bolsa Flange  Pn-10, Pvc, Dn = 75</v>
          </cell>
          <cell r="E2354" t="str">
            <v>un</v>
          </cell>
          <cell r="F2354"/>
          <cell r="G2354">
            <v>37.770000000000003</v>
          </cell>
          <cell r="H2354">
            <v>0</v>
          </cell>
        </row>
        <row r="2355">
          <cell r="C2355" t="str">
            <v>13.2.1.5</v>
          </cell>
          <cell r="D2355" t="str">
            <v>Toco Pvc - Ponta/Ponta  L = 0,60 M, Dn = 100</v>
          </cell>
          <cell r="E2355" t="str">
            <v>un</v>
          </cell>
          <cell r="F2355"/>
          <cell r="G2355">
            <v>9.3800000000000008</v>
          </cell>
          <cell r="H2355">
            <v>0</v>
          </cell>
        </row>
        <row r="2356">
          <cell r="C2356" t="str">
            <v>13.2.1.6</v>
          </cell>
          <cell r="D2356" t="str">
            <v>Toco Pvc - Ponta/Ponta  L = 0,60 M, Dn = 75</v>
          </cell>
          <cell r="E2356" t="str">
            <v>un</v>
          </cell>
          <cell r="F2356"/>
          <cell r="G2356">
            <v>5.77</v>
          </cell>
          <cell r="H2356">
            <v>0</v>
          </cell>
        </row>
        <row r="2357">
          <cell r="C2357" t="str">
            <v>13.2.1.7</v>
          </cell>
          <cell r="D2357" t="str">
            <v>Colar De Tomada De Ferro Fundido Saída 3/4", Dn = 100</v>
          </cell>
          <cell r="E2357" t="str">
            <v>un</v>
          </cell>
          <cell r="F2357"/>
          <cell r="G2357">
            <v>22.48</v>
          </cell>
          <cell r="H2357">
            <v>0</v>
          </cell>
        </row>
        <row r="2358">
          <cell r="C2358" t="str">
            <v>13.2.1.8</v>
          </cell>
          <cell r="D2358" t="str">
            <v>Colar De Tomada De Ferro Fundido Saída 3/4", Dn = 75</v>
          </cell>
          <cell r="E2358" t="str">
            <v>un</v>
          </cell>
          <cell r="F2358"/>
          <cell r="G2358">
            <v>18.739999999999998</v>
          </cell>
          <cell r="H2358">
            <v>0</v>
          </cell>
        </row>
        <row r="2359">
          <cell r="C2359" t="str">
            <v>13.2.1.9</v>
          </cell>
          <cell r="D2359" t="str">
            <v>Bucha De Redução Pvc -  Com Rosca Rígido 3/4" Para 1/2"</v>
          </cell>
          <cell r="E2359" t="str">
            <v>un</v>
          </cell>
          <cell r="F2359"/>
          <cell r="G2359">
            <v>0.35</v>
          </cell>
          <cell r="H2359">
            <v>0</v>
          </cell>
        </row>
        <row r="2360">
          <cell r="C2360" t="str">
            <v>13.2.1.10</v>
          </cell>
          <cell r="D2360" t="str">
            <v xml:space="preserve">Manometro 1/2"- Faixa De Pressão 0 A 50 M.C.A. </v>
          </cell>
          <cell r="E2360" t="str">
            <v>un</v>
          </cell>
          <cell r="F2360"/>
          <cell r="G2360">
            <v>84.29</v>
          </cell>
          <cell r="H2360">
            <v>0</v>
          </cell>
        </row>
        <row r="2361">
          <cell r="C2361" t="str">
            <v>13.2.1.11</v>
          </cell>
          <cell r="D2361" t="str">
            <v>Curva  45º -  Com Ponta / Bolsa, Pvc, Dn = 100</v>
          </cell>
          <cell r="E2361" t="str">
            <v>un</v>
          </cell>
          <cell r="F2361"/>
          <cell r="G2361">
            <v>36.11</v>
          </cell>
          <cell r="H2361">
            <v>0</v>
          </cell>
        </row>
        <row r="2362">
          <cell r="C2362" t="str">
            <v>13.2.1.12</v>
          </cell>
          <cell r="D2362" t="str">
            <v>Curva  45º -  Com Ponta / Bolsa, Pvc, Dn = 75</v>
          </cell>
          <cell r="E2362" t="str">
            <v>un</v>
          </cell>
          <cell r="F2362"/>
          <cell r="G2362">
            <v>18.170000000000002</v>
          </cell>
          <cell r="H2362">
            <v>0</v>
          </cell>
        </row>
        <row r="2363">
          <cell r="C2363" t="str">
            <v>13.2.1.13</v>
          </cell>
          <cell r="D2363" t="str">
            <v>Toco Pvc -  Com Ponta / Bolsa  - L = 1,80 M, Dn = 100</v>
          </cell>
          <cell r="E2363" t="str">
            <v>un</v>
          </cell>
          <cell r="F2363"/>
          <cell r="G2363">
            <v>31.36</v>
          </cell>
          <cell r="H2363">
            <v>0</v>
          </cell>
        </row>
        <row r="2364">
          <cell r="C2364" t="str">
            <v>13.2.1.14</v>
          </cell>
          <cell r="D2364" t="str">
            <v>Toco Pvc -  Com Ponta / Bolsa  - L = 1,80 M, Dn = 75</v>
          </cell>
          <cell r="E2364" t="str">
            <v>un</v>
          </cell>
          <cell r="F2364"/>
          <cell r="G2364">
            <v>19.21</v>
          </cell>
          <cell r="H2364">
            <v>0</v>
          </cell>
        </row>
        <row r="2365">
          <cell r="C2365" t="str">
            <v>13.2.1.15</v>
          </cell>
          <cell r="D2365" t="str">
            <v>Tubo Pvc - Com Ponta / Bolsa. L = 6,00 M, Dn  = 100</v>
          </cell>
          <cell r="E2365" t="str">
            <v>un</v>
          </cell>
          <cell r="F2365"/>
          <cell r="G2365">
            <v>94.07</v>
          </cell>
          <cell r="H2365">
            <v>0</v>
          </cell>
        </row>
        <row r="2366">
          <cell r="C2366" t="str">
            <v>13.2.1.16</v>
          </cell>
          <cell r="D2366" t="str">
            <v>Tubo Pvc - Com Ponta / Bolsa. L = 6,00 M, Dn  = 75</v>
          </cell>
          <cell r="E2366" t="str">
            <v>un</v>
          </cell>
          <cell r="F2366"/>
          <cell r="G2366">
            <v>57.65</v>
          </cell>
          <cell r="H2366">
            <v>0</v>
          </cell>
        </row>
        <row r="2367">
          <cell r="C2367" t="str">
            <v>13.2.1.17</v>
          </cell>
          <cell r="D2367" t="str">
            <v>Válvula De Controle De Pressão Flange Pn - 10 Conforme Diâmetros Da Rede, Vazão &lt; 30 M³/H</v>
          </cell>
          <cell r="E2367" t="str">
            <v>un</v>
          </cell>
          <cell r="F2367"/>
          <cell r="G2367">
            <v>1090.73</v>
          </cell>
          <cell r="H2367">
            <v>0</v>
          </cell>
        </row>
        <row r="2368">
          <cell r="C2368" t="str">
            <v>13.2.1.18</v>
          </cell>
          <cell r="D2368" t="str">
            <v>Luva Em Pvc, Bolsa/Solda, Dn = 75</v>
          </cell>
          <cell r="E2368" t="str">
            <v>un</v>
          </cell>
          <cell r="F2368"/>
          <cell r="G2368">
            <v>6.9</v>
          </cell>
          <cell r="H2368">
            <v>0</v>
          </cell>
        </row>
        <row r="2369">
          <cell r="C2369" t="str">
            <v>13.2.1.19</v>
          </cell>
          <cell r="D2369" t="str">
            <v>Cruzeta - Com Bolsas, Pvc, Dn-100 C/Saída Dn -75</v>
          </cell>
          <cell r="E2369" t="str">
            <v>un</v>
          </cell>
          <cell r="F2369"/>
          <cell r="G2369">
            <v>59.07</v>
          </cell>
          <cell r="H2369">
            <v>0</v>
          </cell>
        </row>
        <row r="2370">
          <cell r="C2370" t="str">
            <v>13.2.1.20</v>
          </cell>
          <cell r="D2370" t="str">
            <v>Cruzeta - Com Bolsas, Pvc, Dn-75 C/Saída Dn -75</v>
          </cell>
          <cell r="E2370" t="str">
            <v>un</v>
          </cell>
          <cell r="F2370"/>
          <cell r="G2370">
            <v>26.19</v>
          </cell>
          <cell r="H2370">
            <v>0</v>
          </cell>
        </row>
        <row r="2371">
          <cell r="C2371" t="str">
            <v>13.2.1.21</v>
          </cell>
          <cell r="D2371" t="str">
            <v>Toco Pvc - Ponta / Ponta - L = 0,30 M, Dn = 75</v>
          </cell>
          <cell r="E2371" t="str">
            <v>un</v>
          </cell>
          <cell r="F2371"/>
          <cell r="G2371">
            <v>2.86</v>
          </cell>
          <cell r="H2371">
            <v>0</v>
          </cell>
        </row>
        <row r="2372">
          <cell r="C2372" t="str">
            <v>13.2.1.22</v>
          </cell>
          <cell r="D2372" t="str">
            <v xml:space="preserve">Adaptador Pvc - Soldável Curto C/ Bolsa E Rosca P/ Registro, Dn = 75 </v>
          </cell>
          <cell r="E2372" t="str">
            <v>un</v>
          </cell>
          <cell r="F2372"/>
          <cell r="G2372">
            <v>0.31</v>
          </cell>
          <cell r="H2372">
            <v>0</v>
          </cell>
        </row>
        <row r="2373">
          <cell r="C2373" t="str">
            <v>13.2.1.23</v>
          </cell>
          <cell r="D2373" t="str">
            <v xml:space="preserve">Registro Gaveta De Latão, Rosca Fêmea, Dn = 75 </v>
          </cell>
          <cell r="E2373" t="str">
            <v>un</v>
          </cell>
          <cell r="F2373"/>
          <cell r="G2373">
            <v>264.64</v>
          </cell>
          <cell r="H2373">
            <v>0</v>
          </cell>
        </row>
        <row r="2374">
          <cell r="C2374" t="str">
            <v>13.2.1.24</v>
          </cell>
          <cell r="D2374" t="str">
            <v>Nípel Pvc - Paralelo Com Roscas Dn - 75</v>
          </cell>
          <cell r="E2374" t="str">
            <v>un</v>
          </cell>
          <cell r="F2374"/>
          <cell r="G2374">
            <v>5.32</v>
          </cell>
          <cell r="H2374">
            <v>0</v>
          </cell>
        </row>
        <row r="2375">
          <cell r="C2375" t="str">
            <v>13.2.1.25</v>
          </cell>
          <cell r="D2375" t="str">
            <v>Tê Pvc Com Roscas Dn=3"</v>
          </cell>
          <cell r="E2375" t="str">
            <v>un</v>
          </cell>
          <cell r="F2375"/>
          <cell r="G2375">
            <v>31.38</v>
          </cell>
          <cell r="H2375">
            <v>0</v>
          </cell>
        </row>
        <row r="2376">
          <cell r="C2376" t="str">
            <v>13.2.1.26</v>
          </cell>
          <cell r="D2376" t="str">
            <v>Tê Em  90º -  Com Bolsas, Pvc, Dn - 100 C/Saída Dn - 75</v>
          </cell>
          <cell r="E2376" t="str">
            <v>un</v>
          </cell>
          <cell r="F2376"/>
          <cell r="G2376">
            <v>36.159999999999997</v>
          </cell>
          <cell r="H2376">
            <v>0</v>
          </cell>
        </row>
        <row r="2377">
          <cell r="C2377" t="str">
            <v>13.2.1.27</v>
          </cell>
          <cell r="D2377" t="str">
            <v>Tê Em  90º -  Com Bolsas, Pvc, Dn - 100 C/Saída Dn - 100</v>
          </cell>
          <cell r="E2377" t="str">
            <v>un</v>
          </cell>
          <cell r="F2377"/>
          <cell r="G2377">
            <v>39.979999999999997</v>
          </cell>
          <cell r="H2377">
            <v>0</v>
          </cell>
        </row>
        <row r="2378">
          <cell r="C2378" t="str">
            <v>13.2.1.28</v>
          </cell>
          <cell r="D2378" t="str">
            <v>Tê Em  90º -  Com Bolsas, Pvc, Dn - 75 C/Saída Dn - 75</v>
          </cell>
          <cell r="E2378" t="str">
            <v>un</v>
          </cell>
          <cell r="F2378"/>
          <cell r="G2378">
            <v>20.71</v>
          </cell>
          <cell r="H2378">
            <v>0</v>
          </cell>
        </row>
        <row r="2379">
          <cell r="C2379" t="str">
            <v>13.2.1.29</v>
          </cell>
          <cell r="D2379" t="str">
            <v xml:space="preserve">Curva 90º, Pvc Com Ponta / Bolsa, Dn - 100 </v>
          </cell>
          <cell r="E2379" t="str">
            <v>un</v>
          </cell>
          <cell r="F2379"/>
          <cell r="G2379">
            <v>38.17</v>
          </cell>
          <cell r="H2379">
            <v>0</v>
          </cell>
        </row>
        <row r="2380">
          <cell r="C2380" t="str">
            <v>13.2.1.30</v>
          </cell>
          <cell r="D2380" t="str">
            <v xml:space="preserve">Curva 90º, Pvc Com Ponta / Bolsa, Dn - 75 </v>
          </cell>
          <cell r="E2380" t="str">
            <v>un</v>
          </cell>
          <cell r="F2380"/>
          <cell r="G2380">
            <v>20.170000000000002</v>
          </cell>
          <cell r="H2380">
            <v>0</v>
          </cell>
        </row>
        <row r="2381">
          <cell r="C2381" t="str">
            <v>13.2.1.31</v>
          </cell>
          <cell r="D2381" t="str">
            <v>Redução Ponta / Bolsa, Pvc, Dn - 100 - Dn 75</v>
          </cell>
          <cell r="E2381" t="str">
            <v>un</v>
          </cell>
          <cell r="F2381"/>
          <cell r="G2381">
            <v>11.27</v>
          </cell>
          <cell r="H2381">
            <v>0</v>
          </cell>
        </row>
        <row r="2382">
          <cell r="C2382" t="str">
            <v>13.2.1.32</v>
          </cell>
          <cell r="D2382" t="str">
            <v>Válvula Volumétrica - Flange Pn 10, Conforme Diâmetro Da Rede, Vazão &lt; 40 M³/H</v>
          </cell>
          <cell r="E2382" t="str">
            <v>un</v>
          </cell>
          <cell r="F2382"/>
          <cell r="G2382">
            <v>862.1</v>
          </cell>
          <cell r="H2382">
            <v>0</v>
          </cell>
        </row>
        <row r="2383">
          <cell r="C2383" t="str">
            <v>13.2.1.33</v>
          </cell>
          <cell r="D2383" t="str">
            <v>Microtubo De Polietileno, D = 6,0 Mm</v>
          </cell>
          <cell r="E2383" t="str">
            <v>m</v>
          </cell>
          <cell r="F2383"/>
          <cell r="G2383">
            <v>0.34</v>
          </cell>
          <cell r="H2383">
            <v>0</v>
          </cell>
        </row>
        <row r="2384">
          <cell r="C2384" t="str">
            <v>13.2.1.34</v>
          </cell>
          <cell r="D2384" t="str">
            <v xml:space="preserve">Tê  Fl/Fl  Pn -10 Ferro Dúctil C/ Saída 50 Mm </v>
          </cell>
          <cell r="E2384" t="str">
            <v>un</v>
          </cell>
          <cell r="F2384"/>
          <cell r="G2384">
            <v>99.78</v>
          </cell>
          <cell r="H2384">
            <v>0</v>
          </cell>
        </row>
        <row r="2385">
          <cell r="C2385" t="str">
            <v>13.2.1.35</v>
          </cell>
          <cell r="D2385" t="str">
            <v>Registro Gaveta Fl/Fl  Ferro Dúctil Dn 100 Mm</v>
          </cell>
          <cell r="E2385" t="str">
            <v>un</v>
          </cell>
          <cell r="F2385"/>
          <cell r="G2385">
            <v>439.03</v>
          </cell>
          <cell r="H2385">
            <v>0</v>
          </cell>
        </row>
        <row r="2386">
          <cell r="C2386" t="str">
            <v>13.2.1.36</v>
          </cell>
          <cell r="D2386" t="str">
            <v>Extremidade Pvc,  Fl  Pn - 10 / Ponta  De - 60 Mm</v>
          </cell>
          <cell r="E2386" t="str">
            <v>un</v>
          </cell>
          <cell r="F2386"/>
          <cell r="G2386">
            <v>26.12</v>
          </cell>
          <cell r="H2386">
            <v>0</v>
          </cell>
        </row>
        <row r="2387">
          <cell r="C2387" t="str">
            <v>13.2.1.37</v>
          </cell>
          <cell r="D2387" t="str">
            <v>Luva Soldável   Pvc  Di - 60 Mm</v>
          </cell>
          <cell r="E2387" t="str">
            <v>un</v>
          </cell>
          <cell r="F2387"/>
          <cell r="G2387">
            <v>4.54</v>
          </cell>
          <cell r="H2387">
            <v>0</v>
          </cell>
        </row>
        <row r="2388">
          <cell r="C2388" t="str">
            <v>13.2.1.38</v>
          </cell>
          <cell r="D2388" t="str">
            <v>Bucha De Redução Pvc Soldável De - 60 Mm / Di - 32 Mm</v>
          </cell>
          <cell r="E2388" t="str">
            <v>un</v>
          </cell>
          <cell r="F2388"/>
          <cell r="G2388">
            <v>2.9</v>
          </cell>
          <cell r="H2388">
            <v>0</v>
          </cell>
        </row>
        <row r="2389">
          <cell r="C2389" t="str">
            <v>13.2.1.39</v>
          </cell>
          <cell r="D2389" t="str">
            <v>Toco Pvc Rígido  L = 5 Cm De - 32 Mm</v>
          </cell>
          <cell r="E2389" t="str">
            <v>un</v>
          </cell>
          <cell r="F2389"/>
          <cell r="G2389">
            <v>0.28999999999999998</v>
          </cell>
          <cell r="H2389">
            <v>0</v>
          </cell>
        </row>
        <row r="2390">
          <cell r="C2390" t="str">
            <v>13.2.1.40</v>
          </cell>
          <cell r="D2390" t="str">
            <v>Adaptador Pvc Sold. Di - 32 Mm Rosca Externa 1'</v>
          </cell>
          <cell r="E2390" t="str">
            <v>un</v>
          </cell>
          <cell r="F2390"/>
          <cell r="G2390">
            <v>0.55000000000000004</v>
          </cell>
          <cell r="H2390">
            <v>0</v>
          </cell>
        </row>
        <row r="2391">
          <cell r="C2391" t="str">
            <v>13.2.1.41</v>
          </cell>
          <cell r="D2391" t="str">
            <v>Registro  Gaveta De Cobre 1'</v>
          </cell>
          <cell r="E2391" t="str">
            <v>un</v>
          </cell>
          <cell r="F2391"/>
          <cell r="G2391">
            <v>27.14</v>
          </cell>
          <cell r="H2391">
            <v>0</v>
          </cell>
        </row>
        <row r="2392">
          <cell r="C2392" t="str">
            <v>13.2.1.42</v>
          </cell>
          <cell r="D2392" t="str">
            <v>Toco Pvc Rígido L= 10 Cm Rosca / Ponta Lisa 1'</v>
          </cell>
          <cell r="E2392" t="str">
            <v>un</v>
          </cell>
          <cell r="F2392"/>
          <cell r="G2392">
            <v>0.81</v>
          </cell>
          <cell r="H2392">
            <v>0</v>
          </cell>
        </row>
        <row r="2393">
          <cell r="C2393" t="str">
            <v>13.2.1.43</v>
          </cell>
          <cell r="D2393" t="str">
            <v>Braçadeira Metálica 1'</v>
          </cell>
          <cell r="E2393" t="str">
            <v>un</v>
          </cell>
          <cell r="F2393"/>
          <cell r="G2393">
            <v>3.84</v>
          </cell>
          <cell r="H2393">
            <v>0</v>
          </cell>
        </row>
        <row r="2394">
          <cell r="C2394" t="str">
            <v>13.2.1.44</v>
          </cell>
          <cell r="D2394" t="str">
            <v>Mangueira Plástica Flexível 1', L=2,0 M</v>
          </cell>
          <cell r="E2394" t="str">
            <v>un</v>
          </cell>
          <cell r="F2394"/>
          <cell r="G2394">
            <v>9.02</v>
          </cell>
          <cell r="H2394">
            <v>0</v>
          </cell>
        </row>
        <row r="2395">
          <cell r="C2395" t="str">
            <v>13.2.1.45</v>
          </cell>
          <cell r="D2395" t="str">
            <v>Tanque Metálico Para Fertirrigação</v>
          </cell>
          <cell r="E2395" t="str">
            <v>un</v>
          </cell>
          <cell r="F2395"/>
          <cell r="G2395">
            <v>225.77</v>
          </cell>
          <cell r="H2395">
            <v>0</v>
          </cell>
        </row>
        <row r="2396">
          <cell r="C2396" t="str">
            <v>13.2.2</v>
          </cell>
          <cell r="D2396" t="str">
            <v>Redes móveis</v>
          </cell>
          <cell r="E2396"/>
          <cell r="F2396"/>
          <cell r="G2396"/>
          <cell r="H2396">
            <v>0</v>
          </cell>
        </row>
        <row r="2397">
          <cell r="C2397" t="str">
            <v>13.2.2.1</v>
          </cell>
          <cell r="D2397" t="str">
            <v>Adaptador De Aço Zincado - Rosca / Er Fêmea Dn-75 Mm</v>
          </cell>
          <cell r="E2397" t="str">
            <v>un</v>
          </cell>
          <cell r="F2397"/>
          <cell r="G2397">
            <v>39.840000000000003</v>
          </cell>
          <cell r="H2397">
            <v>0</v>
          </cell>
        </row>
        <row r="2398">
          <cell r="C2398" t="str">
            <v>13.2.2.2</v>
          </cell>
          <cell r="D2398" t="str">
            <v>Tubo De Alumínio Ou Aço Zincado Er, Dn - 75 Mm, L = 6,00 M</v>
          </cell>
          <cell r="E2398" t="str">
            <v>un</v>
          </cell>
          <cell r="F2398"/>
          <cell r="G2398">
            <v>67.959999999999994</v>
          </cell>
          <cell r="H2398">
            <v>0</v>
          </cell>
        </row>
        <row r="2399">
          <cell r="C2399" t="str">
            <v>13.2.2.3</v>
          </cell>
          <cell r="D2399" t="str">
            <v>Tubo De Alumínio Ou Aço Zincado Er, Dn - 75 Mm, L = 3,00 M</v>
          </cell>
          <cell r="E2399" t="str">
            <v>un</v>
          </cell>
          <cell r="F2399"/>
          <cell r="G2399">
            <v>0</v>
          </cell>
          <cell r="H2399">
            <v>0</v>
          </cell>
        </row>
        <row r="2400">
          <cell r="C2400" t="str">
            <v>13.2.2.4</v>
          </cell>
          <cell r="D2400" t="str">
            <v>Tubo De Alumínio, Er, Dn - 75 Mm, L = 6,00 M, Com Saída Para Aspersor C/ Rosca Interna 1"</v>
          </cell>
          <cell r="E2400" t="str">
            <v>un</v>
          </cell>
          <cell r="F2400"/>
          <cell r="G2400">
            <v>84.63</v>
          </cell>
          <cell r="H2400">
            <v>0</v>
          </cell>
        </row>
        <row r="2401">
          <cell r="C2401" t="str">
            <v>13.2.2.5</v>
          </cell>
          <cell r="D2401" t="str">
            <v>Tubo De Alumínio, Er, Dn = 75 Mm, L = 6,00 M</v>
          </cell>
          <cell r="E2401" t="str">
            <v>un</v>
          </cell>
          <cell r="F2401"/>
          <cell r="G2401">
            <v>82.19</v>
          </cell>
          <cell r="H2401">
            <v>0</v>
          </cell>
        </row>
        <row r="2402">
          <cell r="C2402" t="str">
            <v>13.2.2.6</v>
          </cell>
          <cell r="D2402" t="str">
            <v>Tubo De Alumínio, Er, Dn - 75 Mm, L = 3,00 M, Com Saída Para Aspersor C/ Rosca Interna 1"</v>
          </cell>
          <cell r="E2402" t="str">
            <v>un</v>
          </cell>
          <cell r="F2402"/>
          <cell r="G2402">
            <v>42.99</v>
          </cell>
          <cell r="H2402">
            <v>0</v>
          </cell>
        </row>
        <row r="2403">
          <cell r="C2403" t="str">
            <v>13.2.2.7</v>
          </cell>
          <cell r="D2403" t="str">
            <v>Cap Macho Aço Zincado,  Dn-75 Mm, Er</v>
          </cell>
          <cell r="E2403" t="str">
            <v>un</v>
          </cell>
          <cell r="F2403"/>
          <cell r="G2403">
            <v>11.37</v>
          </cell>
          <cell r="H2403">
            <v>0</v>
          </cell>
        </row>
        <row r="2404">
          <cell r="C2404" t="str">
            <v>13.2.2.8</v>
          </cell>
          <cell r="D2404" t="str">
            <v>Válvula De Linha Em Aço Zincado, Dn-75Mm, Er</v>
          </cell>
          <cell r="E2404" t="str">
            <v>un</v>
          </cell>
          <cell r="F2404"/>
          <cell r="G2404">
            <v>45.57</v>
          </cell>
          <cell r="H2404">
            <v>0</v>
          </cell>
        </row>
        <row r="2405">
          <cell r="C2405" t="str">
            <v>13.2.2.9</v>
          </cell>
          <cell r="D2405" t="str">
            <v>Curva De Derivação Em Aço Zincado - Dn-75Mm, Er</v>
          </cell>
          <cell r="E2405" t="str">
            <v>un</v>
          </cell>
          <cell r="F2405"/>
          <cell r="G2405">
            <v>39.07</v>
          </cell>
          <cell r="H2405">
            <v>0</v>
          </cell>
        </row>
        <row r="2406">
          <cell r="C2406" t="str">
            <v>13.2.2.10</v>
          </cell>
          <cell r="D2406" t="str">
            <v>Curva De Nivelamento Em Aço Zincado - Dn-75Mm, Er</v>
          </cell>
          <cell r="E2406" t="str">
            <v>un</v>
          </cell>
          <cell r="F2406"/>
          <cell r="G2406">
            <v>22.08</v>
          </cell>
          <cell r="H2406">
            <v>0</v>
          </cell>
        </row>
        <row r="2407">
          <cell r="C2407" t="str">
            <v>13.2.2.11</v>
          </cell>
          <cell r="D2407" t="str">
            <v>Válvula Automática P/ Aspersor Er E Rosca Ext.1"</v>
          </cell>
          <cell r="E2407" t="str">
            <v>un</v>
          </cell>
          <cell r="F2407"/>
          <cell r="G2407">
            <v>12.68</v>
          </cell>
          <cell r="H2407">
            <v>0</v>
          </cell>
        </row>
        <row r="2408">
          <cell r="C2408" t="str">
            <v>13.2.2.12</v>
          </cell>
          <cell r="D2408" t="str">
            <v xml:space="preserve">Tubo De Subida Em Aço Zincado Er Macho/Rosca,      Ext 1", Dn-1" - L = 2,00 M </v>
          </cell>
          <cell r="E2408" t="str">
            <v>un</v>
          </cell>
          <cell r="F2408"/>
          <cell r="G2408">
            <v>9.76</v>
          </cell>
          <cell r="H2408">
            <v>0</v>
          </cell>
        </row>
        <row r="2409">
          <cell r="C2409" t="str">
            <v>13.2.2.13</v>
          </cell>
          <cell r="D2409" t="str">
            <v>Tripé De Vergalhão C.A. 50, Diâmetro  1/2", Para Fixação Do Aspersor</v>
          </cell>
          <cell r="E2409" t="str">
            <v>un</v>
          </cell>
          <cell r="F2409"/>
          <cell r="G2409">
            <v>7.02</v>
          </cell>
          <cell r="H2409">
            <v>0</v>
          </cell>
        </row>
        <row r="2410">
          <cell r="C2410" t="str">
            <v>13.2.2.14</v>
          </cell>
          <cell r="D2410" t="str">
            <v>Tubo Pvc - Com Ponta / Bolsa - L = 6,00 M, Dn - 50 Mm</v>
          </cell>
          <cell r="E2410" t="str">
            <v>un</v>
          </cell>
          <cell r="F2410"/>
          <cell r="G2410">
            <v>8.6199999999999992</v>
          </cell>
          <cell r="H2410">
            <v>0</v>
          </cell>
        </row>
        <row r="2411">
          <cell r="C2411" t="str">
            <v>13.2.2.15</v>
          </cell>
          <cell r="D2411" t="str">
            <v>Cap Pvc - Ponta E Bolsa, Dn - 50 Mm</v>
          </cell>
          <cell r="E2411" t="str">
            <v>un</v>
          </cell>
          <cell r="F2411"/>
          <cell r="G2411">
            <v>1.54</v>
          </cell>
          <cell r="H2411">
            <v>0</v>
          </cell>
        </row>
        <row r="2412">
          <cell r="C2412" t="str">
            <v>13.2.2.16</v>
          </cell>
          <cell r="D2412" t="str">
            <v>Bucha De Redução Pvc 75 / 50 Mm C/ Roscas</v>
          </cell>
          <cell r="E2412" t="str">
            <v>un</v>
          </cell>
          <cell r="F2412"/>
          <cell r="G2412">
            <v>2.78</v>
          </cell>
          <cell r="H2412">
            <v>0</v>
          </cell>
        </row>
        <row r="2413">
          <cell r="C2413" t="str">
            <v>13.2.2.17</v>
          </cell>
          <cell r="D2413" t="str">
            <v>Adaptador Pvc - Rosca Ext. / Er Fêmea, Dn-50Mm</v>
          </cell>
          <cell r="E2413" t="str">
            <v>un</v>
          </cell>
          <cell r="F2413"/>
          <cell r="G2413">
            <v>6.21</v>
          </cell>
          <cell r="H2413">
            <v>0</v>
          </cell>
        </row>
        <row r="2414">
          <cell r="C2414" t="str">
            <v>13.2.2.18</v>
          </cell>
          <cell r="D2414" t="str">
            <v>Curva De Nivelamento Pvc - Er, Dn - 50 Mm</v>
          </cell>
          <cell r="E2414" t="str">
            <v>un</v>
          </cell>
          <cell r="F2414"/>
          <cell r="G2414">
            <v>11.6</v>
          </cell>
          <cell r="H2414">
            <v>0</v>
          </cell>
        </row>
        <row r="2415">
          <cell r="C2415" t="str">
            <v>13.2.2.19</v>
          </cell>
          <cell r="D2415" t="str">
            <v>Tubo De Pvc - Er, L = 6,00 M, Dn - 50 Mm</v>
          </cell>
          <cell r="E2415" t="str">
            <v>un</v>
          </cell>
          <cell r="F2415"/>
          <cell r="G2415">
            <v>15.34</v>
          </cell>
          <cell r="H2415">
            <v>0</v>
          </cell>
        </row>
        <row r="2416">
          <cell r="C2416" t="str">
            <v>13.2.2.20</v>
          </cell>
          <cell r="D2416" t="str">
            <v xml:space="preserve">Aspersor De Latão Forjado, Pressão De Serviço De 20 M.C.A., Vazão De 1,33 M³/H, Raio = 26,0 M </v>
          </cell>
          <cell r="E2416" t="str">
            <v>un</v>
          </cell>
          <cell r="F2416"/>
          <cell r="G2416">
            <v>23.62</v>
          </cell>
          <cell r="H2416">
            <v>0</v>
          </cell>
        </row>
        <row r="2417">
          <cell r="C2417" t="str">
            <v>13.2.2.21</v>
          </cell>
          <cell r="D2417" t="str">
            <v>Cap Macho Pvc - Er, Dn - 50 Mm</v>
          </cell>
          <cell r="E2417" t="str">
            <v>un</v>
          </cell>
          <cell r="F2417"/>
          <cell r="G2417">
            <v>4.7</v>
          </cell>
          <cell r="H2417">
            <v>0</v>
          </cell>
        </row>
        <row r="2418">
          <cell r="C2418" t="str">
            <v>13.2.3</v>
          </cell>
          <cell r="D2418" t="str">
            <v>Irrigação localizada</v>
          </cell>
          <cell r="E2418"/>
          <cell r="F2418"/>
          <cell r="G2418"/>
          <cell r="H2418">
            <v>0</v>
          </cell>
        </row>
        <row r="2419">
          <cell r="C2419" t="str">
            <v>13.2.3.1</v>
          </cell>
          <cell r="D2419" t="str">
            <v xml:space="preserve">Conector De Borracha </v>
          </cell>
          <cell r="E2419" t="str">
            <v>un</v>
          </cell>
          <cell r="F2419"/>
          <cell r="G2419">
            <v>0.71</v>
          </cell>
          <cell r="H2419">
            <v>0</v>
          </cell>
        </row>
        <row r="2420">
          <cell r="C2420" t="str">
            <v>13.2.3.2</v>
          </cell>
          <cell r="D2420" t="str">
            <v>Adaptador Início De Linha - Pvc , D = 18,0 Mm</v>
          </cell>
          <cell r="E2420" t="str">
            <v>un</v>
          </cell>
          <cell r="F2420"/>
          <cell r="G2420">
            <v>0.92</v>
          </cell>
          <cell r="H2420">
            <v>0</v>
          </cell>
        </row>
        <row r="2421">
          <cell r="C2421" t="str">
            <v>13.2.3.3</v>
          </cell>
          <cell r="D2421" t="str">
            <v>Adaptador Início De Linha - Pvc , D = 29,0 Mm</v>
          </cell>
          <cell r="E2421" t="str">
            <v>un</v>
          </cell>
          <cell r="F2421"/>
          <cell r="G2421">
            <v>3.23</v>
          </cell>
          <cell r="H2421">
            <v>0</v>
          </cell>
        </row>
        <row r="2422">
          <cell r="C2422" t="str">
            <v>13.2.3.4</v>
          </cell>
          <cell r="D2422" t="str">
            <v>Tubo Polietileno Baixa Densidade, D = 18,0 Mm</v>
          </cell>
          <cell r="E2422" t="str">
            <v>km</v>
          </cell>
          <cell r="F2422"/>
          <cell r="G2422">
            <v>454.07</v>
          </cell>
          <cell r="H2422">
            <v>0</v>
          </cell>
        </row>
        <row r="2423">
          <cell r="C2423" t="str">
            <v>13.2.3.5</v>
          </cell>
          <cell r="D2423" t="str">
            <v>Tubo Polietileno Baixa Densidade, D = 29,0 Mm</v>
          </cell>
          <cell r="E2423" t="str">
            <v>km</v>
          </cell>
          <cell r="F2423"/>
          <cell r="G2423">
            <v>544.89</v>
          </cell>
          <cell r="H2423">
            <v>0</v>
          </cell>
        </row>
        <row r="2424">
          <cell r="C2424" t="str">
            <v>13.2.3.6</v>
          </cell>
          <cell r="D2424" t="str">
            <v xml:space="preserve">Emissor P/ Linha Lateral D = 29,0 Mm, Q = 20,0 L/H P/Emissor ( Abacaxi ) </v>
          </cell>
          <cell r="E2424" t="str">
            <v>un</v>
          </cell>
          <cell r="F2424"/>
          <cell r="G2424">
            <v>2.2999999999999998</v>
          </cell>
          <cell r="H2424">
            <v>0</v>
          </cell>
        </row>
        <row r="2425">
          <cell r="C2425" t="str">
            <v>13.2.3.7</v>
          </cell>
          <cell r="D2425" t="str">
            <v xml:space="preserve">Emissor P/ Linha Lateral D = 18,0 Mm, Q = 17,5 L/H P/Emissor ( Uva ) </v>
          </cell>
          <cell r="E2425" t="str">
            <v>un</v>
          </cell>
          <cell r="F2425"/>
          <cell r="G2425">
            <v>2.2999999999999998</v>
          </cell>
          <cell r="H2425">
            <v>0</v>
          </cell>
        </row>
        <row r="2426">
          <cell r="C2426" t="str">
            <v>13.2.3.8</v>
          </cell>
          <cell r="D2426" t="str">
            <v xml:space="preserve">Emissor P/ Linha Lateral D = 18,0 Mm, Q = 19,0 L/H P/Emissor ( Maracujá ) </v>
          </cell>
          <cell r="E2426" t="str">
            <v>un</v>
          </cell>
          <cell r="F2426"/>
          <cell r="G2426">
            <v>2.2999999999999998</v>
          </cell>
          <cell r="H2426">
            <v>0</v>
          </cell>
        </row>
        <row r="2427">
          <cell r="C2427" t="str">
            <v>13.2.3.9</v>
          </cell>
          <cell r="D2427" t="str">
            <v xml:space="preserve">Emissor P/ Linha Lateral D = 18,0 Mm, Q = 39,0 L/H P/Emissor ( Laranja ) </v>
          </cell>
          <cell r="E2427" t="str">
            <v>un</v>
          </cell>
          <cell r="F2427"/>
          <cell r="G2427">
            <v>2.2999999999999998</v>
          </cell>
          <cell r="H2427">
            <v>0</v>
          </cell>
        </row>
        <row r="2428">
          <cell r="C2428" t="str">
            <v>13.2.3.10</v>
          </cell>
          <cell r="D2428" t="str">
            <v xml:space="preserve">Emissor P/ Linha Lateral D = 18,0 Mm, Q = 55,0 L/H P/Emissor ( Manga ) </v>
          </cell>
          <cell r="E2428" t="str">
            <v>un</v>
          </cell>
          <cell r="F2428"/>
          <cell r="G2428">
            <v>2.2999999999999998</v>
          </cell>
          <cell r="H2428">
            <v>0</v>
          </cell>
        </row>
        <row r="2429">
          <cell r="C2429" t="str">
            <v>13.2.3.11</v>
          </cell>
          <cell r="D2429" t="str">
            <v>Cap  Pvc - Para Linhas Laterais, D = 18,0 Mm</v>
          </cell>
          <cell r="E2429" t="str">
            <v>un</v>
          </cell>
          <cell r="F2429"/>
          <cell r="G2429">
            <v>0.48</v>
          </cell>
          <cell r="H2429">
            <v>0</v>
          </cell>
        </row>
        <row r="2430">
          <cell r="C2430" t="str">
            <v>13.2.3.12</v>
          </cell>
          <cell r="D2430" t="str">
            <v>Cap  Pvc - Para Linhas Laterais, D = 29,0 Mm</v>
          </cell>
          <cell r="E2430" t="str">
            <v>un</v>
          </cell>
          <cell r="F2430"/>
          <cell r="G2430">
            <v>1.0900000000000001</v>
          </cell>
          <cell r="H2430">
            <v>0</v>
          </cell>
        </row>
        <row r="2431">
          <cell r="C2431" t="str">
            <v>13.2.4</v>
          </cell>
          <cell r="D2431" t="str">
            <v>Gotejamento</v>
          </cell>
          <cell r="E2431"/>
          <cell r="F2431"/>
          <cell r="G2431"/>
          <cell r="H2431">
            <v>0</v>
          </cell>
        </row>
        <row r="2432">
          <cell r="C2432" t="str">
            <v>13.2.4.1</v>
          </cell>
          <cell r="D2432" t="str">
            <v xml:space="preserve">Conector De Borracha Para Vedação, Em Furo D = 7/16" </v>
          </cell>
          <cell r="E2432" t="str">
            <v>un</v>
          </cell>
          <cell r="F2432"/>
          <cell r="G2432">
            <v>0.71</v>
          </cell>
          <cell r="H2432">
            <v>0</v>
          </cell>
        </row>
        <row r="2433">
          <cell r="C2433" t="str">
            <v>13.2.4.2</v>
          </cell>
          <cell r="D2433" t="str">
            <v>Adaptador Início De Linha D 16,5 Mm , Para Furo D = 7/16" - Pvc</v>
          </cell>
          <cell r="E2433" t="str">
            <v>un</v>
          </cell>
          <cell r="F2433"/>
          <cell r="G2433">
            <v>0.71</v>
          </cell>
          <cell r="H2433">
            <v>0</v>
          </cell>
        </row>
        <row r="2434">
          <cell r="C2434" t="str">
            <v>13.2.4.3</v>
          </cell>
          <cell r="D2434" t="str">
            <v xml:space="preserve">Arame Zincado Para Fixação Do Tubo </v>
          </cell>
          <cell r="E2434" t="str">
            <v>kg</v>
          </cell>
          <cell r="F2434"/>
          <cell r="G2434">
            <v>8.49</v>
          </cell>
          <cell r="H2434">
            <v>0</v>
          </cell>
        </row>
        <row r="2435">
          <cell r="C2435" t="str">
            <v>13.2.4.4</v>
          </cell>
          <cell r="D2435" t="str">
            <v>Tubo Gotejador - Polietileno 300 Micras,  D = 16,5 Mm</v>
          </cell>
          <cell r="E2435" t="str">
            <v>km</v>
          </cell>
          <cell r="F2435"/>
          <cell r="G2435">
            <v>745.6</v>
          </cell>
          <cell r="H2435">
            <v>0</v>
          </cell>
        </row>
        <row r="2436">
          <cell r="C2436" t="str">
            <v>13.2.5</v>
          </cell>
          <cell r="D2436" t="str">
            <v>Transição distribuição linha mestra, d=100mm</v>
          </cell>
          <cell r="E2436"/>
          <cell r="F2436"/>
          <cell r="G2436"/>
          <cell r="H2436">
            <v>0</v>
          </cell>
        </row>
        <row r="2437">
          <cell r="C2437" t="str">
            <v>13.2.5.1</v>
          </cell>
          <cell r="D2437" t="str">
            <v>Flange Pvc Livre C/ Furos P/ Tubos Pbs Soldável Ø 110Mm (Fornecer Anéis De Vedação E Parafusos P/Os Flanges)</v>
          </cell>
          <cell r="E2437" t="str">
            <v>un</v>
          </cell>
          <cell r="F2437"/>
          <cell r="G2437">
            <v>24.02</v>
          </cell>
          <cell r="H2437">
            <v>0</v>
          </cell>
        </row>
        <row r="2438">
          <cell r="C2438" t="str">
            <v>13.2.5.2</v>
          </cell>
          <cell r="D2438" t="str">
            <v xml:space="preserve">Adaptador Pvc Lf X Bolsa Pbs Ø 110Mm X 100Mm </v>
          </cell>
          <cell r="E2438" t="str">
            <v>un</v>
          </cell>
          <cell r="F2438"/>
          <cell r="G2438">
            <v>7.86</v>
          </cell>
          <cell r="H2438">
            <v>0</v>
          </cell>
        </row>
        <row r="2439">
          <cell r="C2439" t="str">
            <v>13.2.6</v>
          </cell>
          <cell r="D2439" t="str">
            <v>Filtros (em cavalete)</v>
          </cell>
          <cell r="E2439"/>
          <cell r="F2439"/>
          <cell r="G2439"/>
          <cell r="H2439">
            <v>0</v>
          </cell>
        </row>
        <row r="2440">
          <cell r="C2440" t="str">
            <v>13.2.6.1</v>
          </cell>
          <cell r="D2440" t="str">
            <v xml:space="preserve">Luva De Redução Lf Bolsas Soldáveis Ø 100Mm X 75Mm </v>
          </cell>
          <cell r="E2440" t="str">
            <v>un</v>
          </cell>
          <cell r="F2440"/>
          <cell r="G2440">
            <v>4.22</v>
          </cell>
          <cell r="H2440">
            <v>0</v>
          </cell>
        </row>
        <row r="2441">
          <cell r="C2441" t="str">
            <v>13.2.6.2</v>
          </cell>
          <cell r="D2441" t="str">
            <v xml:space="preserve">Toco Tubo Pvc Lf Pontas Ø 75Mm X 0,20M </v>
          </cell>
          <cell r="E2441" t="str">
            <v>un</v>
          </cell>
          <cell r="F2441"/>
          <cell r="G2441">
            <v>1.77</v>
          </cell>
          <cell r="H2441">
            <v>0</v>
          </cell>
        </row>
        <row r="2442">
          <cell r="C2442" t="str">
            <v>13.2.6.3</v>
          </cell>
          <cell r="D2442" t="str">
            <v xml:space="preserve">Adaptador Pvc Lf X Bolsa Pbs Ø 75Mm X 85Mm </v>
          </cell>
          <cell r="E2442" t="str">
            <v>un</v>
          </cell>
          <cell r="F2442"/>
          <cell r="G2442">
            <v>18.690000000000001</v>
          </cell>
          <cell r="H2442">
            <v>0</v>
          </cell>
        </row>
        <row r="2443">
          <cell r="C2443" t="str">
            <v>13.2.6.4</v>
          </cell>
          <cell r="D2443" t="str">
            <v xml:space="preserve">Cotovelo 90º Pvc Pbs Bolsas Soldáveis Ø 85Mm </v>
          </cell>
          <cell r="E2443" t="str">
            <v>un</v>
          </cell>
          <cell r="F2443"/>
          <cell r="G2443">
            <v>30.04</v>
          </cell>
          <cell r="H2443">
            <v>0</v>
          </cell>
        </row>
        <row r="2444">
          <cell r="C2444" t="str">
            <v>13.2.6.5</v>
          </cell>
          <cell r="D2444" t="str">
            <v xml:space="preserve">Toco Tubo Pvc Pbs Pontas Cl-15 Ø 85Mm X L~ 1,00M </v>
          </cell>
          <cell r="E2444" t="str">
            <v>un</v>
          </cell>
          <cell r="F2444"/>
          <cell r="G2444">
            <v>15.01</v>
          </cell>
          <cell r="H2444">
            <v>0</v>
          </cell>
        </row>
        <row r="2445">
          <cell r="C2445" t="str">
            <v>13.2.6.6</v>
          </cell>
          <cell r="D2445" t="str">
            <v xml:space="preserve">Colar De Tomada Pvc Ø 85Mm X ¾"(Marrom) </v>
          </cell>
          <cell r="E2445" t="str">
            <v>un</v>
          </cell>
          <cell r="F2445"/>
          <cell r="G2445">
            <v>5.98</v>
          </cell>
          <cell r="H2445">
            <v>0</v>
          </cell>
        </row>
        <row r="2446">
          <cell r="C2446" t="str">
            <v>13.2.6.7</v>
          </cell>
          <cell r="D2446" t="str">
            <v xml:space="preserve">Ventosa Simples Em Plástico Ø ¾" </v>
          </cell>
          <cell r="E2446" t="str">
            <v>un</v>
          </cell>
          <cell r="F2446"/>
          <cell r="G2446">
            <v>33.89</v>
          </cell>
          <cell r="H2446">
            <v>0</v>
          </cell>
        </row>
        <row r="2447">
          <cell r="C2447" t="str">
            <v>13.2.6.8</v>
          </cell>
          <cell r="D2447" t="str">
            <v xml:space="preserve">Toco Tubo Pvc Pba Cl-15 Pontas Ø 85Mm X 0,25M </v>
          </cell>
          <cell r="E2447" t="str">
            <v>un</v>
          </cell>
          <cell r="F2447"/>
          <cell r="G2447">
            <v>5.27</v>
          </cell>
          <cell r="H2447">
            <v>0</v>
          </cell>
        </row>
        <row r="2448">
          <cell r="C2448" t="str">
            <v>13.2.6.9</v>
          </cell>
          <cell r="D2448" t="str">
            <v xml:space="preserve">Adaptador Longo Pvc Pbs Bolsa Rosca Ø 85Mm X 3" </v>
          </cell>
          <cell r="E2448" t="str">
            <v>un</v>
          </cell>
          <cell r="F2448"/>
          <cell r="G2448">
            <v>7.96</v>
          </cell>
          <cell r="H2448">
            <v>0</v>
          </cell>
        </row>
        <row r="2449">
          <cell r="C2449" t="str">
            <v>13.2.6.10</v>
          </cell>
          <cell r="D2449" t="str">
            <v xml:space="preserve">Registro De Gaveta Em Bronze Roscas Ff Ø 3" </v>
          </cell>
          <cell r="E2449" t="str">
            <v>un</v>
          </cell>
          <cell r="F2449"/>
          <cell r="G2449">
            <v>364.29</v>
          </cell>
          <cell r="H2449">
            <v>0</v>
          </cell>
        </row>
        <row r="2450">
          <cell r="C2450" t="str">
            <v>13.2.6.11</v>
          </cell>
          <cell r="D2450" t="str">
            <v xml:space="preserve">União Pvc Rígido Roscável Ø 3" </v>
          </cell>
          <cell r="E2450" t="str">
            <v>un</v>
          </cell>
          <cell r="F2450"/>
          <cell r="G2450">
            <v>22.13</v>
          </cell>
          <cell r="H2450">
            <v>0</v>
          </cell>
        </row>
        <row r="2451">
          <cell r="C2451" t="str">
            <v>13.2.6.12</v>
          </cell>
          <cell r="D2451" t="str">
            <v xml:space="preserve">Filtros De Plástico C/ Roscas Machp Bsp Elemento De Tela 80 Mesh Ø 3" </v>
          </cell>
          <cell r="E2451" t="str">
            <v>un</v>
          </cell>
          <cell r="F2451"/>
          <cell r="G2451">
            <v>304.45</v>
          </cell>
          <cell r="H2451">
            <v>0</v>
          </cell>
        </row>
        <row r="2452">
          <cell r="C2452" t="str">
            <v>13.2.6.13</v>
          </cell>
          <cell r="D2452" t="str">
            <v xml:space="preserve">Luva Pvc Rígido Roscável Ø 3" </v>
          </cell>
          <cell r="E2452" t="str">
            <v>un</v>
          </cell>
          <cell r="F2452"/>
          <cell r="G2452">
            <v>10.43</v>
          </cell>
          <cell r="H2452">
            <v>0</v>
          </cell>
        </row>
        <row r="2453">
          <cell r="C2453" t="str">
            <v>13.2.6.14</v>
          </cell>
          <cell r="D2453" t="str">
            <v>Filtro De Plástico C/ Roscas Macho Elemento De Discos 120 Mesh Ø 3"</v>
          </cell>
          <cell r="E2453" t="str">
            <v>un</v>
          </cell>
          <cell r="F2453"/>
          <cell r="G2453">
            <v>256.74</v>
          </cell>
          <cell r="H2453">
            <v>0</v>
          </cell>
        </row>
        <row r="2454">
          <cell r="C2454" t="str">
            <v>13.2.7</v>
          </cell>
          <cell r="D2454" t="str">
            <v>Fertirrigação tipo venturi (interligado no cavalete dos filtros)</v>
          </cell>
          <cell r="E2454"/>
          <cell r="F2454"/>
          <cell r="G2454"/>
          <cell r="H2454">
            <v>0</v>
          </cell>
        </row>
        <row r="2455">
          <cell r="C2455" t="str">
            <v>13.2.7.1</v>
          </cell>
          <cell r="D2455" t="str">
            <v>Caixa D`Água C/ Tampa Em Plástico Volume 500 Litros (01 P/ Mistura Eoutra P/ Solucão)</v>
          </cell>
          <cell r="E2455" t="str">
            <v>un</v>
          </cell>
          <cell r="F2455"/>
          <cell r="G2455">
            <v>164.98</v>
          </cell>
          <cell r="H2455">
            <v>0</v>
          </cell>
        </row>
        <row r="2456">
          <cell r="C2456" t="str">
            <v>13.2.7.2</v>
          </cell>
          <cell r="D2456" t="str">
            <v>Adaptador Roscável C/ Anel P/ Caixa D`Água Ø 1"</v>
          </cell>
          <cell r="E2456" t="str">
            <v>un</v>
          </cell>
          <cell r="F2456"/>
          <cell r="G2456">
            <v>6.42</v>
          </cell>
          <cell r="H2456">
            <v>0</v>
          </cell>
        </row>
        <row r="2457">
          <cell r="C2457" t="str">
            <v>13.2.7.3</v>
          </cell>
          <cell r="D2457" t="str">
            <v xml:space="preserve">Nípel Duplo Pvc Roscável Rígido  Ø 1" </v>
          </cell>
          <cell r="E2457" t="str">
            <v>un</v>
          </cell>
          <cell r="F2457"/>
          <cell r="G2457">
            <v>0.94</v>
          </cell>
          <cell r="H2457">
            <v>0</v>
          </cell>
        </row>
        <row r="2458">
          <cell r="C2458" t="str">
            <v>13.2.7.4</v>
          </cell>
          <cell r="D2458" t="str">
            <v>Válvula Globo Pvc Roscas Fêmeas  Ø 1"</v>
          </cell>
          <cell r="E2458" t="str">
            <v>un</v>
          </cell>
          <cell r="F2458"/>
          <cell r="G2458">
            <v>14.2</v>
          </cell>
          <cell r="H2458">
            <v>0</v>
          </cell>
        </row>
        <row r="2459">
          <cell r="C2459" t="str">
            <v>13.2.7.5</v>
          </cell>
          <cell r="D2459" t="str">
            <v>Nípel Pvc Rosca X Dentado Ø 1"</v>
          </cell>
          <cell r="E2459" t="str">
            <v>un</v>
          </cell>
          <cell r="F2459"/>
          <cell r="G2459">
            <v>7.51</v>
          </cell>
          <cell r="H2459">
            <v>0</v>
          </cell>
        </row>
        <row r="2460">
          <cell r="C2460" t="str">
            <v>13.2.7.6</v>
          </cell>
          <cell r="D2460" t="str">
            <v>Abradeira Galvanizada P/ Mangueira Ø 1"</v>
          </cell>
          <cell r="E2460" t="str">
            <v>un</v>
          </cell>
          <cell r="F2460"/>
          <cell r="G2460">
            <v>1.51</v>
          </cell>
          <cell r="H2460">
            <v>0</v>
          </cell>
        </row>
        <row r="2461">
          <cell r="C2461" t="str">
            <v>13.2.7.7</v>
          </cell>
          <cell r="D2461" t="str">
            <v>Mangueira Cristal Malhada Ø 1"</v>
          </cell>
          <cell r="E2461" t="str">
            <v>m</v>
          </cell>
          <cell r="F2461"/>
          <cell r="G2461">
            <v>4.7699999999999996</v>
          </cell>
          <cell r="H2461">
            <v>0</v>
          </cell>
        </row>
        <row r="2462">
          <cell r="C2462" t="str">
            <v>13.2.7.8</v>
          </cell>
          <cell r="D2462" t="str">
            <v xml:space="preserve">Joelho 45º Pvc Rígido Roscável Ø 1" </v>
          </cell>
          <cell r="E2462" t="str">
            <v>un</v>
          </cell>
          <cell r="F2462"/>
          <cell r="G2462">
            <v>1.79</v>
          </cell>
          <cell r="H2462">
            <v>0</v>
          </cell>
        </row>
        <row r="2463">
          <cell r="C2463" t="str">
            <v>13.2.7.9</v>
          </cell>
          <cell r="D2463" t="str">
            <v xml:space="preserve">Luva Pvc Rígido Roscável Ø 1" </v>
          </cell>
          <cell r="E2463" t="str">
            <v>un</v>
          </cell>
          <cell r="F2463"/>
          <cell r="G2463">
            <v>0.94</v>
          </cell>
          <cell r="H2463">
            <v>0</v>
          </cell>
        </row>
        <row r="2464">
          <cell r="C2464" t="str">
            <v>13.2.7.10</v>
          </cell>
          <cell r="D2464" t="str">
            <v>Injetor De Fertilizantes Tipo Venturi C/ Roscas Macho Ø 1"</v>
          </cell>
          <cell r="E2464" t="str">
            <v>un</v>
          </cell>
          <cell r="F2464"/>
          <cell r="G2464">
            <v>67.069999999999993</v>
          </cell>
          <cell r="H2464">
            <v>0</v>
          </cell>
        </row>
        <row r="2465">
          <cell r="C2465" t="str">
            <v>13.2.7.11</v>
          </cell>
          <cell r="D2465" t="str">
            <v>Bucha Pvc Rígido Roscável Ø 1" X ¾"</v>
          </cell>
          <cell r="E2465" t="str">
            <v>un</v>
          </cell>
          <cell r="F2465"/>
          <cell r="G2465">
            <v>0.88</v>
          </cell>
          <cell r="H2465">
            <v>0</v>
          </cell>
        </row>
        <row r="2466">
          <cell r="C2466" t="str">
            <v>13.2.7.12</v>
          </cell>
          <cell r="D2466" t="str">
            <v>Nípel Pvc Rosca X Dentado Ø Ø ¾"</v>
          </cell>
          <cell r="E2466" t="str">
            <v>un</v>
          </cell>
          <cell r="F2466"/>
          <cell r="G2466">
            <v>4.63</v>
          </cell>
          <cell r="H2466">
            <v>0</v>
          </cell>
        </row>
        <row r="2467">
          <cell r="C2467" t="str">
            <v>13.2.8</v>
          </cell>
          <cell r="D2467" t="str">
            <v>Hidrantes PVC PBS CL-15 (marrom) para diâmetros até 85mm ou 3"</v>
          </cell>
          <cell r="E2467"/>
          <cell r="F2467"/>
          <cell r="G2467"/>
          <cell r="H2467">
            <v>0</v>
          </cell>
        </row>
        <row r="2468">
          <cell r="C2468" t="str">
            <v>13.2.8.1</v>
          </cell>
          <cell r="D2468" t="str">
            <v>Adaptador Pvc Lf X Bolsa Pbs Ø 100Mm X 110Mm</v>
          </cell>
          <cell r="E2468" t="str">
            <v>un</v>
          </cell>
          <cell r="F2468"/>
          <cell r="G2468">
            <v>7.86</v>
          </cell>
          <cell r="H2468">
            <v>0</v>
          </cell>
        </row>
        <row r="2469">
          <cell r="C2469" t="str">
            <v>13.2.8.2</v>
          </cell>
          <cell r="D2469" t="str">
            <v>Te De Redução Pvc Pbs Bolsas Ø 110Mm X 85Mm</v>
          </cell>
          <cell r="E2469" t="str">
            <v>un</v>
          </cell>
          <cell r="F2469"/>
          <cell r="G2469">
            <v>23.78</v>
          </cell>
          <cell r="H2469">
            <v>0</v>
          </cell>
        </row>
        <row r="2470">
          <cell r="C2470" t="str">
            <v>13.2.8.3</v>
          </cell>
          <cell r="D2470" t="str">
            <v>Tubo Pvc Pbs Pontas Cl-15 Ø 85Mm X L= 1,00M</v>
          </cell>
          <cell r="E2470" t="str">
            <v>un</v>
          </cell>
          <cell r="F2470"/>
          <cell r="G2470">
            <v>14.53</v>
          </cell>
          <cell r="H2470">
            <v>0</v>
          </cell>
        </row>
        <row r="2471">
          <cell r="C2471" t="str">
            <v>13.2.8.4</v>
          </cell>
          <cell r="D2471" t="str">
            <v>Adaptador Longo Pvc Pbs Bolsa Rosca Ø 85Mm X 3" Un 1.244</v>
          </cell>
          <cell r="E2471" t="str">
            <v>un</v>
          </cell>
          <cell r="F2471"/>
          <cell r="G2471">
            <v>7.96</v>
          </cell>
          <cell r="H2471">
            <v>0</v>
          </cell>
        </row>
        <row r="2472">
          <cell r="C2472" t="str">
            <v>13.2.8.5</v>
          </cell>
          <cell r="D2472" t="str">
            <v>Registro De Gaveta Em Bronze Roscas Fêmea Ø 3"</v>
          </cell>
          <cell r="E2472" t="str">
            <v>un</v>
          </cell>
          <cell r="F2472"/>
          <cell r="G2472">
            <v>364.29</v>
          </cell>
          <cell r="H2472">
            <v>0</v>
          </cell>
        </row>
        <row r="2473">
          <cell r="C2473" t="str">
            <v>13.2.8.6</v>
          </cell>
          <cell r="D2473" t="str">
            <v xml:space="preserve">Nípel Duplo Pvc Roscável Rígido  Ø 3" </v>
          </cell>
          <cell r="E2473" t="str">
            <v>un</v>
          </cell>
          <cell r="F2473"/>
          <cell r="G2473">
            <v>11.49</v>
          </cell>
          <cell r="H2473">
            <v>0</v>
          </cell>
        </row>
        <row r="2474">
          <cell r="C2474" t="str">
            <v>13.2.8.7</v>
          </cell>
          <cell r="D2474" t="str">
            <v>Cruzeta Ferro Galvanizado Roscável Ø 3"</v>
          </cell>
          <cell r="E2474" t="str">
            <v>un</v>
          </cell>
          <cell r="F2474"/>
          <cell r="G2474">
            <v>51.58</v>
          </cell>
          <cell r="H2474">
            <v>0</v>
          </cell>
        </row>
        <row r="2475">
          <cell r="C2475" t="str">
            <v>13.2.8.8</v>
          </cell>
          <cell r="D2475" t="str">
            <v>Bucha De Redução Pvc Rígido Roscas Ø 3" X 1.½"</v>
          </cell>
          <cell r="E2475" t="str">
            <v>un</v>
          </cell>
          <cell r="F2475"/>
          <cell r="G2475">
            <v>23.13</v>
          </cell>
          <cell r="H2475">
            <v>0</v>
          </cell>
        </row>
        <row r="2476">
          <cell r="C2476" t="str">
            <v>13.2.8.9</v>
          </cell>
          <cell r="D2476" t="str">
            <v>Bucha De Redução Pvc Rígido Roscas Ø 1.½" X 1"</v>
          </cell>
          <cell r="E2476" t="str">
            <v>un</v>
          </cell>
          <cell r="F2476"/>
          <cell r="G2476">
            <v>2.0499999999999998</v>
          </cell>
          <cell r="H2476">
            <v>0</v>
          </cell>
        </row>
        <row r="2477">
          <cell r="C2477" t="str">
            <v>13.2.8.10</v>
          </cell>
          <cell r="D2477" t="str">
            <v>Ventosa Plástica C/ Rosca Bsp Macho Ø 1"</v>
          </cell>
          <cell r="E2477" t="str">
            <v>un</v>
          </cell>
          <cell r="F2477"/>
          <cell r="G2477">
            <v>38.119999999999997</v>
          </cell>
          <cell r="H2477">
            <v>0</v>
          </cell>
        </row>
        <row r="2478">
          <cell r="C2478" t="str">
            <v>13.2.8.11</v>
          </cell>
          <cell r="D2478" t="str">
            <v xml:space="preserve">Toco Tubo Pvc Pba Cl-15 Pontas Ø 85Mm X 0,25M </v>
          </cell>
          <cell r="E2478" t="str">
            <v>un</v>
          </cell>
          <cell r="F2478"/>
          <cell r="G2478">
            <v>5.17</v>
          </cell>
          <cell r="H2478">
            <v>0</v>
          </cell>
        </row>
        <row r="2479">
          <cell r="C2479" t="str">
            <v>13.2.8.12</v>
          </cell>
          <cell r="D2479" t="str">
            <v>Válvula Multi-Funções Em Plástico Roscas Ø 3" Bsp Fêmes (C/ Válvulas 3 Vias Bronze Ø ¼" )</v>
          </cell>
          <cell r="E2479" t="str">
            <v>un</v>
          </cell>
          <cell r="F2479"/>
          <cell r="G2479">
            <v>136.41</v>
          </cell>
          <cell r="H2479">
            <v>0</v>
          </cell>
        </row>
        <row r="2480">
          <cell r="C2480" t="str">
            <v>13.2.8.13</v>
          </cell>
          <cell r="D2480" t="str">
            <v xml:space="preserve">Colar De Tomada Pvc Ø 85Mm X ¾"(Marrom) </v>
          </cell>
          <cell r="E2480" t="str">
            <v>un</v>
          </cell>
          <cell r="F2480"/>
          <cell r="G2480">
            <v>5.94</v>
          </cell>
          <cell r="H2480">
            <v>0</v>
          </cell>
        </row>
        <row r="2481">
          <cell r="C2481" t="str">
            <v>13.2.8.14</v>
          </cell>
          <cell r="D2481" t="str">
            <v>Válvula Anti-Vácuo Plástico Rosca Macho Bsp Ø ½"</v>
          </cell>
          <cell r="E2481" t="str">
            <v>un</v>
          </cell>
          <cell r="F2481"/>
          <cell r="G2481">
            <v>1.97</v>
          </cell>
          <cell r="H2481">
            <v>0</v>
          </cell>
        </row>
        <row r="2482">
          <cell r="C2482" t="str">
            <v>13.2.8.15</v>
          </cell>
          <cell r="D2482" t="str">
            <v>Joelho 90º Pvc Pbs Bolsas Soldáveis Ø 85Mm</v>
          </cell>
          <cell r="E2482" t="str">
            <v>un</v>
          </cell>
          <cell r="F2482"/>
          <cell r="G2482">
            <v>45.9</v>
          </cell>
          <cell r="H2482">
            <v>0</v>
          </cell>
        </row>
        <row r="2483">
          <cell r="C2483" t="str">
            <v>13.2.8.16</v>
          </cell>
          <cell r="D2483" t="str">
            <v>União Pvc Pbs Soldável Ø 85Mm</v>
          </cell>
          <cell r="E2483" t="str">
            <v>un</v>
          </cell>
          <cell r="F2483"/>
          <cell r="G2483">
            <v>37.86</v>
          </cell>
          <cell r="H2483">
            <v>0</v>
          </cell>
        </row>
        <row r="2484">
          <cell r="C2484" t="str">
            <v>13.2.8.17</v>
          </cell>
          <cell r="D2484" t="str">
            <v>Adaptador Pvc Lf X Bolsa Pbs Ø 75Mm X 85Mm</v>
          </cell>
          <cell r="E2484" t="str">
            <v>un</v>
          </cell>
          <cell r="F2484"/>
          <cell r="G2484">
            <v>18.93</v>
          </cell>
          <cell r="H2484">
            <v>0</v>
          </cell>
        </row>
        <row r="2485">
          <cell r="C2485" t="str">
            <v>13.2.8.18</v>
          </cell>
          <cell r="D2485" t="str">
            <v xml:space="preserve">Toco Tubo Pvc Lf Pontas Ø 75Mm X 0,20M </v>
          </cell>
          <cell r="E2485" t="str">
            <v>un</v>
          </cell>
          <cell r="F2485"/>
          <cell r="G2485">
            <v>1.73</v>
          </cell>
          <cell r="H2485">
            <v>0</v>
          </cell>
        </row>
        <row r="2486">
          <cell r="C2486" t="str">
            <v>13.2.9</v>
          </cell>
          <cell r="D2486" t="str">
            <v>Equipamentos da microaspersão (obs.: as conexões deverão ser compatíveis com os tubos)</v>
          </cell>
          <cell r="E2486"/>
          <cell r="F2486"/>
          <cell r="G2486"/>
          <cell r="H2486">
            <v>0</v>
          </cell>
        </row>
        <row r="2487">
          <cell r="C2487" t="str">
            <v>13.2.9.1</v>
          </cell>
          <cell r="D2487" t="str">
            <v xml:space="preserve">Te Pvc C/ Rosca Na Derivação Ø 75Mm X 1.½" </v>
          </cell>
          <cell r="E2487" t="str">
            <v>un</v>
          </cell>
          <cell r="F2487"/>
          <cell r="G2487">
            <v>7.55</v>
          </cell>
          <cell r="H2487">
            <v>0</v>
          </cell>
        </row>
        <row r="2488">
          <cell r="C2488" t="str">
            <v>13.2.9.2</v>
          </cell>
          <cell r="D2488" t="str">
            <v>Bucha De Redução Pvc Rígido Roscas  Ø 1.½" X 1"</v>
          </cell>
          <cell r="E2488" t="str">
            <v>un</v>
          </cell>
          <cell r="F2488"/>
          <cell r="G2488">
            <v>2.0499999999999998</v>
          </cell>
          <cell r="H2488">
            <v>0</v>
          </cell>
        </row>
        <row r="2489">
          <cell r="C2489" t="str">
            <v>13.2.9.3</v>
          </cell>
          <cell r="D2489" t="str">
            <v>Tubo Pvc Rígido Com Roscas Ø 1" X 0,80M</v>
          </cell>
          <cell r="E2489" t="str">
            <v>un</v>
          </cell>
          <cell r="F2489"/>
          <cell r="G2489">
            <v>7.64</v>
          </cell>
          <cell r="H2489">
            <v>0</v>
          </cell>
        </row>
        <row r="2490">
          <cell r="C2490" t="str">
            <v>13.2.9.4</v>
          </cell>
          <cell r="D2490" t="str">
            <v>Luva Pvc Rígido Com Roscas Ø 1"</v>
          </cell>
          <cell r="E2490" t="str">
            <v>un</v>
          </cell>
          <cell r="F2490"/>
          <cell r="G2490">
            <v>0.94</v>
          </cell>
          <cell r="H2490">
            <v>0</v>
          </cell>
        </row>
        <row r="2491">
          <cell r="C2491" t="str">
            <v>13.2.9.5</v>
          </cell>
          <cell r="D2491" t="str">
            <v>Conector Tipo "Aranha" Rosca Macho Bsp Ø 1" X 04 Saídas Ø 20Mm</v>
          </cell>
          <cell r="E2491" t="str">
            <v>un</v>
          </cell>
          <cell r="F2491"/>
          <cell r="G2491">
            <v>0.99</v>
          </cell>
          <cell r="H2491">
            <v>0</v>
          </cell>
        </row>
        <row r="2492">
          <cell r="C2492" t="str">
            <v>13.2.9.6</v>
          </cell>
          <cell r="D2492" t="str">
            <v>Tubo Polietileno Pebd Liso Pn - 40 M.C.A Ø 20Mm E= 1,5Mm</v>
          </cell>
          <cell r="E2492" t="str">
            <v>m</v>
          </cell>
          <cell r="F2492"/>
          <cell r="G2492">
            <v>0.51</v>
          </cell>
          <cell r="H2492">
            <v>0</v>
          </cell>
        </row>
        <row r="2493">
          <cell r="C2493" t="str">
            <v>13.2.9.7</v>
          </cell>
          <cell r="D2493" t="str">
            <v>Microasperso Plástico Tipo Bailarina,Autocompensante C/ Haste E Rabicho,Vazão= 58,0 L/H, Pressão De Serviço (De 10 A 40 M.C.A)</v>
          </cell>
          <cell r="E2493" t="str">
            <v>un</v>
          </cell>
          <cell r="F2493"/>
          <cell r="G2493">
            <v>1.2</v>
          </cell>
          <cell r="H2493">
            <v>0</v>
          </cell>
        </row>
        <row r="2494">
          <cell r="C2494" t="str">
            <v>13.2.9.8</v>
          </cell>
          <cell r="D2494" t="str">
            <v>Fim De Linha Plástico "Tipo 8" Ø 20Mm</v>
          </cell>
          <cell r="E2494" t="str">
            <v>un</v>
          </cell>
          <cell r="F2494"/>
          <cell r="G2494">
            <v>0.15</v>
          </cell>
          <cell r="H2494">
            <v>0</v>
          </cell>
        </row>
        <row r="2495">
          <cell r="C2495" t="str">
            <v>13.2.10</v>
          </cell>
          <cell r="D2495" t="str">
            <v>Equipamentos do gotejamento (obs.: as conexões deverão ser compatíveis com os tubos)</v>
          </cell>
          <cell r="E2495"/>
          <cell r="F2495"/>
          <cell r="G2495"/>
          <cell r="H2495">
            <v>0</v>
          </cell>
        </row>
        <row r="2496">
          <cell r="C2496" t="str">
            <v>13.2.10.1</v>
          </cell>
          <cell r="D2496" t="str">
            <v>Te Pvc C/ Rosca Na Derivação Ø 75Mm X 1.½"</v>
          </cell>
          <cell r="E2496" t="str">
            <v>un</v>
          </cell>
          <cell r="F2496"/>
          <cell r="G2496">
            <v>7.68</v>
          </cell>
          <cell r="H2496">
            <v>0</v>
          </cell>
        </row>
        <row r="2497">
          <cell r="C2497" t="str">
            <v>13.2.10.2</v>
          </cell>
          <cell r="D2497" t="str">
            <v>Bucha De Redução Pvc Rígido Roscas Ø 1.½" X 1"</v>
          </cell>
          <cell r="E2497" t="str">
            <v>un</v>
          </cell>
          <cell r="F2497"/>
          <cell r="G2497">
            <v>2.0499999999999998</v>
          </cell>
          <cell r="H2497">
            <v>0</v>
          </cell>
        </row>
        <row r="2498">
          <cell r="C2498" t="str">
            <v>13.2.10.3</v>
          </cell>
          <cell r="D2498" t="str">
            <v>Tubo Pvc Rígido Com Roscas Ø 1" X 0,80M</v>
          </cell>
          <cell r="E2498" t="str">
            <v>un</v>
          </cell>
          <cell r="F2498"/>
          <cell r="G2498">
            <v>7.86</v>
          </cell>
          <cell r="H2498">
            <v>0</v>
          </cell>
        </row>
        <row r="2499">
          <cell r="C2499" t="str">
            <v>13.2.10.4</v>
          </cell>
          <cell r="D2499" t="str">
            <v>Luva Pvc Rígido Com Roscas Ø 1"</v>
          </cell>
          <cell r="E2499" t="str">
            <v>un</v>
          </cell>
          <cell r="F2499"/>
          <cell r="G2499">
            <v>0.94</v>
          </cell>
          <cell r="H2499">
            <v>0</v>
          </cell>
        </row>
        <row r="2500">
          <cell r="C2500" t="str">
            <v>13.2.10.5</v>
          </cell>
          <cell r="D2500" t="str">
            <v xml:space="preserve">Conector Tipo "Aranha" Rosca Macho Bsp Ø 1" X 06  Saídas Ø 20Mm </v>
          </cell>
          <cell r="E2500" t="str">
            <v>un</v>
          </cell>
          <cell r="F2500"/>
          <cell r="G2500">
            <v>1.1599999999999999</v>
          </cell>
          <cell r="H2500">
            <v>0</v>
          </cell>
        </row>
        <row r="2501">
          <cell r="C2501" t="str">
            <v>13.2.10.6</v>
          </cell>
          <cell r="D2501" t="str">
            <v>Tubo Polietileno Pebd Liso Pn - 40 M.C.A Ø 16Mm E= 1,2Mm</v>
          </cell>
          <cell r="E2501" t="str">
            <v>m</v>
          </cell>
          <cell r="F2501"/>
          <cell r="G2501">
            <v>0.33</v>
          </cell>
          <cell r="H2501">
            <v>0</v>
          </cell>
        </row>
        <row r="2502">
          <cell r="C2502" t="str">
            <v>13.2.10.7</v>
          </cell>
          <cell r="D2502" t="str">
            <v>Conector P/ Interligar Tubos De Polietileno Dentado X Dentado Ø 16Mm</v>
          </cell>
          <cell r="E2502" t="str">
            <v>un</v>
          </cell>
          <cell r="F2502"/>
          <cell r="G2502">
            <v>0.21</v>
          </cell>
          <cell r="H2502">
            <v>0</v>
          </cell>
        </row>
        <row r="2503">
          <cell r="C2503" t="str">
            <v>13.2.10.8</v>
          </cell>
          <cell r="D2503" t="str">
            <v>Tubo Gotejador (Pebd) "In Line", Autocompensante, Esp. 0,30M, Vazão 2,0 L/H, Pn-40 Ø 16Mm</v>
          </cell>
          <cell r="E2503" t="str">
            <v>m</v>
          </cell>
          <cell r="F2503"/>
          <cell r="G2503">
            <v>0.63</v>
          </cell>
          <cell r="H2503">
            <v>0</v>
          </cell>
        </row>
        <row r="2504">
          <cell r="C2504" t="str">
            <v>13.2.10.9</v>
          </cell>
          <cell r="D2504" t="str">
            <v>Fim De Linha Plástico "Tipo 8" Ø 16Mm</v>
          </cell>
          <cell r="E2504" t="str">
            <v>un</v>
          </cell>
          <cell r="F2504"/>
          <cell r="G2504">
            <v>0.17</v>
          </cell>
          <cell r="H2504">
            <v>0</v>
          </cell>
        </row>
        <row r="2505">
          <cell r="C2505" t="str">
            <v>13.2.11</v>
          </cell>
          <cell r="D2505" t="str">
            <v>Complementos</v>
          </cell>
          <cell r="E2505"/>
          <cell r="F2505"/>
          <cell r="G2505"/>
          <cell r="H2505">
            <v>0</v>
          </cell>
        </row>
        <row r="2506">
          <cell r="C2506" t="str">
            <v>13.2.11.1</v>
          </cell>
          <cell r="D2506" t="str">
            <v>Adesivo Para Tbos Pvc 850 Ml</v>
          </cell>
          <cell r="E2506" t="str">
            <v>un</v>
          </cell>
          <cell r="F2506"/>
          <cell r="G2506">
            <v>15.16</v>
          </cell>
          <cell r="H2506">
            <v>0</v>
          </cell>
        </row>
        <row r="2507">
          <cell r="C2507" t="str">
            <v>13.2.11.2</v>
          </cell>
          <cell r="D2507" t="str">
            <v>Fita Teflon Veda Roscas ¾" X 50M</v>
          </cell>
          <cell r="E2507" t="str">
            <v>un</v>
          </cell>
          <cell r="F2507"/>
          <cell r="G2507">
            <v>3.16</v>
          </cell>
          <cell r="H2507">
            <v>0</v>
          </cell>
        </row>
        <row r="2508">
          <cell r="C2508" t="str">
            <v>13.2.11.3</v>
          </cell>
          <cell r="D2508" t="str">
            <v>Lixa Para Limpeza De Tubos Pvc 120</v>
          </cell>
          <cell r="E2508" t="str">
            <v>un</v>
          </cell>
          <cell r="F2508"/>
          <cell r="G2508">
            <v>1.32</v>
          </cell>
          <cell r="H2508">
            <v>0</v>
          </cell>
        </row>
        <row r="2509">
          <cell r="C2509" t="str">
            <v>13.2.11.4</v>
          </cell>
          <cell r="D2509" t="str">
            <v>Lubrifica Nte Para Junta Elástica Lata 850G</v>
          </cell>
          <cell r="E2509" t="str">
            <v>un</v>
          </cell>
          <cell r="F2509"/>
          <cell r="G2509">
            <v>9.36</v>
          </cell>
          <cell r="H2509">
            <v>0</v>
          </cell>
        </row>
        <row r="2510">
          <cell r="C2510" t="str">
            <v>13.2.11.5</v>
          </cell>
          <cell r="D2510" t="str">
            <v>Estopa De Limpeza</v>
          </cell>
          <cell r="E2510" t="str">
            <v>un</v>
          </cell>
          <cell r="F2510"/>
          <cell r="G2510">
            <v>1.22</v>
          </cell>
          <cell r="H2510">
            <v>0</v>
          </cell>
        </row>
        <row r="2511">
          <cell r="C2511" t="str">
            <v>13.2.12</v>
          </cell>
          <cell r="D2511" t="str">
            <v>Peças especiais</v>
          </cell>
          <cell r="E2511"/>
          <cell r="F2511"/>
          <cell r="G2511"/>
          <cell r="H2511">
            <v>0</v>
          </cell>
        </row>
        <row r="2512">
          <cell r="C2512" t="str">
            <v>13.2.12.1</v>
          </cell>
          <cell r="D2512" t="str">
            <v>Cap Pvc Rígido Roscável Ø 1"</v>
          </cell>
          <cell r="E2512" t="str">
            <v>un</v>
          </cell>
          <cell r="F2512"/>
          <cell r="G2512">
            <v>1.33</v>
          </cell>
          <cell r="H2512">
            <v>0</v>
          </cell>
        </row>
        <row r="2513">
          <cell r="C2513" t="str">
            <v>14.</v>
          </cell>
          <cell r="D2513" t="str">
            <v>14 - REDE DE DRENAGEM</v>
          </cell>
          <cell r="E2513"/>
          <cell r="F2513"/>
          <cell r="G2513"/>
          <cell r="H2513">
            <v>0</v>
          </cell>
        </row>
        <row r="2514">
          <cell r="C2514" t="str">
            <v>14.1</v>
          </cell>
          <cell r="D2514" t="str">
            <v>DRENOS E QUEDAS</v>
          </cell>
          <cell r="E2514"/>
          <cell r="F2514"/>
          <cell r="G2514"/>
          <cell r="H2514">
            <v>0</v>
          </cell>
        </row>
        <row r="2515">
          <cell r="C2515" t="str">
            <v>14.1.1</v>
          </cell>
          <cell r="D2515" t="str">
            <v>Desmatamento, Destocamento E Limpeza Do Terreno</v>
          </cell>
          <cell r="E2515" t="str">
            <v>ha</v>
          </cell>
          <cell r="F2515"/>
          <cell r="G2515">
            <v>1660.74</v>
          </cell>
          <cell r="H2515">
            <v>0</v>
          </cell>
        </row>
        <row r="2516">
          <cell r="C2516" t="str">
            <v>14.1.2</v>
          </cell>
          <cell r="D2516" t="str">
            <v>Escavação Mecânica Em Material De 1ª Categoria, Dmt &lt;= 300 M</v>
          </cell>
          <cell r="E2516" t="str">
            <v>m³</v>
          </cell>
          <cell r="F2516"/>
          <cell r="G2516">
            <v>5.54</v>
          </cell>
          <cell r="H2516">
            <v>0</v>
          </cell>
        </row>
        <row r="2517">
          <cell r="C2517" t="str">
            <v>14.1.3</v>
          </cell>
          <cell r="D2517" t="str">
            <v>Reaterro Compactado Com Reaproveitamento Do Material Escavado</v>
          </cell>
          <cell r="E2517" t="str">
            <v>m³</v>
          </cell>
          <cell r="F2517"/>
          <cell r="G2517">
            <v>7.41</v>
          </cell>
          <cell r="H2517">
            <v>0</v>
          </cell>
        </row>
        <row r="2518">
          <cell r="C2518" t="str">
            <v>14.1.4</v>
          </cell>
          <cell r="D2518" t="str">
            <v>Enrocamento Com Pedra Arrumada  Com Dmt &lt;= 100 M</v>
          </cell>
          <cell r="E2518" t="str">
            <v>m³</v>
          </cell>
          <cell r="F2518"/>
          <cell r="G2518">
            <v>41.84</v>
          </cell>
          <cell r="H2518">
            <v>0</v>
          </cell>
        </row>
        <row r="2519">
          <cell r="C2519" t="str">
            <v>14.1.5</v>
          </cell>
          <cell r="D2519" t="str">
            <v>Preparo, Lançamento E Adensamento Concreto Ciclópico</v>
          </cell>
          <cell r="E2519" t="str">
            <v>m³</v>
          </cell>
          <cell r="F2519"/>
          <cell r="G2519">
            <v>176.64</v>
          </cell>
          <cell r="H2519">
            <v>0</v>
          </cell>
        </row>
        <row r="2520">
          <cell r="C2520" t="str">
            <v>14.1.6</v>
          </cell>
          <cell r="D2520" t="str">
            <v>Preparo, Lançamento E Adensamento De Concreto  (Ca-7 J)</v>
          </cell>
          <cell r="E2520" t="str">
            <v>m³</v>
          </cell>
          <cell r="F2520"/>
          <cell r="G2520">
            <v>236.36</v>
          </cell>
          <cell r="H2520">
            <v>0</v>
          </cell>
        </row>
        <row r="2521">
          <cell r="C2521" t="str">
            <v>14.1.7</v>
          </cell>
          <cell r="D2521" t="str">
            <v>Alvenaria De Pedra</v>
          </cell>
          <cell r="E2521" t="str">
            <v>m³</v>
          </cell>
          <cell r="F2521"/>
          <cell r="G2521">
            <v>165.43</v>
          </cell>
          <cell r="H2521">
            <v>0</v>
          </cell>
        </row>
        <row r="2522">
          <cell r="C2522" t="str">
            <v>14.1.8</v>
          </cell>
          <cell r="D2522" t="str">
            <v>Preparo, Lançamento E Adensamento De Concreto  (Ca-7 J)</v>
          </cell>
          <cell r="E2522" t="str">
            <v>m³</v>
          </cell>
          <cell r="F2522"/>
          <cell r="G2522">
            <v>271.56</v>
          </cell>
          <cell r="H2522">
            <v>0</v>
          </cell>
        </row>
        <row r="2523">
          <cell r="C2523" t="str">
            <v>14.1.9</v>
          </cell>
          <cell r="D2523" t="str">
            <v>Armadura Para Concreto Estrutural Aço Ca-50B</v>
          </cell>
          <cell r="E2523" t="str">
            <v>kg</v>
          </cell>
          <cell r="F2523"/>
          <cell r="G2523">
            <v>3.87</v>
          </cell>
          <cell r="H2523">
            <v>0</v>
          </cell>
        </row>
        <row r="2524">
          <cell r="C2524" t="str">
            <v>14.1.10</v>
          </cell>
          <cell r="D2524" t="str">
            <v>Meio Fio De Concreto Pre-Fabricado</v>
          </cell>
          <cell r="E2524" t="str">
            <v>m</v>
          </cell>
          <cell r="F2524"/>
          <cell r="G2524">
            <v>17.37</v>
          </cell>
          <cell r="H2524">
            <v>0</v>
          </cell>
        </row>
        <row r="2525">
          <cell r="C2525" t="str">
            <v>14.1.11</v>
          </cell>
          <cell r="D2525" t="str">
            <v>Escavação Manual Em Material De 1ª Categoria Com Dmt &lt;= 100 M (Até 1,5 M)</v>
          </cell>
          <cell r="E2525" t="str">
            <v>m³</v>
          </cell>
          <cell r="F2525"/>
          <cell r="G2525">
            <v>18.07</v>
          </cell>
          <cell r="H2525">
            <v>0</v>
          </cell>
        </row>
        <row r="2526">
          <cell r="C2526" t="str">
            <v>14.2</v>
          </cell>
          <cell r="D2526" t="str">
            <v>BUEIROS</v>
          </cell>
          <cell r="E2526"/>
          <cell r="F2526"/>
          <cell r="G2526">
            <v>0</v>
          </cell>
          <cell r="H2526">
            <v>0</v>
          </cell>
        </row>
        <row r="2527">
          <cell r="C2527" t="str">
            <v>14.2.1</v>
          </cell>
          <cell r="D2527" t="str">
            <v>Escavação Mecânica Em Material De 1ª Categoria, Dmt &lt;= 300 M</v>
          </cell>
          <cell r="E2527" t="str">
            <v>m³</v>
          </cell>
          <cell r="F2527"/>
          <cell r="G2527">
            <v>5.54</v>
          </cell>
          <cell r="H2527">
            <v>0</v>
          </cell>
        </row>
        <row r="2528">
          <cell r="C2528" t="str">
            <v>14.2.2</v>
          </cell>
          <cell r="D2528" t="str">
            <v>Reaterro Compactado Com Reaproveitamento Do Material Escavado</v>
          </cell>
          <cell r="E2528" t="str">
            <v>m³</v>
          </cell>
          <cell r="F2528"/>
          <cell r="G2528">
            <v>7.41</v>
          </cell>
          <cell r="H2528">
            <v>0</v>
          </cell>
        </row>
        <row r="2529">
          <cell r="C2529" t="str">
            <v>14.2.3</v>
          </cell>
          <cell r="D2529" t="str">
            <v>Preparo, Lançamento E Adensamento De Concreto   (Ca-4 E)</v>
          </cell>
          <cell r="E2529" t="str">
            <v>m³</v>
          </cell>
          <cell r="F2529"/>
          <cell r="G2529">
            <v>284.41000000000003</v>
          </cell>
          <cell r="H2529">
            <v>0</v>
          </cell>
        </row>
        <row r="2530">
          <cell r="C2530" t="str">
            <v>14.2.4</v>
          </cell>
          <cell r="D2530" t="str">
            <v>Preparo, Lançamento E Adensamento De Concreto  (Ca-7 J)</v>
          </cell>
          <cell r="E2530" t="str">
            <v>m³</v>
          </cell>
          <cell r="F2530"/>
          <cell r="G2530">
            <v>236.36</v>
          </cell>
          <cell r="H2530">
            <v>0</v>
          </cell>
        </row>
        <row r="2531">
          <cell r="C2531" t="str">
            <v>14.2.5</v>
          </cell>
          <cell r="D2531" t="str">
            <v>Formas Planas Para Concreto</v>
          </cell>
          <cell r="E2531" t="str">
            <v>m²</v>
          </cell>
          <cell r="F2531"/>
          <cell r="G2531">
            <v>53.52</v>
          </cell>
          <cell r="H2531">
            <v>0</v>
          </cell>
        </row>
        <row r="2532">
          <cell r="C2532" t="str">
            <v>14.2.6</v>
          </cell>
          <cell r="D2532" t="str">
            <v>Armadura Para Concreto Estrutural  Aço Ca-50 B</v>
          </cell>
          <cell r="E2532" t="str">
            <v xml:space="preserve"> kg</v>
          </cell>
          <cell r="F2532"/>
          <cell r="G2532">
            <v>3.87</v>
          </cell>
          <cell r="H2532">
            <v>0</v>
          </cell>
        </row>
        <row r="2533">
          <cell r="C2533" t="str">
            <v>14.2.7</v>
          </cell>
          <cell r="D2533" t="str">
            <v>Junta Com Mastique Elástico</v>
          </cell>
          <cell r="E2533" t="str">
            <v>m</v>
          </cell>
          <cell r="F2533"/>
          <cell r="G2533">
            <v>10.59</v>
          </cell>
          <cell r="H2533">
            <v>0</v>
          </cell>
        </row>
        <row r="2534">
          <cell r="C2534" t="str">
            <v>14.2.8</v>
          </cell>
          <cell r="D2534" t="str">
            <v>Pedra Argamassada</v>
          </cell>
          <cell r="E2534" t="str">
            <v>m³</v>
          </cell>
          <cell r="F2534"/>
          <cell r="G2534">
            <v>165.44</v>
          </cell>
          <cell r="H2534">
            <v>0</v>
          </cell>
        </row>
        <row r="2535">
          <cell r="C2535" t="str">
            <v>14.2.9</v>
          </cell>
          <cell r="D2535" t="str">
            <v>Tubulação Ponta E Bolsa De Concreto Armado, Ø 1.500  Mm</v>
          </cell>
          <cell r="E2535" t="str">
            <v>m</v>
          </cell>
          <cell r="F2535"/>
          <cell r="G2535">
            <v>434.41</v>
          </cell>
          <cell r="H2535">
            <v>0</v>
          </cell>
        </row>
        <row r="2536">
          <cell r="C2536" t="str">
            <v>14.2.10</v>
          </cell>
          <cell r="D2536" t="str">
            <v>Tubulação Ponta E Bolsa De Concreto Armado, Ø 1.000  Mm</v>
          </cell>
          <cell r="E2536" t="str">
            <v>m</v>
          </cell>
          <cell r="F2536"/>
          <cell r="G2536">
            <v>301.66000000000003</v>
          </cell>
          <cell r="H2536">
            <v>0</v>
          </cell>
        </row>
        <row r="2537">
          <cell r="C2537" t="str">
            <v>14.2.11</v>
          </cell>
          <cell r="D2537" t="str">
            <v>Tubulação Ponta E Bolsa De Concreto Armado, Ø 600  Mm</v>
          </cell>
          <cell r="E2537" t="str">
            <v>m</v>
          </cell>
          <cell r="F2537"/>
          <cell r="G2537">
            <v>120.95</v>
          </cell>
          <cell r="H2537">
            <v>0</v>
          </cell>
        </row>
        <row r="2538">
          <cell r="C2538" t="str">
            <v>14.2.12</v>
          </cell>
          <cell r="D2538" t="str">
            <v>Preparo, Lançamento E Adensamento De Concreto  Ciclópico</v>
          </cell>
          <cell r="E2538" t="str">
            <v>m³</v>
          </cell>
          <cell r="F2538"/>
          <cell r="G2538">
            <v>176.64</v>
          </cell>
          <cell r="H2538">
            <v>0</v>
          </cell>
        </row>
        <row r="2539">
          <cell r="C2539" t="str">
            <v>14.2.13</v>
          </cell>
          <cell r="D2539" t="str">
            <v>Enrocamento Com Pedra Arrumada  Com Dmt &lt;= 100 M</v>
          </cell>
          <cell r="E2539" t="str">
            <v>m³</v>
          </cell>
          <cell r="F2539"/>
          <cell r="G2539">
            <v>41.84</v>
          </cell>
          <cell r="H2539">
            <v>0</v>
          </cell>
        </row>
        <row r="2540">
          <cell r="C2540" t="str">
            <v>14.2.14</v>
          </cell>
          <cell r="D2540" t="str">
            <v>Momento Extraordinário De Transporte Para Material De 2ª Categoria</v>
          </cell>
          <cell r="E2540" t="str">
            <v>m³xkm</v>
          </cell>
          <cell r="F2540"/>
          <cell r="G2540">
            <v>1.19</v>
          </cell>
          <cell r="H2540">
            <v>0</v>
          </cell>
        </row>
        <row r="2541">
          <cell r="C2541" t="str">
            <v>14.2.15</v>
          </cell>
          <cell r="D2541" t="str">
            <v>Preparo, Lançamento E Adensamento De Concreto  (Ca-5 E)</v>
          </cell>
          <cell r="E2541" t="str">
            <v>m³</v>
          </cell>
          <cell r="F2541"/>
          <cell r="G2541">
            <v>271.56</v>
          </cell>
          <cell r="H2541">
            <v>0</v>
          </cell>
        </row>
        <row r="2542">
          <cell r="C2542" t="str">
            <v>14.2.16</v>
          </cell>
          <cell r="D2542" t="str">
            <v>Escoramento</v>
          </cell>
          <cell r="E2542" t="str">
            <v>m³</v>
          </cell>
          <cell r="F2542"/>
          <cell r="G2542">
            <v>27.72</v>
          </cell>
          <cell r="H2542">
            <v>0</v>
          </cell>
        </row>
        <row r="2543">
          <cell r="C2543" t="str">
            <v>15.</v>
          </cell>
          <cell r="D2543" t="str">
            <v>15 - REDE VIÁRIA</v>
          </cell>
          <cell r="E2543"/>
          <cell r="F2543"/>
          <cell r="G2543"/>
          <cell r="H2543">
            <v>0</v>
          </cell>
        </row>
        <row r="2544">
          <cell r="C2544" t="str">
            <v>15.01</v>
          </cell>
          <cell r="D2544" t="str">
            <v>OBRAS CIVIS</v>
          </cell>
          <cell r="E2544"/>
          <cell r="F2544"/>
          <cell r="G2544"/>
          <cell r="H2544">
            <v>0</v>
          </cell>
        </row>
        <row r="2545">
          <cell r="C2545" t="str">
            <v>15.1</v>
          </cell>
          <cell r="D2545" t="str">
            <v>Desmatamento, Destocamento E Limpeza Do Terreno</v>
          </cell>
          <cell r="E2545" t="str">
            <v>ha</v>
          </cell>
          <cell r="F2545"/>
          <cell r="G2545">
            <v>1660.74</v>
          </cell>
          <cell r="H2545">
            <v>0</v>
          </cell>
        </row>
        <row r="2546">
          <cell r="C2546" t="str">
            <v>15.2</v>
          </cell>
          <cell r="D2546" t="str">
            <v>Raspagem Da Camada Vegetal, Espes.= De 15Cm, Com Dmt &lt;= 100 M</v>
          </cell>
          <cell r="E2546" t="str">
            <v>m³</v>
          </cell>
          <cell r="F2546"/>
          <cell r="G2546">
            <v>1.87</v>
          </cell>
          <cell r="H2546">
            <v>0</v>
          </cell>
        </row>
        <row r="2547">
          <cell r="C2547" t="str">
            <v>15.3</v>
          </cell>
          <cell r="D2547" t="str">
            <v>Aterro Compactado, Compreendendo Escavação, Carga, Descarga E Transporte Até 300 M, Umeddecimento, Espalhamento, Homogenização E Compactação</v>
          </cell>
          <cell r="E2547" t="str">
            <v>m³</v>
          </cell>
          <cell r="F2547"/>
          <cell r="G2547">
            <v>9.69</v>
          </cell>
          <cell r="H2547">
            <v>0</v>
          </cell>
        </row>
        <row r="2548">
          <cell r="C2548" t="str">
            <v>15.4</v>
          </cell>
          <cell r="D2548" t="str">
            <v>Revestimento Primário Com Laterita, Espes.= De 15 Cm</v>
          </cell>
          <cell r="E2548" t="str">
            <v>m³</v>
          </cell>
          <cell r="F2548"/>
          <cell r="G2548">
            <v>11.55</v>
          </cell>
          <cell r="H2548">
            <v>0</v>
          </cell>
        </row>
        <row r="2549">
          <cell r="C2549" t="str">
            <v>15.5</v>
          </cell>
          <cell r="D2549" t="str">
            <v>Momento Extraordinário De Transporte Para Material De 2ª Categoria</v>
          </cell>
          <cell r="E2549" t="str">
            <v>m³xkm</v>
          </cell>
          <cell r="F2549"/>
          <cell r="G2549">
            <v>1.19</v>
          </cell>
          <cell r="H2549">
            <v>0</v>
          </cell>
        </row>
        <row r="2550">
          <cell r="C2550" t="str">
            <v>15.6</v>
          </cell>
          <cell r="D2550" t="str">
            <v>Momento Extraordinário De Transporte Para Material De 1ª Categoria</v>
          </cell>
          <cell r="E2550" t="str">
            <v>m³xkm</v>
          </cell>
          <cell r="F2550"/>
          <cell r="G2550">
            <v>1.1499999999999999</v>
          </cell>
          <cell r="H2550">
            <v>0</v>
          </cell>
        </row>
        <row r="2551">
          <cell r="C2551" t="str">
            <v>15.7</v>
          </cell>
          <cell r="D2551" t="str">
            <v>Escavação Mecânica Em Material De 1ª Categoria, Dmt &lt;= 300 M</v>
          </cell>
          <cell r="E2551" t="str">
            <v>m³</v>
          </cell>
          <cell r="F2551"/>
          <cell r="G2551">
            <v>5.54</v>
          </cell>
          <cell r="H2551">
            <v>0</v>
          </cell>
        </row>
        <row r="2552">
          <cell r="C2552" t="str">
            <v>15.8</v>
          </cell>
          <cell r="D2552" t="str">
            <v>Regularização E Compactação De Subleito Nas Pistas De Rolamento</v>
          </cell>
          <cell r="E2552" t="str">
            <v>m²</v>
          </cell>
          <cell r="F2552"/>
          <cell r="G2552">
            <v>0.82</v>
          </cell>
          <cell r="H2552">
            <v>0</v>
          </cell>
        </row>
        <row r="2553">
          <cell r="C2553" t="str">
            <v>15.9</v>
          </cell>
          <cell r="D2553" t="str">
            <v>Revestimento Das Pistas Com Laterita.</v>
          </cell>
          <cell r="E2553" t="str">
            <v xml:space="preserve"> m³</v>
          </cell>
          <cell r="F2553"/>
          <cell r="G2553">
            <v>11.55</v>
          </cell>
          <cell r="H2553">
            <v>0</v>
          </cell>
        </row>
        <row r="2554">
          <cell r="C2554" t="str">
            <v>16.</v>
          </cell>
          <cell r="D2554" t="str">
            <v>16 - INFRA-ESTRUTURA URBANA (AGROVILAS)</v>
          </cell>
          <cell r="E2554"/>
          <cell r="F2554"/>
          <cell r="G2554"/>
          <cell r="H2554">
            <v>0</v>
          </cell>
        </row>
        <row r="2555">
          <cell r="C2555" t="str">
            <v>16.1</v>
          </cell>
          <cell r="D2555" t="str">
            <v>16.1 - CAPTAÇÃO</v>
          </cell>
          <cell r="E2555"/>
          <cell r="F2555"/>
          <cell r="G2555">
            <v>0</v>
          </cell>
          <cell r="H2555"/>
        </row>
        <row r="2556">
          <cell r="C2556" t="str">
            <v>16.1.1</v>
          </cell>
          <cell r="D2556" t="str">
            <v>OBRAS CIVIS, FORNECIMENTO E MONTAGEM</v>
          </cell>
          <cell r="E2556"/>
          <cell r="F2556"/>
          <cell r="G2556">
            <v>0</v>
          </cell>
          <cell r="H2556"/>
        </row>
        <row r="2557">
          <cell r="C2557" t="str">
            <v>16.1.1.1</v>
          </cell>
          <cell r="D2557" t="str">
            <v>Raspagem Da Camada Vegetal, Espes.= 15 Cm, Com Dmt &lt;= 100 M</v>
          </cell>
          <cell r="E2557" t="str">
            <v>m³</v>
          </cell>
          <cell r="F2557"/>
          <cell r="G2557">
            <v>1.87</v>
          </cell>
          <cell r="H2557">
            <v>0</v>
          </cell>
        </row>
        <row r="2558">
          <cell r="C2558" t="str">
            <v>16.1.1.2</v>
          </cell>
          <cell r="D2558" t="str">
            <v>Escavação Mecânica Em Material De 1ª Categoria, Dmt &lt;= 300 M</v>
          </cell>
          <cell r="E2558" t="str">
            <v>m³</v>
          </cell>
          <cell r="F2558"/>
          <cell r="G2558">
            <v>5.54</v>
          </cell>
          <cell r="H2558">
            <v>0</v>
          </cell>
        </row>
        <row r="2559">
          <cell r="C2559" t="str">
            <v>16.1.1.3</v>
          </cell>
          <cell r="D2559" t="str">
            <v>Aterro Compactado, Compreendendo Escavação, Carga, Descarga E Transporte Até 300 M, Umeddecimento, Espalhamento, Homogenização E Compactação</v>
          </cell>
          <cell r="E2559" t="str">
            <v>m³</v>
          </cell>
          <cell r="F2559"/>
          <cell r="G2559">
            <v>9.69</v>
          </cell>
          <cell r="H2559">
            <v>0</v>
          </cell>
        </row>
        <row r="2560">
          <cell r="C2560" t="str">
            <v>16.1.1.4</v>
          </cell>
          <cell r="D2560" t="str">
            <v>Reaterro Compactado Com Reaproveitamento Do Material Escavado</v>
          </cell>
          <cell r="E2560" t="str">
            <v>m³</v>
          </cell>
          <cell r="F2560"/>
          <cell r="G2560">
            <v>7.41</v>
          </cell>
          <cell r="H2560">
            <v>0</v>
          </cell>
        </row>
        <row r="2561">
          <cell r="C2561" t="str">
            <v>16.1.1.5</v>
          </cell>
          <cell r="D2561" t="str">
            <v>Escoramento De Valas</v>
          </cell>
          <cell r="E2561" t="str">
            <v>m²</v>
          </cell>
          <cell r="F2561"/>
          <cell r="G2561">
            <v>48.83</v>
          </cell>
          <cell r="H2561">
            <v>0</v>
          </cell>
        </row>
        <row r="2562">
          <cell r="C2562" t="str">
            <v>16.1.1.6</v>
          </cell>
          <cell r="D2562" t="str">
            <v>Preparo, Lançamento E Adensamento De Concreto  (Ca-4 E)</v>
          </cell>
          <cell r="E2562" t="str">
            <v>m³</v>
          </cell>
          <cell r="F2562"/>
          <cell r="G2562">
            <v>284.41000000000003</v>
          </cell>
          <cell r="H2562">
            <v>0</v>
          </cell>
        </row>
        <row r="2563">
          <cell r="C2563" t="str">
            <v>16.1.1.7</v>
          </cell>
          <cell r="D2563" t="str">
            <v>Preparo, Lançamento E Adensamento De Concreto   (Ca-8 A)</v>
          </cell>
          <cell r="E2563" t="str">
            <v>m³</v>
          </cell>
          <cell r="F2563"/>
          <cell r="G2563">
            <v>222.4</v>
          </cell>
          <cell r="H2563">
            <v>0</v>
          </cell>
        </row>
        <row r="2564">
          <cell r="C2564" t="str">
            <v>16.1.1.8</v>
          </cell>
          <cell r="D2564" t="str">
            <v>Preparo, Lançamento E Adensamento De Concreto   (Ca-8 J)</v>
          </cell>
          <cell r="E2564" t="str">
            <v>m³</v>
          </cell>
          <cell r="F2564"/>
          <cell r="G2564">
            <v>222.4</v>
          </cell>
          <cell r="H2564">
            <v>0</v>
          </cell>
        </row>
        <row r="2565">
          <cell r="C2565" t="str">
            <v>16.1.1.9</v>
          </cell>
          <cell r="D2565" t="str">
            <v>Armadura P/ Estruturas, Aço  Ca-60</v>
          </cell>
          <cell r="E2565" t="str">
            <v>kg</v>
          </cell>
          <cell r="F2565"/>
          <cell r="G2565">
            <v>3.87</v>
          </cell>
          <cell r="H2565">
            <v>0</v>
          </cell>
        </row>
        <row r="2566">
          <cell r="C2566" t="str">
            <v>16.1.1.10</v>
          </cell>
          <cell r="D2566" t="str">
            <v>Formas Planas Para Concreto</v>
          </cell>
          <cell r="E2566" t="str">
            <v>m²</v>
          </cell>
          <cell r="F2566"/>
          <cell r="G2566">
            <v>53.52</v>
          </cell>
          <cell r="H2566">
            <v>0</v>
          </cell>
        </row>
        <row r="2567">
          <cell r="C2567" t="str">
            <v>16.1.1.11</v>
          </cell>
          <cell r="D2567" t="str">
            <v>Impermeabilização Interna</v>
          </cell>
          <cell r="E2567" t="str">
            <v>m²</v>
          </cell>
          <cell r="F2567"/>
          <cell r="G2567">
            <v>23.56</v>
          </cell>
          <cell r="H2567">
            <v>0</v>
          </cell>
        </row>
        <row r="2568">
          <cell r="C2568" t="str">
            <v>16.1.1.12</v>
          </cell>
          <cell r="D2568" t="str">
            <v>Montagem De Tubulação Em Fº Gº, Ø4", Inclusive Acessórios</v>
          </cell>
          <cell r="E2568" t="str">
            <v>m</v>
          </cell>
          <cell r="F2568"/>
          <cell r="G2568">
            <v>16.18</v>
          </cell>
          <cell r="H2568">
            <v>0</v>
          </cell>
        </row>
        <row r="2569">
          <cell r="C2569" t="str">
            <v>16.1.1.13</v>
          </cell>
          <cell r="D2569" t="str">
            <v>Fornecimento De Tubulações E Conexões Em Ferro Galvanizado (O Bdi Do Item 16.1.1.13 Foi Reduzido De  40% Para 37,2%)</v>
          </cell>
          <cell r="E2569" t="str">
            <v>cj</v>
          </cell>
          <cell r="F2569"/>
          <cell r="G2569">
            <v>7738.13</v>
          </cell>
          <cell r="H2569">
            <v>0</v>
          </cell>
        </row>
        <row r="2570">
          <cell r="C2570" t="str">
            <v>16.2</v>
          </cell>
          <cell r="D2570" t="str">
            <v xml:space="preserve">16.2 - ELEVATÓRIA DE ÁGUA BRUTA </v>
          </cell>
          <cell r="E2570"/>
          <cell r="F2570"/>
          <cell r="G2570">
            <v>0</v>
          </cell>
          <cell r="H2570"/>
        </row>
        <row r="2571">
          <cell r="C2571" t="str">
            <v>16.2.1</v>
          </cell>
          <cell r="D2571" t="str">
            <v>OBRAS CIVIS E MONTAGEM</v>
          </cell>
          <cell r="E2571"/>
          <cell r="F2571"/>
          <cell r="G2571">
            <v>0</v>
          </cell>
          <cell r="H2571"/>
        </row>
        <row r="2572">
          <cell r="C2572" t="str">
            <v>16.2.1.1</v>
          </cell>
          <cell r="D2572" t="str">
            <v>Raspagem Da Camada Vegetal E = 15 Cm, Com Dmt &lt;= 1,00 M</v>
          </cell>
          <cell r="E2572" t="str">
            <v>m³</v>
          </cell>
          <cell r="F2572"/>
          <cell r="G2572">
            <v>1.87</v>
          </cell>
          <cell r="H2572">
            <v>0</v>
          </cell>
        </row>
        <row r="2573">
          <cell r="C2573" t="str">
            <v>16.2.1.2</v>
          </cell>
          <cell r="D2573" t="str">
            <v>Escavação Mecânica Em Material De 1ª Categoria, Dmt &lt;= 300 M</v>
          </cell>
          <cell r="E2573" t="str">
            <v>m²</v>
          </cell>
          <cell r="F2573"/>
          <cell r="G2573">
            <v>5.54</v>
          </cell>
          <cell r="H2573">
            <v>0</v>
          </cell>
        </row>
        <row r="2574">
          <cell r="C2574" t="str">
            <v>16.2.1.3</v>
          </cell>
          <cell r="D2574" t="str">
            <v>Reaterro Compactado Com Reaproveitamento Do Material Escavado</v>
          </cell>
          <cell r="E2574" t="str">
            <v>m³</v>
          </cell>
          <cell r="F2574"/>
          <cell r="G2574">
            <v>7.41</v>
          </cell>
          <cell r="H2574">
            <v>0</v>
          </cell>
        </row>
        <row r="2575">
          <cell r="C2575" t="str">
            <v>16.2.1.4</v>
          </cell>
          <cell r="D2575" t="str">
            <v>Escoramento De Vala</v>
          </cell>
          <cell r="E2575" t="str">
            <v>m²</v>
          </cell>
          <cell r="F2575"/>
          <cell r="G2575">
            <v>48.83</v>
          </cell>
          <cell r="H2575">
            <v>0</v>
          </cell>
        </row>
        <row r="2576">
          <cell r="C2576" t="str">
            <v>16.2.1.5</v>
          </cell>
          <cell r="D2576" t="str">
            <v>Preparo, Lançamento E Adensamento De Concreto  C/ 450 Kg</v>
          </cell>
          <cell r="E2576" t="str">
            <v>m³</v>
          </cell>
          <cell r="F2576"/>
          <cell r="G2576">
            <v>359.44</v>
          </cell>
          <cell r="H2576">
            <v>0</v>
          </cell>
        </row>
        <row r="2577">
          <cell r="C2577" t="str">
            <v>16.2.1.6</v>
          </cell>
          <cell r="D2577" t="str">
            <v xml:space="preserve">Preparo, Lançamento E Adensamento De Concreto  C/ 200 Kg </v>
          </cell>
          <cell r="E2577" t="str">
            <v>m³</v>
          </cell>
          <cell r="F2577"/>
          <cell r="G2577">
            <v>236.36</v>
          </cell>
          <cell r="H2577">
            <v>0</v>
          </cell>
        </row>
        <row r="2578">
          <cell r="C2578" t="str">
            <v>16.2.1.7</v>
          </cell>
          <cell r="D2578" t="str">
            <v>Colchão De Brita</v>
          </cell>
          <cell r="E2578" t="str">
            <v>m³</v>
          </cell>
          <cell r="F2578"/>
          <cell r="G2578">
            <v>63.2</v>
          </cell>
          <cell r="H2578">
            <v>0</v>
          </cell>
        </row>
        <row r="2579">
          <cell r="C2579" t="str">
            <v>16.2.1.8</v>
          </cell>
          <cell r="D2579" t="str">
            <v>Preparo, Lançamento E Adensamento De Concreto  C/ 150 Kg</v>
          </cell>
          <cell r="E2579" t="str">
            <v>m³</v>
          </cell>
          <cell r="F2579"/>
          <cell r="G2579">
            <v>200.83</v>
          </cell>
          <cell r="H2579">
            <v>0</v>
          </cell>
        </row>
        <row r="2580">
          <cell r="C2580" t="str">
            <v>16.2.1.9</v>
          </cell>
          <cell r="D2580" t="str">
            <v xml:space="preserve">Armadura P/ Concreto Estrutural Ca-50 B </v>
          </cell>
          <cell r="E2580" t="str">
            <v>kg</v>
          </cell>
          <cell r="F2580"/>
          <cell r="G2580">
            <v>3.87</v>
          </cell>
          <cell r="H2580">
            <v>0</v>
          </cell>
        </row>
        <row r="2581">
          <cell r="C2581" t="str">
            <v>16.2.1.10</v>
          </cell>
          <cell r="D2581" t="str">
            <v>Armadura Para Concreto Estrutural Ca-60</v>
          </cell>
          <cell r="E2581" t="str">
            <v>kg</v>
          </cell>
          <cell r="F2581"/>
          <cell r="G2581">
            <v>3.87</v>
          </cell>
          <cell r="H2581">
            <v>0</v>
          </cell>
        </row>
        <row r="2582">
          <cell r="C2582" t="str">
            <v>16.2.1.11</v>
          </cell>
          <cell r="D2582" t="str">
            <v>Formas Planas P/ Concreto</v>
          </cell>
          <cell r="E2582" t="str">
            <v>m²</v>
          </cell>
          <cell r="F2582"/>
          <cell r="G2582">
            <v>53.52</v>
          </cell>
          <cell r="H2582">
            <v>0</v>
          </cell>
        </row>
        <row r="2583">
          <cell r="C2583" t="str">
            <v>16.2.1.12</v>
          </cell>
          <cell r="D2583" t="str">
            <v>Alvenaria De Tijolo Cerâmico 6 X 11 X 20 E = 15 Cm</v>
          </cell>
          <cell r="E2583" t="str">
            <v>m²</v>
          </cell>
          <cell r="F2583"/>
          <cell r="G2583">
            <v>46.65</v>
          </cell>
          <cell r="H2583">
            <v>0</v>
          </cell>
        </row>
        <row r="2584">
          <cell r="C2584" t="str">
            <v>16.2.1.13</v>
          </cell>
          <cell r="D2584" t="str">
            <v>Chapisco</v>
          </cell>
          <cell r="E2584" t="str">
            <v>m²</v>
          </cell>
          <cell r="F2584"/>
          <cell r="G2584">
            <v>8.77</v>
          </cell>
          <cell r="H2584">
            <v>0</v>
          </cell>
        </row>
        <row r="2585">
          <cell r="C2585" t="str">
            <v>16.2.1.14</v>
          </cell>
          <cell r="D2585" t="str">
            <v>Emboço</v>
          </cell>
          <cell r="E2585" t="str">
            <v>m²</v>
          </cell>
          <cell r="F2585"/>
          <cell r="G2585">
            <v>19.12</v>
          </cell>
          <cell r="H2585">
            <v>0</v>
          </cell>
        </row>
        <row r="2586">
          <cell r="C2586" t="str">
            <v>16.2.1.15</v>
          </cell>
          <cell r="D2586" t="str">
            <v>Cobertura Com Telha De Fibrocimento  E=6Mm, C/ Madeiramento</v>
          </cell>
          <cell r="E2586" t="str">
            <v>m²</v>
          </cell>
          <cell r="F2586"/>
          <cell r="G2586">
            <v>90.78</v>
          </cell>
          <cell r="H2586">
            <v>0</v>
          </cell>
        </row>
        <row r="2587">
          <cell r="C2587" t="str">
            <v>16.2.1.16</v>
          </cell>
          <cell r="D2587" t="str">
            <v>Piso Cimentado</v>
          </cell>
          <cell r="E2587" t="str">
            <v>m²</v>
          </cell>
          <cell r="F2587"/>
          <cell r="G2587">
            <v>14.97</v>
          </cell>
          <cell r="H2587">
            <v>0</v>
          </cell>
        </row>
        <row r="2588">
          <cell r="C2588" t="str">
            <v>16.2.1.17</v>
          </cell>
          <cell r="D2588" t="str">
            <v>Porta Em Ferro Com Duas Folhas De Abrir Em Chapa Estampada Com Veneziana</v>
          </cell>
          <cell r="E2588" t="str">
            <v>m²</v>
          </cell>
          <cell r="F2588"/>
          <cell r="G2588">
            <v>483.83</v>
          </cell>
          <cell r="H2588">
            <v>0</v>
          </cell>
        </row>
        <row r="2589">
          <cell r="C2589" t="str">
            <v>16.2.1.18</v>
          </cell>
          <cell r="D2589" t="str">
            <v>Janela Em Ferro C/ Veneziana</v>
          </cell>
          <cell r="E2589" t="str">
            <v>m²</v>
          </cell>
          <cell r="F2589"/>
          <cell r="G2589">
            <v>358.97</v>
          </cell>
          <cell r="H2589">
            <v>0</v>
          </cell>
        </row>
        <row r="2590">
          <cell r="C2590" t="str">
            <v>16.2.1.19</v>
          </cell>
          <cell r="D2590" t="str">
            <v>Montagem De Tubulação Em Fº Gº, Ø4", Inclusive Acessórios</v>
          </cell>
          <cell r="E2590" t="str">
            <v>m</v>
          </cell>
          <cell r="F2590"/>
          <cell r="G2590">
            <v>16.18</v>
          </cell>
          <cell r="H2590">
            <v>0</v>
          </cell>
        </row>
        <row r="2591">
          <cell r="C2591" t="str">
            <v>16.2.1.20</v>
          </cell>
          <cell r="D2591" t="str">
            <v>Fabricação E Instalação De Guarda-Corpo</v>
          </cell>
          <cell r="E2591" t="str">
            <v>m</v>
          </cell>
          <cell r="F2591"/>
          <cell r="G2591">
            <v>57.83</v>
          </cell>
          <cell r="H2591">
            <v>0</v>
          </cell>
        </row>
        <row r="2592">
          <cell r="C2592" t="str">
            <v>16.2.1.21</v>
          </cell>
          <cell r="D2592" t="str">
            <v>Montagem De  Conj. Motobomba C/ Eixo Horizontal Q = 6,75 L/S Amt = 105 M.C.A., 30 Cv</v>
          </cell>
          <cell r="E2592" t="str">
            <v>un</v>
          </cell>
          <cell r="F2592"/>
          <cell r="G2592">
            <v>2119.2199999999998</v>
          </cell>
          <cell r="H2592">
            <v>0</v>
          </cell>
        </row>
        <row r="2593">
          <cell r="C2593" t="str">
            <v>16.2.1.22</v>
          </cell>
          <cell r="D2593" t="str">
            <v>Montagem De Conjunto Motobomba De Eixo Horizontal Q = 3,22 L/S Amt: 51,50 M.C.A.</v>
          </cell>
          <cell r="E2593" t="str">
            <v>un</v>
          </cell>
          <cell r="F2593"/>
          <cell r="G2593">
            <v>1059.6099999999999</v>
          </cell>
          <cell r="H2593">
            <v>0</v>
          </cell>
        </row>
        <row r="2594">
          <cell r="C2594" t="str">
            <v>16.2.1.23</v>
          </cell>
          <cell r="D2594" t="str">
            <v>Montagem De Conjunto Motobomba De Eixo Horizontal De 1/2 Cv</v>
          </cell>
          <cell r="E2594" t="str">
            <v>un</v>
          </cell>
          <cell r="F2594"/>
          <cell r="G2594">
            <v>264.89999999999998</v>
          </cell>
          <cell r="H2594">
            <v>0</v>
          </cell>
        </row>
        <row r="2595">
          <cell r="C2595" t="str">
            <v>16.2.1.24</v>
          </cell>
          <cell r="D2595" t="str">
            <v>Fabricação E Instalação De Escada De Marinheiro - Tipo Piscina</v>
          </cell>
          <cell r="E2595" t="str">
            <v>m</v>
          </cell>
          <cell r="F2595"/>
          <cell r="G2595">
            <v>77.069999999999993</v>
          </cell>
          <cell r="H2595">
            <v>0</v>
          </cell>
        </row>
        <row r="2596">
          <cell r="C2596" t="str">
            <v>16.2.1.25</v>
          </cell>
          <cell r="D2596" t="str">
            <v>Montagem De  Perfil I Em Aço L = 3,80 M , 6 X 3 3/8"</v>
          </cell>
          <cell r="E2596" t="str">
            <v>un</v>
          </cell>
          <cell r="F2596"/>
          <cell r="G2596">
            <v>94.31</v>
          </cell>
          <cell r="H2596">
            <v>0</v>
          </cell>
        </row>
        <row r="2597">
          <cell r="C2597" t="str">
            <v>16.2.1.26</v>
          </cell>
          <cell r="D2597" t="str">
            <v>Montagem De Tubulação Em Fºgº Ø3", Inclusive Acessórios</v>
          </cell>
          <cell r="E2597" t="str">
            <v>m</v>
          </cell>
          <cell r="F2597"/>
          <cell r="G2597">
            <v>11.19</v>
          </cell>
          <cell r="H2597">
            <v>0</v>
          </cell>
        </row>
        <row r="2598">
          <cell r="C2598" t="str">
            <v>16.2.1.27</v>
          </cell>
          <cell r="D2598" t="str">
            <v>Montagem De Tubulação Em Pvc Ø3", Inclusive Acessórios</v>
          </cell>
          <cell r="E2598" t="str">
            <v>un</v>
          </cell>
          <cell r="F2598"/>
          <cell r="G2598">
            <v>10.14</v>
          </cell>
          <cell r="H2598">
            <v>0</v>
          </cell>
        </row>
        <row r="2599">
          <cell r="C2599" t="str">
            <v>16.2.1.28</v>
          </cell>
          <cell r="D2599" t="str">
            <v>Montagem De Motor Bomba De Eixo Horizontal, 3 Cv,  Amt = 20,85 M.C.A., Q = 4,17 L/S</v>
          </cell>
          <cell r="E2599" t="str">
            <v>un</v>
          </cell>
          <cell r="F2599"/>
          <cell r="G2599">
            <v>264.89999999999998</v>
          </cell>
          <cell r="H2599">
            <v>0</v>
          </cell>
        </row>
        <row r="2600">
          <cell r="C2600" t="str">
            <v>16.2.1.29</v>
          </cell>
          <cell r="D2600" t="str">
            <v>Montagem De Conjunto Motor Bomba De Eixo Horizontal, 1/2 Cv</v>
          </cell>
          <cell r="E2600" t="str">
            <v>un</v>
          </cell>
          <cell r="F2600"/>
          <cell r="G2600">
            <v>264.89999999999998</v>
          </cell>
          <cell r="H2600">
            <v>0</v>
          </cell>
        </row>
        <row r="2601">
          <cell r="C2601" t="str">
            <v>16.2.1.30</v>
          </cell>
          <cell r="D2601" t="str">
            <v>Montagem De Perfil I Em Aço L = 3,80 M  6"X 3  3/8"</v>
          </cell>
          <cell r="E2601" t="str">
            <v>un</v>
          </cell>
          <cell r="F2601"/>
          <cell r="G2601">
            <v>94.31</v>
          </cell>
          <cell r="H2601">
            <v>0</v>
          </cell>
        </row>
        <row r="2602">
          <cell r="C2602" t="str">
            <v>16.2.1.31</v>
          </cell>
          <cell r="D2602" t="str">
            <v>Montagem De Montagem De Cabo De Cobre Múltiplo 3X1,5Mm² Pvc 1Kv</v>
          </cell>
          <cell r="E2602" t="str">
            <v>m</v>
          </cell>
          <cell r="F2602"/>
          <cell r="G2602">
            <v>2.84</v>
          </cell>
          <cell r="H2602">
            <v>0</v>
          </cell>
        </row>
        <row r="2603">
          <cell r="C2603" t="str">
            <v>16.2.1.32</v>
          </cell>
          <cell r="D2603" t="str">
            <v>Montagem De Montagem De Cabo De Cobre Múltiplo 4X2,5Mm² Pvc 1Kv</v>
          </cell>
          <cell r="E2603" t="str">
            <v>m</v>
          </cell>
          <cell r="F2603"/>
          <cell r="G2603">
            <v>2.4500000000000002</v>
          </cell>
          <cell r="H2603">
            <v>0</v>
          </cell>
        </row>
        <row r="2604">
          <cell r="C2604" t="str">
            <v>16.2.1.33</v>
          </cell>
          <cell r="D2604" t="str">
            <v>Montagem De Cabo De Cobre Múltiplo 4X4,0Mm² Pvc 1Kv</v>
          </cell>
          <cell r="E2604" t="str">
            <v>m</v>
          </cell>
          <cell r="F2604"/>
          <cell r="G2604">
            <v>3.9</v>
          </cell>
          <cell r="H2604">
            <v>0</v>
          </cell>
        </row>
        <row r="2605">
          <cell r="C2605" t="str">
            <v>16.2.1.34</v>
          </cell>
          <cell r="D2605" t="str">
            <v>Montagem De Eletroduto De Pvc Rígido Dn 25Mm L=3M</v>
          </cell>
          <cell r="E2605" t="str">
            <v>un</v>
          </cell>
          <cell r="F2605"/>
          <cell r="G2605">
            <v>3.01</v>
          </cell>
          <cell r="H2605">
            <v>0</v>
          </cell>
        </row>
        <row r="2606">
          <cell r="C2606" t="str">
            <v>16.2.1.35</v>
          </cell>
          <cell r="D2606" t="str">
            <v>Montagem De Eletroduto De Pvc Rígido Dn 40Mm L=3M</v>
          </cell>
          <cell r="E2606" t="str">
            <v>un</v>
          </cell>
          <cell r="F2606"/>
          <cell r="G2606">
            <v>10.24</v>
          </cell>
          <cell r="H2606">
            <v>0</v>
          </cell>
        </row>
        <row r="2607">
          <cell r="C2607" t="str">
            <v>16.2.1.36</v>
          </cell>
          <cell r="D2607" t="str">
            <v>Montagem De Cabo De Cobre Singelo 4Mm² Pvc 750Kv</v>
          </cell>
          <cell r="E2607" t="str">
            <v>m</v>
          </cell>
          <cell r="F2607"/>
          <cell r="G2607">
            <v>1.94</v>
          </cell>
          <cell r="H2607">
            <v>0</v>
          </cell>
        </row>
        <row r="2608">
          <cell r="C2608" t="str">
            <v>16.2.1.37</v>
          </cell>
          <cell r="D2608" t="str">
            <v>Montagem De Montagem De Cabo De Cobre Múltiplo 4X4,0Mm² Pvc 1Kv</v>
          </cell>
          <cell r="E2608" t="str">
            <v>m</v>
          </cell>
          <cell r="F2608"/>
          <cell r="G2608">
            <v>3.9</v>
          </cell>
          <cell r="H2608">
            <v>0</v>
          </cell>
        </row>
        <row r="2609">
          <cell r="C2609" t="str">
            <v>16.2.1.38</v>
          </cell>
          <cell r="D2609" t="str">
            <v>Montagem De Montagem De Cabo De Cobre Singelo 4Mm² Pvc 750Kv</v>
          </cell>
          <cell r="E2609" t="str">
            <v>m</v>
          </cell>
          <cell r="F2609"/>
          <cell r="G2609">
            <v>0.38</v>
          </cell>
          <cell r="H2609">
            <v>0</v>
          </cell>
        </row>
        <row r="2610">
          <cell r="C2610" t="str">
            <v>16.2.1.39</v>
          </cell>
          <cell r="D2610" t="str">
            <v>Montagem De Eletroduto De Pvc Rígido Dn 60Mm L=3M</v>
          </cell>
          <cell r="E2610" t="str">
            <v>un</v>
          </cell>
          <cell r="F2610"/>
          <cell r="G2610">
            <v>15.03</v>
          </cell>
          <cell r="H2610">
            <v>0</v>
          </cell>
        </row>
        <row r="2611">
          <cell r="C2611" t="str">
            <v>16.2.1.40</v>
          </cell>
          <cell r="D2611" t="str">
            <v>Montagem De Eletroduto Flexível Dn 25Mm L=0,5M</v>
          </cell>
          <cell r="E2611" t="str">
            <v>un</v>
          </cell>
          <cell r="F2611"/>
          <cell r="G2611">
            <v>3.24</v>
          </cell>
          <cell r="H2611">
            <v>0</v>
          </cell>
        </row>
        <row r="2612">
          <cell r="C2612" t="str">
            <v>16.2.1.41</v>
          </cell>
          <cell r="D2612" t="str">
            <v>Montagem De Montagem De Cabo De Cobre Nú Seção 25Mm²</v>
          </cell>
          <cell r="E2612" t="str">
            <v>kg</v>
          </cell>
          <cell r="F2612"/>
          <cell r="G2612">
            <v>9.1199999999999992</v>
          </cell>
          <cell r="H2612">
            <v>0</v>
          </cell>
        </row>
        <row r="2613">
          <cell r="C2613" t="str">
            <v>16.2.1.42</v>
          </cell>
          <cell r="D2613" t="str">
            <v>Montagem De Cabo De Cobre Múltiplo 3X1,5Mm² Pvc 1Kv</v>
          </cell>
          <cell r="E2613" t="str">
            <v>m</v>
          </cell>
          <cell r="F2613"/>
          <cell r="G2613">
            <v>2.57</v>
          </cell>
          <cell r="H2613">
            <v>0</v>
          </cell>
        </row>
        <row r="2614">
          <cell r="C2614" t="str">
            <v>16.2.1.43</v>
          </cell>
          <cell r="D2614" t="str">
            <v>Montagem De  Fio De Cobre Rígido 2,5Mm²  750V</v>
          </cell>
          <cell r="E2614" t="str">
            <v>m</v>
          </cell>
          <cell r="F2614"/>
          <cell r="G2614">
            <v>0.22</v>
          </cell>
          <cell r="H2614">
            <v>0</v>
          </cell>
        </row>
        <row r="2615">
          <cell r="C2615" t="str">
            <v>16.2.1.44</v>
          </cell>
          <cell r="D2615" t="str">
            <v>Montagem De Interruptor De Luz Simples 10A/220V Com Montagem De Tomada Universal 2P 15A/250V</v>
          </cell>
          <cell r="E2615" t="str">
            <v>un</v>
          </cell>
          <cell r="F2615"/>
          <cell r="G2615">
            <v>1.99</v>
          </cell>
          <cell r="H2615">
            <v>0</v>
          </cell>
        </row>
        <row r="2616">
          <cell r="C2616" t="str">
            <v>16.2.1.45</v>
          </cell>
          <cell r="D2616" t="str">
            <v>Montagem De  Luminária Blindada Para Lâmpada Incandescente De 200W/220V</v>
          </cell>
          <cell r="E2616" t="str">
            <v>un</v>
          </cell>
          <cell r="F2616"/>
          <cell r="G2616">
            <v>43.19</v>
          </cell>
          <cell r="H2616">
            <v>0</v>
          </cell>
        </row>
        <row r="2617">
          <cell r="C2617" t="str">
            <v>16.2.1.46</v>
          </cell>
          <cell r="D2617" t="str">
            <v>Montagem De Cabo De Cobre Múltiplo 4X10,0Mm² Pvc 1Kv</v>
          </cell>
          <cell r="E2617" t="str">
            <v>m</v>
          </cell>
          <cell r="F2617"/>
          <cell r="G2617">
            <v>150</v>
          </cell>
          <cell r="H2617">
            <v>0</v>
          </cell>
        </row>
        <row r="2618">
          <cell r="C2618" t="str">
            <v>16.2.1.47</v>
          </cell>
          <cell r="D2618" t="str">
            <v>Montagem De  Interruptor De Luz Simples 10A/220V Com Tomada Universal 2P 15A/250V</v>
          </cell>
          <cell r="E2618" t="str">
            <v>un</v>
          </cell>
          <cell r="F2618"/>
          <cell r="G2618">
            <v>1.99</v>
          </cell>
          <cell r="H2618">
            <v>0</v>
          </cell>
        </row>
        <row r="2619">
          <cell r="C2619" t="str">
            <v>16.2.1.48</v>
          </cell>
          <cell r="D2619" t="str">
            <v>Montagem De Cabo De Cobre Múltiplo 4X2,5Mm² Pvc 1Kv</v>
          </cell>
          <cell r="E2619" t="str">
            <v>m</v>
          </cell>
          <cell r="F2619"/>
          <cell r="G2619">
            <v>2.4500000000000002</v>
          </cell>
          <cell r="H2619">
            <v>0</v>
          </cell>
        </row>
        <row r="2620">
          <cell r="C2620" t="str">
            <v>16.2.1.49</v>
          </cell>
          <cell r="D2620" t="str">
            <v>Montagem De Interruptor De Luz Seção Dupla 10A/250V</v>
          </cell>
          <cell r="E2620" t="str">
            <v>un</v>
          </cell>
          <cell r="F2620"/>
          <cell r="G2620">
            <v>3.21</v>
          </cell>
          <cell r="H2620">
            <v>0</v>
          </cell>
        </row>
        <row r="2621">
          <cell r="C2621" t="str">
            <v>16.2.1.50</v>
          </cell>
          <cell r="D2621" t="str">
            <v>Montagem De  Interruptor De Luz Seção Dupla 10A/250V</v>
          </cell>
          <cell r="E2621" t="str">
            <v>un</v>
          </cell>
          <cell r="F2621"/>
          <cell r="G2621">
            <v>3.21</v>
          </cell>
          <cell r="H2621">
            <v>0</v>
          </cell>
        </row>
        <row r="2622">
          <cell r="C2622" t="str">
            <v>16.2.1.51</v>
          </cell>
          <cell r="D2622" t="str">
            <v>Montagem De  Tomada Universal 2P 10A/250V</v>
          </cell>
          <cell r="E2622" t="str">
            <v>un</v>
          </cell>
          <cell r="F2622"/>
          <cell r="G2622">
            <v>2.1</v>
          </cell>
          <cell r="H2622">
            <v>0</v>
          </cell>
        </row>
        <row r="2623">
          <cell r="C2623" t="str">
            <v>16.2.1.52</v>
          </cell>
          <cell r="D2623" t="str">
            <v>Montagem De Tomada Universal 2P 10A/250V</v>
          </cell>
          <cell r="E2623" t="str">
            <v>un</v>
          </cell>
          <cell r="F2623"/>
          <cell r="G2623">
            <v>2.1</v>
          </cell>
          <cell r="H2623">
            <v>0</v>
          </cell>
        </row>
        <row r="2624">
          <cell r="C2624" t="str">
            <v>16.2.1.53</v>
          </cell>
          <cell r="D2624" t="str">
            <v>Montagem De Cabo De Cobre Nú Seção 25Mm²</v>
          </cell>
          <cell r="E2624" t="str">
            <v>kg</v>
          </cell>
          <cell r="F2624"/>
          <cell r="G2624">
            <v>9.1199999999999992</v>
          </cell>
          <cell r="H2624">
            <v>0</v>
          </cell>
        </row>
        <row r="2625">
          <cell r="C2625" t="str">
            <v>16.2.1.54</v>
          </cell>
          <cell r="D2625" t="str">
            <v>Montagem De  Tomada Blindada Com Tampa Mola 2 Pólos 20A/500V</v>
          </cell>
          <cell r="E2625" t="str">
            <v>un</v>
          </cell>
          <cell r="F2625"/>
          <cell r="G2625">
            <v>28.29</v>
          </cell>
          <cell r="H2625">
            <v>0</v>
          </cell>
        </row>
        <row r="2626">
          <cell r="C2626" t="str">
            <v>16.2.1.55</v>
          </cell>
          <cell r="D2626" t="str">
            <v>Montagem De Tomada Blindada Com Tampa Mola 2 Pólos 20A/500V</v>
          </cell>
          <cell r="E2626" t="str">
            <v>un</v>
          </cell>
          <cell r="F2626"/>
          <cell r="G2626">
            <v>28.29</v>
          </cell>
          <cell r="H2626">
            <v>0</v>
          </cell>
        </row>
        <row r="2627">
          <cell r="C2627" t="str">
            <v>16.2.1.56</v>
          </cell>
          <cell r="D2627" t="str">
            <v>Montagem De Fio De Cobre Rígido 2,5Mm²  750V</v>
          </cell>
          <cell r="E2627" t="str">
            <v>m</v>
          </cell>
          <cell r="F2627"/>
          <cell r="G2627">
            <v>10.49</v>
          </cell>
          <cell r="H2627">
            <v>0</v>
          </cell>
        </row>
        <row r="2628">
          <cell r="C2628" t="str">
            <v>16.2.1.57</v>
          </cell>
          <cell r="D2628" t="str">
            <v>Montagem De Luminária Blindada Para Lâmpada Incandescente De 200W/220V</v>
          </cell>
          <cell r="E2628" t="str">
            <v>un</v>
          </cell>
          <cell r="F2628"/>
          <cell r="G2628">
            <v>86.38</v>
          </cell>
          <cell r="H2628">
            <v>0</v>
          </cell>
        </row>
        <row r="2629">
          <cell r="C2629" t="str">
            <v>16.2.1.58</v>
          </cell>
          <cell r="D2629" t="str">
            <v>Montagem De  Quadro Geral De B.T. Em Caixa Metálica Dim. 600X800Mm Contendo:</v>
          </cell>
          <cell r="E2629" t="str">
            <v>un</v>
          </cell>
          <cell r="F2629"/>
          <cell r="G2629">
            <v>641.57000000000005</v>
          </cell>
          <cell r="H2629">
            <v>0</v>
          </cell>
        </row>
        <row r="2630">
          <cell r="C2630"/>
          <cell r="D2630" t="str">
            <v>- 01 Seccionadora Tripolar De Entrada In= 40A</v>
          </cell>
          <cell r="E2630"/>
          <cell r="F2630"/>
          <cell r="G2630">
            <v>0</v>
          </cell>
          <cell r="H2630">
            <v>0</v>
          </cell>
        </row>
        <row r="2631">
          <cell r="C2631"/>
          <cell r="D2631" t="str">
            <v>- 03 Amperímetros Escala 0-40/5A</v>
          </cell>
          <cell r="E2631"/>
          <cell r="F2631"/>
          <cell r="G2631">
            <v>0</v>
          </cell>
          <cell r="H2631">
            <v>0</v>
          </cell>
        </row>
        <row r="2632">
          <cell r="C2632"/>
          <cell r="D2632" t="str">
            <v>- 01 Comutadora E 01 Voltímetro Escala 0-500V</v>
          </cell>
          <cell r="E2632"/>
          <cell r="F2632"/>
          <cell r="G2632">
            <v>0</v>
          </cell>
          <cell r="H2632">
            <v>0</v>
          </cell>
        </row>
        <row r="2633">
          <cell r="C2633"/>
          <cell r="D2633" t="str">
            <v>- 01 Montagem De Conjuntos De Partida Direta Para Motor De 0,5 Cv</v>
          </cell>
          <cell r="E2633"/>
          <cell r="F2633"/>
          <cell r="G2633">
            <v>0</v>
          </cell>
          <cell r="H2633">
            <v>0</v>
          </cell>
        </row>
        <row r="2634">
          <cell r="C2634"/>
          <cell r="D2634" t="str">
            <v>- 02 Conjuntos De Partida Direta Para Motor De 3 Cv</v>
          </cell>
          <cell r="E2634"/>
          <cell r="F2634"/>
          <cell r="G2634">
            <v>0</v>
          </cell>
          <cell r="H2634">
            <v>0</v>
          </cell>
        </row>
        <row r="2635">
          <cell r="C2635"/>
          <cell r="D2635" t="str">
            <v>- 01 Conjuntos De Partida Direta Para Motor De 0,5 Cv</v>
          </cell>
          <cell r="E2635"/>
          <cell r="F2635"/>
          <cell r="G2635">
            <v>0</v>
          </cell>
          <cell r="H2635">
            <v>0</v>
          </cell>
        </row>
        <row r="2636">
          <cell r="C2636"/>
          <cell r="D2636" t="str">
            <v>- 01 Disjuntor Monopolar 10A</v>
          </cell>
          <cell r="E2636"/>
          <cell r="F2636"/>
          <cell r="G2636">
            <v>0</v>
          </cell>
          <cell r="H2636">
            <v>0</v>
          </cell>
        </row>
        <row r="2637">
          <cell r="C2637"/>
          <cell r="D2637" t="str">
            <v>- 02 Disjuntor Monopolar 15A</v>
          </cell>
          <cell r="E2637"/>
          <cell r="F2637"/>
          <cell r="G2637">
            <v>0</v>
          </cell>
          <cell r="H2637">
            <v>0</v>
          </cell>
        </row>
        <row r="2638">
          <cell r="C2638"/>
          <cell r="D2638" t="str">
            <v>- 01 Disjuntor Monopolar 20A</v>
          </cell>
          <cell r="E2638"/>
          <cell r="F2638"/>
          <cell r="G2638">
            <v>0</v>
          </cell>
          <cell r="H2638">
            <v>0</v>
          </cell>
        </row>
        <row r="2639">
          <cell r="C2639" t="str">
            <v>16.2.1.59</v>
          </cell>
          <cell r="D2639" t="str">
            <v>Montagem De  Transformador Trifásico Tensão Primário 13,8 Kv, Tensão No Secundário 380/220V, Potência Nominal De 30 Kva</v>
          </cell>
          <cell r="E2639" t="str">
            <v>un</v>
          </cell>
          <cell r="F2639"/>
          <cell r="G2639">
            <v>519.1</v>
          </cell>
          <cell r="H2639">
            <v>0</v>
          </cell>
        </row>
        <row r="2640">
          <cell r="C2640" t="str">
            <v>16.2.1.60</v>
          </cell>
          <cell r="D2640" t="str">
            <v>Montagem De  Quadro De Medição Padrão Cepisa Com Disjuntor Tripolar De 25A</v>
          </cell>
          <cell r="E2640" t="str">
            <v>un</v>
          </cell>
          <cell r="F2640"/>
          <cell r="G2640">
            <v>314.95</v>
          </cell>
          <cell r="H2640">
            <v>0</v>
          </cell>
        </row>
        <row r="2641">
          <cell r="C2641" t="str">
            <v>16.2.1.61</v>
          </cell>
          <cell r="D2641" t="str">
            <v>Montagem De  Transformador Trifásico, 13,8 Kv, 380/220V, Potência Nominal De 10 Kva</v>
          </cell>
          <cell r="E2641" t="str">
            <v>un</v>
          </cell>
          <cell r="F2641"/>
          <cell r="G2641">
            <v>317.88</v>
          </cell>
          <cell r="H2641">
            <v>0</v>
          </cell>
        </row>
        <row r="2642">
          <cell r="C2642" t="str">
            <v>16.2.1.62</v>
          </cell>
          <cell r="D2642" t="str">
            <v>Montagem De Quadro De Medição Padrão Cepisa Com Disjuntor Tripolar De 50A</v>
          </cell>
          <cell r="E2642" t="str">
            <v>un</v>
          </cell>
          <cell r="F2642"/>
          <cell r="G2642">
            <v>361.62</v>
          </cell>
          <cell r="H2642">
            <v>0</v>
          </cell>
        </row>
        <row r="2643">
          <cell r="C2643" t="str">
            <v>16.2.1.63</v>
          </cell>
          <cell r="D2643" t="str">
            <v>Montagem De Transformador Trifásico Tensão Primário 13,8 Kv, Tensão No Secundário 380/220V, Potência Nominal De 30 Kva</v>
          </cell>
          <cell r="E2643" t="str">
            <v>un</v>
          </cell>
          <cell r="F2643"/>
          <cell r="G2643">
            <v>519.1</v>
          </cell>
          <cell r="H2643">
            <v>0</v>
          </cell>
        </row>
        <row r="2644">
          <cell r="C2644" t="str">
            <v>16.2.1.64</v>
          </cell>
          <cell r="D2644" t="str">
            <v xml:space="preserve">Montagem De  Poste Duplo T 10M De Comprimento 200Dan </v>
          </cell>
          <cell r="E2644" t="str">
            <v>un</v>
          </cell>
          <cell r="F2644"/>
          <cell r="G2644">
            <v>186.63</v>
          </cell>
          <cell r="H2644">
            <v>0</v>
          </cell>
        </row>
        <row r="2645">
          <cell r="C2645" t="str">
            <v>16.2.1.65</v>
          </cell>
          <cell r="D2645" t="str">
            <v>Montagem De  Para-Raios De Distribuição Vn=12 Kv, Icc=5 Ka, Com Desligador</v>
          </cell>
          <cell r="E2645" t="str">
            <v>un</v>
          </cell>
          <cell r="F2645"/>
          <cell r="G2645">
            <v>115.58</v>
          </cell>
          <cell r="H2645">
            <v>0</v>
          </cell>
        </row>
        <row r="2646">
          <cell r="C2646" t="str">
            <v>16.2.1.66</v>
          </cell>
          <cell r="D2646" t="str">
            <v>Montagem De Condulete Dn 25Mm Tipo T</v>
          </cell>
          <cell r="E2646" t="str">
            <v>un</v>
          </cell>
          <cell r="F2646"/>
          <cell r="G2646">
            <v>3.65</v>
          </cell>
          <cell r="H2646">
            <v>0</v>
          </cell>
        </row>
        <row r="2647">
          <cell r="C2647" t="str">
            <v>16.2.1.67</v>
          </cell>
          <cell r="D2647" t="str">
            <v>Montagem De  Chave Fusível 100A/15 Kv, Com Elo 1H</v>
          </cell>
          <cell r="E2647" t="str">
            <v>un</v>
          </cell>
          <cell r="F2647"/>
          <cell r="G2647">
            <v>107.88</v>
          </cell>
          <cell r="H2647">
            <v>0</v>
          </cell>
        </row>
        <row r="2648">
          <cell r="C2648" t="str">
            <v>16.2.1.68</v>
          </cell>
          <cell r="D2648" t="str">
            <v>Montagem De Condulete Dn 25Mm Tipo C</v>
          </cell>
          <cell r="E2648" t="str">
            <v>un</v>
          </cell>
          <cell r="F2648"/>
          <cell r="G2648">
            <v>18.239999999999998</v>
          </cell>
          <cell r="H2648">
            <v>0</v>
          </cell>
        </row>
        <row r="2649">
          <cell r="C2649" t="str">
            <v>16.2.1.69</v>
          </cell>
          <cell r="D2649" t="str">
            <v>Montagem De Condulete Dn 25Mm Tipo E</v>
          </cell>
          <cell r="E2649" t="str">
            <v>un</v>
          </cell>
          <cell r="F2649"/>
          <cell r="G2649">
            <v>3.65</v>
          </cell>
          <cell r="H2649">
            <v>0</v>
          </cell>
        </row>
        <row r="2650">
          <cell r="C2650" t="str">
            <v>16.2.1.70</v>
          </cell>
          <cell r="D2650" t="str">
            <v>Montagem De Condulete Dn 25Mm Tipo Lr</v>
          </cell>
          <cell r="E2650" t="str">
            <v>un</v>
          </cell>
          <cell r="F2650"/>
          <cell r="G2650">
            <v>10.97</v>
          </cell>
          <cell r="H2650">
            <v>0</v>
          </cell>
        </row>
        <row r="2651">
          <cell r="C2651" t="str">
            <v>16.2.1.71</v>
          </cell>
          <cell r="D2651" t="str">
            <v>Montagem De Condulete Dn 25Mm Tipo Lb</v>
          </cell>
          <cell r="E2651" t="str">
            <v>un</v>
          </cell>
          <cell r="F2651"/>
          <cell r="G2651">
            <v>3.65</v>
          </cell>
          <cell r="H2651">
            <v>0</v>
          </cell>
        </row>
        <row r="2652">
          <cell r="C2652" t="str">
            <v>16.2.1.72</v>
          </cell>
          <cell r="D2652" t="str">
            <v xml:space="preserve">Montagem De Poste Duplo T 10M De Comprimento 200Dan </v>
          </cell>
          <cell r="E2652" t="str">
            <v>un</v>
          </cell>
          <cell r="F2652"/>
          <cell r="G2652">
            <v>186.63</v>
          </cell>
          <cell r="H2652">
            <v>0</v>
          </cell>
        </row>
        <row r="2653">
          <cell r="C2653" t="str">
            <v>16.2.1.73</v>
          </cell>
          <cell r="D2653" t="str">
            <v>Montagem De Chave Fusível 100A/15 Kv, Com Elo 2H</v>
          </cell>
          <cell r="E2653" t="str">
            <v>un</v>
          </cell>
          <cell r="F2653"/>
          <cell r="G2653">
            <v>323.69</v>
          </cell>
          <cell r="H2653">
            <v>0</v>
          </cell>
        </row>
        <row r="2654">
          <cell r="C2654" t="str">
            <v>16.2.1.74</v>
          </cell>
          <cell r="D2654" t="str">
            <v>Montagem De Para-Raios De Distribuição Vn=12 Kv, Icc=5 Ka, Com Desligador</v>
          </cell>
          <cell r="E2654" t="str">
            <v>un</v>
          </cell>
          <cell r="F2654"/>
          <cell r="G2654">
            <v>346.74</v>
          </cell>
          <cell r="H2654">
            <v>0</v>
          </cell>
        </row>
        <row r="2655">
          <cell r="C2655" t="str">
            <v>16.2.2</v>
          </cell>
          <cell r="D2655" t="str">
            <v>FORNECIMENTO (O BDI do item 16.2.2 foi reduzido de 40% para 37,2%)</v>
          </cell>
          <cell r="E2655"/>
          <cell r="F2655"/>
          <cell r="G2655">
            <v>0</v>
          </cell>
          <cell r="H2655">
            <v>0</v>
          </cell>
        </row>
        <row r="2656">
          <cell r="C2656" t="str">
            <v>16.2.2.1</v>
          </cell>
          <cell r="D2656" t="str">
            <v>Tubulações E Conexões Em Ferro Galvanizado</v>
          </cell>
          <cell r="E2656"/>
          <cell r="F2656"/>
          <cell r="G2656">
            <v>0</v>
          </cell>
          <cell r="H2656">
            <v>0</v>
          </cell>
        </row>
        <row r="2657">
          <cell r="C2657" t="str">
            <v>16.2.2.2</v>
          </cell>
          <cell r="D2657" t="str">
            <v>Toco C/ Roscas L = 0,65 M Dn 3"</v>
          </cell>
          <cell r="E2657" t="str">
            <v>un</v>
          </cell>
          <cell r="F2657"/>
          <cell r="G2657">
            <v>52.85</v>
          </cell>
          <cell r="H2657">
            <v>0</v>
          </cell>
        </row>
        <row r="2658">
          <cell r="C2658" t="str">
            <v>16.2.2.3</v>
          </cell>
          <cell r="D2658" t="str">
            <v>Toco C/ Roscas L = 0,65 M Dn 4"</v>
          </cell>
          <cell r="E2658" t="str">
            <v>un</v>
          </cell>
          <cell r="F2658"/>
          <cell r="G2658">
            <v>71.010000000000005</v>
          </cell>
          <cell r="H2658">
            <v>0</v>
          </cell>
        </row>
        <row r="2659">
          <cell r="C2659" t="str">
            <v>16.2.2.4</v>
          </cell>
          <cell r="D2659" t="str">
            <v>Toco C/ Roscas  L = 0,65 M  Dn 4"</v>
          </cell>
          <cell r="E2659" t="str">
            <v>un</v>
          </cell>
          <cell r="F2659"/>
          <cell r="G2659">
            <v>71.010000000000005</v>
          </cell>
          <cell r="H2659">
            <v>0</v>
          </cell>
        </row>
        <row r="2660">
          <cell r="C2660" t="str">
            <v>16.2.2.5</v>
          </cell>
          <cell r="D2660" t="str">
            <v>Toco C/ Roscas L = 1,20 M Dn 3"</v>
          </cell>
          <cell r="E2660" t="str">
            <v>un</v>
          </cell>
          <cell r="F2660"/>
          <cell r="G2660">
            <v>87.93</v>
          </cell>
          <cell r="H2660">
            <v>0</v>
          </cell>
        </row>
        <row r="2661">
          <cell r="C2661" t="str">
            <v>16.2.2.6</v>
          </cell>
          <cell r="D2661" t="str">
            <v>Toco C/ Roscas L = 1,20 M Dn 4"</v>
          </cell>
          <cell r="E2661" t="str">
            <v>un</v>
          </cell>
          <cell r="F2661"/>
          <cell r="G2661">
            <v>121.53</v>
          </cell>
          <cell r="H2661">
            <v>0</v>
          </cell>
        </row>
        <row r="2662">
          <cell r="C2662" t="str">
            <v>16.2.2.7</v>
          </cell>
          <cell r="D2662" t="str">
            <v>Toco C/ Roscas  L = 1,20 M  Dn 4"</v>
          </cell>
          <cell r="E2662" t="str">
            <v>un</v>
          </cell>
          <cell r="F2662"/>
          <cell r="G2662">
            <v>121.57</v>
          </cell>
          <cell r="H2662">
            <v>0</v>
          </cell>
        </row>
        <row r="2663">
          <cell r="C2663" t="str">
            <v>16.2.2.8</v>
          </cell>
          <cell r="D2663" t="str">
            <v>Toco C/ Roscas L = 0,55 M Dn 3"</v>
          </cell>
          <cell r="E2663" t="str">
            <v>un</v>
          </cell>
          <cell r="F2663"/>
          <cell r="G2663">
            <v>38.39</v>
          </cell>
          <cell r="H2663">
            <v>0</v>
          </cell>
        </row>
        <row r="2664">
          <cell r="C2664" t="str">
            <v>16.2.2.9</v>
          </cell>
          <cell r="D2664" t="str">
            <v>Toco C/ Roscas L = 0,55 M Dn 4"</v>
          </cell>
          <cell r="E2664" t="str">
            <v>un</v>
          </cell>
          <cell r="F2664"/>
          <cell r="G2664">
            <v>42.82</v>
          </cell>
          <cell r="H2664">
            <v>0</v>
          </cell>
        </row>
        <row r="2665">
          <cell r="C2665" t="str">
            <v>16.2.2.10</v>
          </cell>
          <cell r="D2665" t="str">
            <v xml:space="preserve">Toco C/ Roscas  L = 0,55 M  Dn 4" </v>
          </cell>
          <cell r="E2665" t="str">
            <v>un</v>
          </cell>
          <cell r="F2665"/>
          <cell r="G2665">
            <v>61.85</v>
          </cell>
          <cell r="H2665">
            <v>0</v>
          </cell>
        </row>
        <row r="2666">
          <cell r="C2666" t="str">
            <v>16.2.2.11</v>
          </cell>
          <cell r="D2666" t="str">
            <v>Toco C/ Roscas L = 0,15 M Dn 3"</v>
          </cell>
          <cell r="E2666" t="str">
            <v>un</v>
          </cell>
          <cell r="F2666"/>
          <cell r="G2666">
            <v>61.72</v>
          </cell>
          <cell r="H2666">
            <v>0</v>
          </cell>
        </row>
        <row r="2667">
          <cell r="C2667" t="str">
            <v>16.2.2.12</v>
          </cell>
          <cell r="D2667" t="str">
            <v>Toco C/ Roscas L = 0,35 M Dn 4"</v>
          </cell>
          <cell r="E2667" t="str">
            <v>un</v>
          </cell>
          <cell r="F2667"/>
          <cell r="G2667">
            <v>41.04</v>
          </cell>
          <cell r="H2667">
            <v>0</v>
          </cell>
        </row>
        <row r="2668">
          <cell r="C2668" t="str">
            <v>16.2.2.13</v>
          </cell>
          <cell r="D2668" t="str">
            <v>Toco C/ Roscas  L = 0,40 M  Dn 3"</v>
          </cell>
          <cell r="E2668" t="str">
            <v>un</v>
          </cell>
          <cell r="F2668"/>
          <cell r="G2668">
            <v>35.33</v>
          </cell>
          <cell r="H2668">
            <v>0</v>
          </cell>
        </row>
        <row r="2669">
          <cell r="C2669" t="str">
            <v>16.2.2.14</v>
          </cell>
          <cell r="D2669" t="str">
            <v>Toco C/ Roscas L =  0,25 M Dn 3"</v>
          </cell>
          <cell r="E2669" t="str">
            <v>un</v>
          </cell>
          <cell r="F2669"/>
          <cell r="G2669">
            <v>25.43</v>
          </cell>
          <cell r="H2669">
            <v>0</v>
          </cell>
        </row>
        <row r="2670">
          <cell r="C2670" t="str">
            <v>16.2.2.15</v>
          </cell>
          <cell r="D2670" t="str">
            <v>Toco C/ Roscas L = 0,10 M Dn 4"</v>
          </cell>
          <cell r="E2670" t="str">
            <v>un</v>
          </cell>
          <cell r="F2670"/>
          <cell r="G2670">
            <v>32.590000000000003</v>
          </cell>
          <cell r="H2670">
            <v>0</v>
          </cell>
        </row>
        <row r="2671">
          <cell r="C2671" t="str">
            <v>16.2.2.16</v>
          </cell>
          <cell r="D2671" t="str">
            <v>Toco C/ Roscas  L = 0,10 M  Dn 3"</v>
          </cell>
          <cell r="E2671" t="str">
            <v>un</v>
          </cell>
          <cell r="F2671"/>
          <cell r="G2671">
            <v>17.309999999999999</v>
          </cell>
          <cell r="H2671">
            <v>0</v>
          </cell>
        </row>
        <row r="2672">
          <cell r="C2672" t="str">
            <v>16.2.2.17</v>
          </cell>
          <cell r="D2672" t="str">
            <v>Toco C/ Roscas L =  0,40 M Dn 3"</v>
          </cell>
          <cell r="E2672" t="str">
            <v>un</v>
          </cell>
          <cell r="F2672"/>
          <cell r="G2672">
            <v>34.96</v>
          </cell>
          <cell r="H2672">
            <v>0</v>
          </cell>
        </row>
        <row r="2673">
          <cell r="C2673" t="str">
            <v>16.2.2.18</v>
          </cell>
          <cell r="D2673" t="str">
            <v>Toco C/ Roscas L = 1,60 M Dn 4"</v>
          </cell>
          <cell r="E2673" t="str">
            <v>un</v>
          </cell>
          <cell r="F2673"/>
          <cell r="G2673">
            <v>146.91</v>
          </cell>
          <cell r="H2673">
            <v>0</v>
          </cell>
        </row>
        <row r="2674">
          <cell r="C2674" t="str">
            <v>16.2.2.19</v>
          </cell>
          <cell r="D2674" t="str">
            <v>Toco C/ Roscas  L = 0,30 M  Dn 3"</v>
          </cell>
          <cell r="E2674" t="str">
            <v>un</v>
          </cell>
          <cell r="F2674"/>
          <cell r="G2674">
            <v>33.24</v>
          </cell>
          <cell r="H2674">
            <v>0</v>
          </cell>
        </row>
        <row r="2675">
          <cell r="C2675" t="str">
            <v>16.2.2.20</v>
          </cell>
          <cell r="D2675" t="str">
            <v>Toco C/ Roscas L =  1,25 M Dn 3"</v>
          </cell>
          <cell r="E2675" t="str">
            <v>un</v>
          </cell>
          <cell r="F2675"/>
          <cell r="G2675">
            <v>92.4</v>
          </cell>
          <cell r="H2675">
            <v>0</v>
          </cell>
        </row>
        <row r="2676">
          <cell r="C2676" t="str">
            <v>16.2.2.21</v>
          </cell>
          <cell r="D2676" t="str">
            <v>Toco C/ Roscas L = 1,35 M Dn 4"</v>
          </cell>
          <cell r="E2676" t="str">
            <v>un</v>
          </cell>
          <cell r="F2676"/>
          <cell r="G2676">
            <v>146.88999999999999</v>
          </cell>
          <cell r="H2676">
            <v>0</v>
          </cell>
        </row>
        <row r="2677">
          <cell r="C2677" t="str">
            <v>16.2.2.22</v>
          </cell>
          <cell r="D2677" t="str">
            <v>Toco C/ Roscas  L = 0,85 M  Dn 3"</v>
          </cell>
          <cell r="E2677" t="str">
            <v>un</v>
          </cell>
          <cell r="F2677"/>
          <cell r="G2677">
            <v>83.49</v>
          </cell>
          <cell r="H2677">
            <v>0</v>
          </cell>
        </row>
        <row r="2678">
          <cell r="C2678" t="str">
            <v>16.2.2.23</v>
          </cell>
          <cell r="D2678" t="str">
            <v>Toco C/ Roscas L = 0,10 M Dn 3"</v>
          </cell>
          <cell r="E2678" t="str">
            <v>un</v>
          </cell>
          <cell r="F2678"/>
          <cell r="G2678">
            <v>17.190000000000001</v>
          </cell>
          <cell r="H2678">
            <v>0</v>
          </cell>
        </row>
        <row r="2679">
          <cell r="C2679" t="str">
            <v>16.2.2.24</v>
          </cell>
          <cell r="D2679" t="str">
            <v>Toco C/ Roscas L = 0,90 M Dn 4"</v>
          </cell>
          <cell r="E2679" t="str">
            <v>un</v>
          </cell>
          <cell r="F2679"/>
          <cell r="G2679">
            <v>87.62</v>
          </cell>
          <cell r="H2679">
            <v>0</v>
          </cell>
        </row>
        <row r="2680">
          <cell r="C2680" t="str">
            <v>16.2.2.25</v>
          </cell>
          <cell r="D2680" t="str">
            <v>Toco C/ Roscas L =  0,80 M Dn 3"</v>
          </cell>
          <cell r="E2680" t="str">
            <v>un</v>
          </cell>
          <cell r="F2680"/>
          <cell r="G2680">
            <v>58.58</v>
          </cell>
          <cell r="H2680">
            <v>0</v>
          </cell>
        </row>
        <row r="2681">
          <cell r="C2681" t="str">
            <v>16.2.2.26</v>
          </cell>
          <cell r="D2681" t="str">
            <v>Tê 45º Dn 4"</v>
          </cell>
          <cell r="E2681" t="str">
            <v>un</v>
          </cell>
          <cell r="F2681"/>
          <cell r="G2681">
            <v>160.41</v>
          </cell>
          <cell r="H2681">
            <v>0</v>
          </cell>
        </row>
        <row r="2682">
          <cell r="C2682" t="str">
            <v>16.2.2.27</v>
          </cell>
          <cell r="D2682" t="str">
            <v>Tê 90º Dn 3"</v>
          </cell>
          <cell r="E2682" t="str">
            <v>un</v>
          </cell>
          <cell r="F2682"/>
          <cell r="G2682">
            <v>46.36</v>
          </cell>
          <cell r="H2682">
            <v>0</v>
          </cell>
        </row>
        <row r="2683">
          <cell r="C2683" t="str">
            <v>16.2.2.28</v>
          </cell>
          <cell r="D2683" t="str">
            <v>Tê 45º Dn 3"</v>
          </cell>
          <cell r="E2683" t="str">
            <v>un</v>
          </cell>
          <cell r="F2683"/>
          <cell r="G2683">
            <v>91.29</v>
          </cell>
          <cell r="H2683">
            <v>0</v>
          </cell>
        </row>
        <row r="2684">
          <cell r="C2684" t="str">
            <v>16.2.2.29</v>
          </cell>
          <cell r="D2684" t="str">
            <v>Tê 90º Dn 4"</v>
          </cell>
          <cell r="E2684" t="str">
            <v>un</v>
          </cell>
          <cell r="F2684"/>
          <cell r="G2684">
            <v>87.87</v>
          </cell>
          <cell r="H2684">
            <v>0</v>
          </cell>
        </row>
        <row r="2685">
          <cell r="C2685" t="str">
            <v>16.2.2.30</v>
          </cell>
          <cell r="D2685" t="str">
            <v>Tê De Redução Dn 3"X 1"</v>
          </cell>
          <cell r="E2685" t="str">
            <v>un</v>
          </cell>
          <cell r="F2685"/>
          <cell r="G2685">
            <v>46.36</v>
          </cell>
          <cell r="H2685">
            <v>0</v>
          </cell>
        </row>
        <row r="2686">
          <cell r="C2686" t="str">
            <v>16.2.2.31</v>
          </cell>
          <cell r="D2686" t="str">
            <v>Tê De Redução Dn 4" X 2"</v>
          </cell>
          <cell r="E2686" t="str">
            <v>un</v>
          </cell>
          <cell r="F2686"/>
          <cell r="G2686">
            <v>87.87</v>
          </cell>
          <cell r="H2686">
            <v>0</v>
          </cell>
        </row>
        <row r="2687">
          <cell r="C2687" t="str">
            <v>16.2.2.32</v>
          </cell>
          <cell r="D2687" t="str">
            <v>Curva 45º Fêmea Dn 4"</v>
          </cell>
          <cell r="E2687" t="str">
            <v>un</v>
          </cell>
          <cell r="F2687"/>
          <cell r="G2687">
            <v>68.150000000000006</v>
          </cell>
          <cell r="H2687">
            <v>0</v>
          </cell>
        </row>
        <row r="2688">
          <cell r="C2688" t="str">
            <v>16.2.2.33</v>
          </cell>
          <cell r="D2688" t="str">
            <v>Tê De Redução Dn 3" X 1"</v>
          </cell>
          <cell r="E2688" t="str">
            <v>un</v>
          </cell>
          <cell r="F2688"/>
          <cell r="G2688">
            <v>46.36</v>
          </cell>
          <cell r="H2688">
            <v>0</v>
          </cell>
        </row>
        <row r="2689">
          <cell r="C2689" t="str">
            <v>16.2.2.34</v>
          </cell>
          <cell r="D2689" t="str">
            <v>Luva 90º Macho-Fêmea Dn 4"</v>
          </cell>
          <cell r="E2689" t="str">
            <v>un</v>
          </cell>
          <cell r="F2689"/>
          <cell r="G2689">
            <v>164.32</v>
          </cell>
          <cell r="H2689">
            <v>0</v>
          </cell>
        </row>
        <row r="2690">
          <cell r="C2690" t="str">
            <v>16.2.2.35</v>
          </cell>
          <cell r="D2690" t="str">
            <v>Curva 45º Fêmea Dn 3"</v>
          </cell>
          <cell r="E2690" t="str">
            <v>un</v>
          </cell>
          <cell r="F2690"/>
          <cell r="G2690">
            <v>34.270000000000003</v>
          </cell>
          <cell r="H2690">
            <v>0</v>
          </cell>
        </row>
        <row r="2691">
          <cell r="C2691" t="str">
            <v>16.2.2.36</v>
          </cell>
          <cell r="D2691" t="str">
            <v>Curva Fêmea Dn 3"</v>
          </cell>
          <cell r="E2691" t="str">
            <v>un</v>
          </cell>
          <cell r="F2691"/>
          <cell r="G2691">
            <v>87.77</v>
          </cell>
          <cell r="H2691">
            <v>0</v>
          </cell>
        </row>
        <row r="2692">
          <cell r="C2692" t="str">
            <v>16.2.2.37</v>
          </cell>
          <cell r="D2692" t="str">
            <v>Toco C/Roscas L = 1,30 M  Dn 3"</v>
          </cell>
          <cell r="E2692" t="str">
            <v>un</v>
          </cell>
          <cell r="F2692"/>
          <cell r="G2692">
            <v>36.85</v>
          </cell>
          <cell r="H2692">
            <v>0</v>
          </cell>
        </row>
        <row r="2693">
          <cell r="C2693" t="str">
            <v>16.2.2.38</v>
          </cell>
          <cell r="D2693" t="str">
            <v>Curva 90º Macho-Fêmea Dn 3"</v>
          </cell>
          <cell r="E2693" t="str">
            <v>un</v>
          </cell>
          <cell r="F2693"/>
          <cell r="G2693">
            <v>86.91</v>
          </cell>
          <cell r="H2693">
            <v>0</v>
          </cell>
        </row>
        <row r="2694">
          <cell r="C2694" t="str">
            <v>16.2.2.39</v>
          </cell>
          <cell r="D2694" t="str">
            <v>Niple Duplo Dn 4"</v>
          </cell>
          <cell r="E2694" t="str">
            <v>un</v>
          </cell>
          <cell r="F2694"/>
          <cell r="G2694">
            <v>37.119999999999997</v>
          </cell>
          <cell r="H2694">
            <v>0</v>
          </cell>
        </row>
        <row r="2695">
          <cell r="C2695" t="str">
            <v>16.2.2.40</v>
          </cell>
          <cell r="D2695" t="str">
            <v>Niple Duplo Dn 2 1/2"</v>
          </cell>
          <cell r="E2695" t="str">
            <v>un</v>
          </cell>
          <cell r="F2695"/>
          <cell r="G2695">
            <v>16.260000000000002</v>
          </cell>
          <cell r="H2695">
            <v>0</v>
          </cell>
        </row>
        <row r="2696">
          <cell r="C2696" t="str">
            <v>16.2.2.41</v>
          </cell>
          <cell r="D2696" t="str">
            <v>Niple Duplo De Redução Dn 3" X 1 1/2"</v>
          </cell>
          <cell r="E2696" t="str">
            <v>un</v>
          </cell>
          <cell r="F2696"/>
          <cell r="G2696">
            <v>28</v>
          </cell>
          <cell r="H2696">
            <v>0</v>
          </cell>
        </row>
        <row r="2697">
          <cell r="C2697" t="str">
            <v>16.2.2.42</v>
          </cell>
          <cell r="D2697" t="str">
            <v>Niple Duplo Dn 2"</v>
          </cell>
          <cell r="E2697" t="str">
            <v>un</v>
          </cell>
          <cell r="F2697"/>
          <cell r="G2697">
            <v>11.41</v>
          </cell>
          <cell r="H2697">
            <v>0</v>
          </cell>
        </row>
        <row r="2698">
          <cell r="C2698" t="str">
            <v>16.2.2.43</v>
          </cell>
          <cell r="D2698" t="str">
            <v>Niple Duplo Dn 3"</v>
          </cell>
          <cell r="E2698" t="str">
            <v>un</v>
          </cell>
          <cell r="F2698"/>
          <cell r="G2698">
            <v>23.41</v>
          </cell>
          <cell r="H2698">
            <v>0</v>
          </cell>
        </row>
        <row r="2699">
          <cell r="C2699" t="str">
            <v>16.2.2.44</v>
          </cell>
          <cell r="D2699" t="str">
            <v>Niple Duplo De Redução Dn 2" X 1"</v>
          </cell>
          <cell r="E2699" t="str">
            <v>un</v>
          </cell>
          <cell r="F2699"/>
          <cell r="G2699">
            <v>11.41</v>
          </cell>
          <cell r="H2699">
            <v>0</v>
          </cell>
        </row>
        <row r="2700">
          <cell r="C2700" t="str">
            <v>16.2.2.45</v>
          </cell>
          <cell r="D2700" t="str">
            <v>Niple Duplo Dn 1 1/2"</v>
          </cell>
          <cell r="E2700" t="str">
            <v>un</v>
          </cell>
          <cell r="F2700"/>
          <cell r="G2700">
            <v>5.32</v>
          </cell>
          <cell r="H2700">
            <v>0</v>
          </cell>
        </row>
        <row r="2701">
          <cell r="C2701" t="str">
            <v>16.2.2.46</v>
          </cell>
          <cell r="D2701" t="str">
            <v>Flange C/ Sextavado Dn 4"</v>
          </cell>
          <cell r="E2701" t="str">
            <v>un</v>
          </cell>
          <cell r="F2701"/>
          <cell r="G2701">
            <v>40.08</v>
          </cell>
          <cell r="H2701">
            <v>0</v>
          </cell>
        </row>
        <row r="2702">
          <cell r="C2702" t="str">
            <v>16.2.2.47</v>
          </cell>
          <cell r="D2702" t="str">
            <v>Bucha De Redução Dn 4" X 2 1/2"</v>
          </cell>
          <cell r="E2702" t="str">
            <v>un</v>
          </cell>
          <cell r="F2702"/>
          <cell r="G2702">
            <v>31.97</v>
          </cell>
          <cell r="H2702">
            <v>0</v>
          </cell>
        </row>
        <row r="2703">
          <cell r="C2703" t="str">
            <v>16.2.2.48</v>
          </cell>
          <cell r="D2703" t="str">
            <v>Flange C/ Sextavado Dn 3"</v>
          </cell>
          <cell r="E2703" t="str">
            <v>un</v>
          </cell>
          <cell r="F2703"/>
          <cell r="G2703">
            <v>31.69</v>
          </cell>
          <cell r="H2703">
            <v>0</v>
          </cell>
        </row>
        <row r="2704">
          <cell r="C2704" t="str">
            <v>16.2.2.49</v>
          </cell>
          <cell r="D2704" t="str">
            <v>Bucha De Redução Dn 3" X 2"</v>
          </cell>
          <cell r="E2704" t="str">
            <v>un</v>
          </cell>
          <cell r="F2704"/>
          <cell r="G2704">
            <v>12.66</v>
          </cell>
          <cell r="H2704">
            <v>0</v>
          </cell>
        </row>
        <row r="2705">
          <cell r="C2705" t="str">
            <v>16.2.2.50</v>
          </cell>
          <cell r="D2705" t="str">
            <v>Registro De Gaveta Em Bronze Dn 4"</v>
          </cell>
          <cell r="E2705" t="str">
            <v>un</v>
          </cell>
          <cell r="F2705"/>
          <cell r="G2705">
            <v>243.5</v>
          </cell>
          <cell r="H2705">
            <v>0</v>
          </cell>
        </row>
        <row r="2706">
          <cell r="C2706" t="str">
            <v>16.2.2.51</v>
          </cell>
          <cell r="D2706" t="str">
            <v>Bucha Redução Dn 2"X 1 1/2"</v>
          </cell>
          <cell r="E2706" t="str">
            <v>un</v>
          </cell>
          <cell r="F2706"/>
          <cell r="G2706">
            <v>7.24</v>
          </cell>
          <cell r="H2706">
            <v>0</v>
          </cell>
        </row>
        <row r="2707">
          <cell r="C2707" t="str">
            <v>16.2.2.52</v>
          </cell>
          <cell r="D2707" t="str">
            <v>Válvula De Retenção Em Bronze Dn 4"</v>
          </cell>
          <cell r="E2707" t="str">
            <v>un</v>
          </cell>
          <cell r="F2707"/>
          <cell r="G2707">
            <v>279.58999999999997</v>
          </cell>
          <cell r="H2707">
            <v>0</v>
          </cell>
        </row>
        <row r="2708">
          <cell r="C2708" t="str">
            <v>16.2.2.53</v>
          </cell>
          <cell r="D2708" t="str">
            <v>Registro De Gaveta Em Bronze Dn 3"</v>
          </cell>
          <cell r="E2708" t="str">
            <v>un</v>
          </cell>
          <cell r="F2708"/>
          <cell r="G2708">
            <v>159.01</v>
          </cell>
          <cell r="H2708">
            <v>0</v>
          </cell>
        </row>
        <row r="2709">
          <cell r="C2709" t="str">
            <v>16.2.2.54</v>
          </cell>
          <cell r="D2709" t="str">
            <v>Adaptador Pvc Ponta/Rosca Dn 3"</v>
          </cell>
          <cell r="E2709" t="str">
            <v>un</v>
          </cell>
          <cell r="F2709"/>
          <cell r="G2709">
            <v>30.01</v>
          </cell>
          <cell r="H2709">
            <v>0</v>
          </cell>
        </row>
        <row r="2710">
          <cell r="C2710" t="str">
            <v>16.2.2.55</v>
          </cell>
          <cell r="D2710" t="str">
            <v>Conj. Motobomba C/ Eixo Horizontal Q = 6,75 L/S Amt = 105 M.C.A., 30 Cv</v>
          </cell>
          <cell r="E2710" t="str">
            <v>un</v>
          </cell>
          <cell r="F2710"/>
          <cell r="G2710">
            <v>4611.38</v>
          </cell>
          <cell r="H2710">
            <v>0</v>
          </cell>
        </row>
        <row r="2711">
          <cell r="C2711" t="str">
            <v>16.2.2.56</v>
          </cell>
          <cell r="D2711" t="str">
            <v>Registro De Gaveta Em Bronze Dn 1"</v>
          </cell>
          <cell r="E2711" t="str">
            <v>un</v>
          </cell>
          <cell r="F2711"/>
          <cell r="G2711">
            <v>24.56</v>
          </cell>
          <cell r="H2711">
            <v>0</v>
          </cell>
        </row>
        <row r="2712">
          <cell r="C2712" t="str">
            <v>16.2.2.57</v>
          </cell>
          <cell r="D2712" t="str">
            <v>Luva Dn 3"</v>
          </cell>
          <cell r="E2712" t="str">
            <v>un</v>
          </cell>
          <cell r="F2712"/>
          <cell r="G2712">
            <v>25.89</v>
          </cell>
          <cell r="H2712">
            <v>0</v>
          </cell>
        </row>
        <row r="2713">
          <cell r="C2713" t="str">
            <v>16.2.2.58</v>
          </cell>
          <cell r="D2713" t="str">
            <v>Válvula De Retenção Em Bronze Dn 3"</v>
          </cell>
          <cell r="E2713" t="str">
            <v>un</v>
          </cell>
          <cell r="F2713"/>
          <cell r="G2713">
            <v>161.85</v>
          </cell>
          <cell r="H2713">
            <v>0</v>
          </cell>
        </row>
        <row r="2714">
          <cell r="C2714" t="str">
            <v>16.2.2.59</v>
          </cell>
          <cell r="D2714" t="str">
            <v>Tubulações E Conexões Em Pvc Adaptador Pvc  Ponta/Rosca Dn 3"</v>
          </cell>
          <cell r="E2714" t="str">
            <v>un</v>
          </cell>
          <cell r="F2714"/>
          <cell r="G2714">
            <v>30.01</v>
          </cell>
          <cell r="H2714">
            <v>0</v>
          </cell>
        </row>
        <row r="2715">
          <cell r="C2715" t="str">
            <v>16.2.2.60</v>
          </cell>
          <cell r="D2715" t="str">
            <v>Conjunto Motobomba De Eixo Horizontal Q = 3,22 L/S Amt: 51,50 M.C.A.</v>
          </cell>
          <cell r="E2715" t="str">
            <v>un</v>
          </cell>
          <cell r="F2715"/>
          <cell r="G2715">
            <v>2583.67</v>
          </cell>
          <cell r="H2715">
            <v>0</v>
          </cell>
        </row>
        <row r="2716">
          <cell r="C2716" t="str">
            <v>16.2.2.61</v>
          </cell>
          <cell r="D2716" t="str">
            <v>Conjunto Motobomba De Eixo Horizontal De 1/2 Cv</v>
          </cell>
          <cell r="E2716" t="str">
            <v>un</v>
          </cell>
          <cell r="F2716"/>
          <cell r="G2716">
            <v>8293.64</v>
          </cell>
          <cell r="H2716">
            <v>0</v>
          </cell>
        </row>
        <row r="2717">
          <cell r="C2717" t="str">
            <v>16.2.2.62</v>
          </cell>
          <cell r="D2717" t="str">
            <v>Registro Gaveta, Bronze Dn 3"</v>
          </cell>
          <cell r="E2717" t="str">
            <v>un</v>
          </cell>
          <cell r="F2717"/>
          <cell r="G2717">
            <v>159.03</v>
          </cell>
          <cell r="H2717">
            <v>0</v>
          </cell>
        </row>
        <row r="2718">
          <cell r="C2718" t="str">
            <v>16.2.2.63</v>
          </cell>
          <cell r="D2718" t="str">
            <v>Registro Gaveta, Bronze Dn 1"</v>
          </cell>
          <cell r="E2718" t="str">
            <v>un</v>
          </cell>
          <cell r="F2718"/>
          <cell r="G2718">
            <v>24.56</v>
          </cell>
          <cell r="H2718">
            <v>0</v>
          </cell>
        </row>
        <row r="2719">
          <cell r="C2719" t="str">
            <v>16.2.2.64</v>
          </cell>
          <cell r="D2719" t="str">
            <v>Registro Gaveta, Fg Dn 4"</v>
          </cell>
          <cell r="E2719" t="str">
            <v>un</v>
          </cell>
          <cell r="F2719"/>
          <cell r="G2719">
            <v>266.56</v>
          </cell>
          <cell r="H2719">
            <v>0</v>
          </cell>
        </row>
        <row r="2720">
          <cell r="C2720" t="str">
            <v>16.2.2.65</v>
          </cell>
          <cell r="D2720" t="str">
            <v>Conjunto Motor Bomba De Eixo Horizontal, 3 Cv,  Amt = 20,85 M.C.A., Q = 4,17 L/S</v>
          </cell>
          <cell r="E2720" t="str">
            <v>un</v>
          </cell>
          <cell r="F2720"/>
          <cell r="G2720">
            <v>2467.52</v>
          </cell>
          <cell r="H2720">
            <v>0</v>
          </cell>
        </row>
        <row r="2721">
          <cell r="C2721" t="str">
            <v>16.2.2.66</v>
          </cell>
          <cell r="D2721" t="str">
            <v>Talha Manual Cap 0,5 T</v>
          </cell>
          <cell r="E2721" t="str">
            <v>un</v>
          </cell>
          <cell r="F2721"/>
          <cell r="G2721">
            <v>628.29999999999995</v>
          </cell>
          <cell r="H2721">
            <v>0</v>
          </cell>
        </row>
        <row r="2722">
          <cell r="C2722" t="str">
            <v>16.2.2.67</v>
          </cell>
          <cell r="D2722" t="str">
            <v>Perfil I Em Aço L = 3,80 M  6"X 3  3/8"</v>
          </cell>
          <cell r="E2722" t="str">
            <v>un</v>
          </cell>
          <cell r="F2722"/>
          <cell r="G2722">
            <v>462.19</v>
          </cell>
          <cell r="H2722">
            <v>0</v>
          </cell>
        </row>
        <row r="2723">
          <cell r="C2723" t="str">
            <v>16.2.2.68</v>
          </cell>
          <cell r="D2723" t="str">
            <v>Eletroduto De Pvc Rígido Dn 25Mm L=3M</v>
          </cell>
          <cell r="E2723" t="str">
            <v>un</v>
          </cell>
          <cell r="F2723"/>
          <cell r="G2723">
            <v>14.86</v>
          </cell>
          <cell r="H2723">
            <v>0</v>
          </cell>
        </row>
        <row r="2724">
          <cell r="C2724" t="str">
            <v>16.2.2.69</v>
          </cell>
          <cell r="D2724" t="str">
            <v>Eletroduto De Pvc Rígido Dn 40Mm L=3M</v>
          </cell>
          <cell r="E2724" t="str">
            <v>un</v>
          </cell>
          <cell r="F2724"/>
          <cell r="G2724">
            <v>50.2</v>
          </cell>
          <cell r="H2724">
            <v>0</v>
          </cell>
        </row>
        <row r="2725">
          <cell r="C2725" t="str">
            <v>16.2.2.70</v>
          </cell>
          <cell r="D2725" t="str">
            <v>Eletroduto De Pvc Rígido Dn 60Mm L=3M</v>
          </cell>
          <cell r="E2725" t="str">
            <v>un</v>
          </cell>
          <cell r="F2725"/>
          <cell r="G2725">
            <v>73.61</v>
          </cell>
          <cell r="H2725">
            <v>0</v>
          </cell>
        </row>
        <row r="2726">
          <cell r="C2726" t="str">
            <v>16.2.2.71</v>
          </cell>
          <cell r="D2726" t="str">
            <v>Curva De Eletroduto 90° Dn 25Mm</v>
          </cell>
          <cell r="E2726" t="str">
            <v>un</v>
          </cell>
          <cell r="F2726"/>
          <cell r="G2726">
            <v>3.82</v>
          </cell>
          <cell r="H2726">
            <v>0</v>
          </cell>
        </row>
        <row r="2727">
          <cell r="C2727" t="str">
            <v>16.2.2.72</v>
          </cell>
          <cell r="D2727" t="str">
            <v>Cabo De Cobre Múltiplo 4X4,0Mm² Pvc 1Kv</v>
          </cell>
          <cell r="E2727" t="str">
            <v>m</v>
          </cell>
          <cell r="F2727"/>
          <cell r="G2727">
            <v>10.28</v>
          </cell>
          <cell r="H2727">
            <v>0</v>
          </cell>
        </row>
        <row r="2728">
          <cell r="C2728" t="str">
            <v>16.2.2.73</v>
          </cell>
          <cell r="D2728" t="str">
            <v>Cabo De Cobre Singelo 4Mm² Pvc 750Kv</v>
          </cell>
          <cell r="E2728" t="str">
            <v>m</v>
          </cell>
          <cell r="F2728"/>
          <cell r="G2728">
            <v>1.9</v>
          </cell>
          <cell r="H2728">
            <v>0</v>
          </cell>
        </row>
        <row r="2729">
          <cell r="C2729" t="str">
            <v>16.2.2.74</v>
          </cell>
          <cell r="D2729" t="str">
            <v>Curva De Eletroduto 90° Dn 40Mm</v>
          </cell>
          <cell r="E2729" t="str">
            <v>un</v>
          </cell>
          <cell r="F2729"/>
          <cell r="G2729">
            <v>7.04</v>
          </cell>
          <cell r="H2729">
            <v>0</v>
          </cell>
        </row>
        <row r="2730">
          <cell r="C2730" t="str">
            <v>16.2.2.75</v>
          </cell>
          <cell r="D2730" t="str">
            <v>Eletroduto Flexível Dn 25Mm L=0,5M</v>
          </cell>
          <cell r="E2730" t="str">
            <v>un</v>
          </cell>
          <cell r="F2730"/>
          <cell r="G2730">
            <v>5.71</v>
          </cell>
          <cell r="H2730">
            <v>0</v>
          </cell>
        </row>
        <row r="2731">
          <cell r="C2731" t="str">
            <v>16.2.2.76</v>
          </cell>
          <cell r="D2731" t="str">
            <v>Cabo De Cobre Múltiplo 3X1,5Mm² Pvc 1Kv</v>
          </cell>
          <cell r="E2731" t="str">
            <v>m</v>
          </cell>
          <cell r="F2731"/>
          <cell r="G2731">
            <v>4</v>
          </cell>
          <cell r="H2731">
            <v>0</v>
          </cell>
        </row>
        <row r="2732">
          <cell r="C2732" t="str">
            <v>16.2.2.77</v>
          </cell>
          <cell r="D2732" t="str">
            <v>Cabo De Cobre Múltiplo 4X10,0Mm² Pvc 1Kv</v>
          </cell>
          <cell r="E2732" t="str">
            <v>m</v>
          </cell>
          <cell r="F2732"/>
          <cell r="G2732">
            <v>23.41</v>
          </cell>
          <cell r="H2732">
            <v>0</v>
          </cell>
        </row>
        <row r="2733">
          <cell r="C2733" t="str">
            <v>16.2.2.78</v>
          </cell>
          <cell r="D2733" t="str">
            <v>Cabo De Cobre Múltiplo 4X2,5Mm² Pvc 1Kv</v>
          </cell>
          <cell r="E2733" t="str">
            <v>m</v>
          </cell>
          <cell r="F2733"/>
          <cell r="G2733">
            <v>6.66</v>
          </cell>
          <cell r="H2733">
            <v>0</v>
          </cell>
        </row>
        <row r="2734">
          <cell r="C2734" t="str">
            <v>16.2.2.79</v>
          </cell>
          <cell r="D2734" t="str">
            <v>Cabo De Cobre Nú Seção 25Mm²</v>
          </cell>
          <cell r="E2734" t="str">
            <v>kg</v>
          </cell>
          <cell r="F2734"/>
          <cell r="G2734">
            <v>10.28</v>
          </cell>
          <cell r="H2734">
            <v>0</v>
          </cell>
        </row>
        <row r="2735">
          <cell r="C2735" t="str">
            <v>16.2.2.80</v>
          </cell>
          <cell r="D2735" t="str">
            <v>Fio De Cobre Rígido 2,5Mm²  750V</v>
          </cell>
          <cell r="E2735" t="str">
            <v>m</v>
          </cell>
          <cell r="F2735"/>
          <cell r="G2735">
            <v>1.02</v>
          </cell>
          <cell r="H2735">
            <v>0</v>
          </cell>
        </row>
        <row r="2736">
          <cell r="C2736" t="str">
            <v>16.2.2.81</v>
          </cell>
          <cell r="D2736" t="str">
            <v>Luminária Blindada Para Lâmpada Incandescente De 200W/220V</v>
          </cell>
          <cell r="E2736" t="str">
            <v>un</v>
          </cell>
          <cell r="F2736"/>
          <cell r="G2736">
            <v>42.46</v>
          </cell>
          <cell r="H2736">
            <v>0</v>
          </cell>
        </row>
        <row r="2737">
          <cell r="C2737" t="str">
            <v>16.2.2.82</v>
          </cell>
          <cell r="D2737" t="str">
            <v>Lâmpada Tipo Standard Incandescente 200W/220V</v>
          </cell>
          <cell r="E2737" t="str">
            <v>un</v>
          </cell>
          <cell r="F2737"/>
          <cell r="G2737">
            <v>4.38</v>
          </cell>
          <cell r="H2737">
            <v>0</v>
          </cell>
        </row>
        <row r="2738">
          <cell r="C2738" t="str">
            <v>16.2.2.83</v>
          </cell>
          <cell r="D2738" t="str">
            <v>Interruptor De Luz Simples 10A/220V Com Tomada Universal 2P 15A/250V</v>
          </cell>
          <cell r="E2738" t="str">
            <v>un</v>
          </cell>
          <cell r="F2738"/>
          <cell r="G2738">
            <v>9.77</v>
          </cell>
          <cell r="H2738">
            <v>0</v>
          </cell>
        </row>
        <row r="2739">
          <cell r="C2739" t="str">
            <v>16.2.2.84</v>
          </cell>
          <cell r="D2739" t="str">
            <v>Interruptor De Luz Seção Dupla 10A/250V</v>
          </cell>
          <cell r="E2739" t="str">
            <v>un</v>
          </cell>
          <cell r="F2739"/>
          <cell r="G2739">
            <v>11.05</v>
          </cell>
          <cell r="H2739">
            <v>0</v>
          </cell>
        </row>
        <row r="2740">
          <cell r="C2740" t="str">
            <v>16.2.2.85</v>
          </cell>
          <cell r="D2740" t="str">
            <v>Tomada Universal 2P 10A/250V</v>
          </cell>
          <cell r="E2740" t="str">
            <v>un</v>
          </cell>
          <cell r="F2740"/>
          <cell r="G2740">
            <v>7.23</v>
          </cell>
          <cell r="H2740">
            <v>0</v>
          </cell>
        </row>
        <row r="2741">
          <cell r="C2741" t="str">
            <v>16.2.2.86</v>
          </cell>
          <cell r="D2741" t="str">
            <v>Tomada Blindada Com Tampa Mola 2 Pólos 20A/500V</v>
          </cell>
          <cell r="E2741" t="str">
            <v>un</v>
          </cell>
          <cell r="F2741"/>
          <cell r="G2741">
            <v>29.32</v>
          </cell>
          <cell r="H2741">
            <v>0</v>
          </cell>
        </row>
        <row r="2742">
          <cell r="C2742" t="str">
            <v>16.2.2.87</v>
          </cell>
          <cell r="D2742" t="str">
            <v>Quadro Geral De B.T. Em Caixa Metálica Dim. 600X800Mm Contendo:</v>
          </cell>
          <cell r="E2742" t="str">
            <v>un</v>
          </cell>
          <cell r="F2742"/>
          <cell r="G2742">
            <v>2532.73</v>
          </cell>
          <cell r="H2742">
            <v>0</v>
          </cell>
        </row>
        <row r="2743">
          <cell r="C2743"/>
          <cell r="D2743" t="str">
            <v>- 01 Comutadora E 01 Voltímetro Escala 0-500V</v>
          </cell>
          <cell r="E2743"/>
          <cell r="F2743"/>
          <cell r="G2743">
            <v>0</v>
          </cell>
          <cell r="H2743">
            <v>0</v>
          </cell>
        </row>
        <row r="2744">
          <cell r="C2744"/>
          <cell r="D2744" t="str">
            <v>- 01 Conjuntos De Partida Direta Para Motor De 0,5 Cv</v>
          </cell>
          <cell r="E2744"/>
          <cell r="F2744"/>
          <cell r="G2744">
            <v>0</v>
          </cell>
          <cell r="H2744">
            <v>0</v>
          </cell>
        </row>
        <row r="2745">
          <cell r="C2745"/>
          <cell r="D2745" t="str">
            <v>- 01 Disjuntor Monopolar 10A</v>
          </cell>
          <cell r="E2745"/>
          <cell r="F2745"/>
          <cell r="G2745">
            <v>0</v>
          </cell>
          <cell r="H2745">
            <v>0</v>
          </cell>
        </row>
        <row r="2746">
          <cell r="C2746"/>
          <cell r="D2746" t="str">
            <v>- 01 Disjuntor Monopolar 20A</v>
          </cell>
          <cell r="E2746"/>
          <cell r="F2746"/>
          <cell r="G2746">
            <v>0</v>
          </cell>
          <cell r="H2746">
            <v>0</v>
          </cell>
        </row>
        <row r="2747">
          <cell r="C2747"/>
          <cell r="D2747" t="str">
            <v>- 01 Disjuntor Tripolar 25A</v>
          </cell>
          <cell r="E2747"/>
          <cell r="F2747"/>
          <cell r="G2747">
            <v>0</v>
          </cell>
          <cell r="H2747">
            <v>0</v>
          </cell>
        </row>
        <row r="2748">
          <cell r="C2748"/>
          <cell r="D2748" t="str">
            <v>- 01 Seccionadora Tripolar De Entrada In= 40A</v>
          </cell>
          <cell r="E2748"/>
          <cell r="F2748"/>
          <cell r="G2748">
            <v>0</v>
          </cell>
          <cell r="H2748">
            <v>0</v>
          </cell>
        </row>
        <row r="2749">
          <cell r="C2749"/>
          <cell r="D2749" t="str">
            <v>- 02 Conjuntos De Partida Direta Para Motor De 3 Cv</v>
          </cell>
          <cell r="E2749"/>
          <cell r="F2749"/>
          <cell r="G2749">
            <v>0</v>
          </cell>
          <cell r="H2749">
            <v>0</v>
          </cell>
        </row>
        <row r="2750">
          <cell r="C2750"/>
          <cell r="D2750" t="str">
            <v>- 02 Disjuntor Monopolar 15A</v>
          </cell>
          <cell r="E2750"/>
          <cell r="F2750"/>
          <cell r="G2750">
            <v>0</v>
          </cell>
          <cell r="H2750">
            <v>0</v>
          </cell>
        </row>
        <row r="2751">
          <cell r="C2751"/>
          <cell r="D2751" t="str">
            <v>- 03 Amperímetros Escala 0-40/5A</v>
          </cell>
          <cell r="E2751"/>
          <cell r="F2751"/>
          <cell r="G2751">
            <v>0</v>
          </cell>
          <cell r="H2751">
            <v>0</v>
          </cell>
        </row>
        <row r="2752">
          <cell r="C2752" t="str">
            <v>16.2.2.88</v>
          </cell>
          <cell r="D2752" t="str">
            <v>Quadro De Medição Padrão Cepisa Com Disjuntor Tripolar De 25A</v>
          </cell>
          <cell r="E2752" t="str">
            <v>un</v>
          </cell>
          <cell r="F2752"/>
          <cell r="G2752">
            <v>1543.44</v>
          </cell>
          <cell r="H2752">
            <v>0</v>
          </cell>
        </row>
        <row r="2753">
          <cell r="C2753" t="str">
            <v>16.2.2.89</v>
          </cell>
          <cell r="D2753" t="str">
            <v>Transformador Trifásico, 13,8 Kv, 380/220V, Potência Nominal De 10 Kva</v>
          </cell>
          <cell r="E2753" t="str">
            <v>un</v>
          </cell>
          <cell r="F2753"/>
          <cell r="G2753">
            <v>3115.47</v>
          </cell>
          <cell r="H2753">
            <v>0</v>
          </cell>
        </row>
        <row r="2754">
          <cell r="C2754" t="str">
            <v>16.2.2.90</v>
          </cell>
          <cell r="D2754" t="str">
            <v>Quadro De Medição Padrão Cepisa Com Disjuntor Tripolar De 50A</v>
          </cell>
          <cell r="E2754" t="str">
            <v>un</v>
          </cell>
          <cell r="F2754"/>
          <cell r="G2754">
            <v>1772.09</v>
          </cell>
          <cell r="H2754">
            <v>0</v>
          </cell>
        </row>
        <row r="2755">
          <cell r="C2755" t="str">
            <v>16.2.2.91</v>
          </cell>
          <cell r="D2755" t="str">
            <v>Transformador Trifásico Tensão Primário 13,8 Kv, Tensão No Secundário 380/220V, Potência Nominal De 30 Kva</v>
          </cell>
          <cell r="E2755" t="str">
            <v>un</v>
          </cell>
          <cell r="F2755"/>
          <cell r="G2755">
            <v>4098.38</v>
          </cell>
          <cell r="H2755">
            <v>0</v>
          </cell>
        </row>
        <row r="2756">
          <cell r="C2756" t="str">
            <v>16.2.2.92</v>
          </cell>
          <cell r="D2756" t="str">
            <v>Condulete Dn 25Mm Tipo T</v>
          </cell>
          <cell r="E2756" t="str">
            <v>un</v>
          </cell>
          <cell r="F2756"/>
          <cell r="G2756">
            <v>11.41</v>
          </cell>
          <cell r="H2756">
            <v>0</v>
          </cell>
        </row>
        <row r="2757">
          <cell r="C2757" t="str">
            <v>16.2.2.93</v>
          </cell>
          <cell r="D2757" t="str">
            <v>Condulete Dn 25Mm Tipo C</v>
          </cell>
          <cell r="E2757" t="str">
            <v>un</v>
          </cell>
          <cell r="F2757"/>
          <cell r="G2757">
            <v>11.41</v>
          </cell>
          <cell r="H2757">
            <v>0</v>
          </cell>
        </row>
        <row r="2758">
          <cell r="C2758" t="str">
            <v>16.2.2.94</v>
          </cell>
          <cell r="D2758" t="str">
            <v>Condulete Dn 25Mm Tipo E</v>
          </cell>
          <cell r="E2758" t="str">
            <v>un</v>
          </cell>
          <cell r="F2758"/>
          <cell r="G2758">
            <v>11.41</v>
          </cell>
          <cell r="H2758">
            <v>0</v>
          </cell>
        </row>
        <row r="2759">
          <cell r="C2759" t="str">
            <v>16.2.2.95</v>
          </cell>
          <cell r="D2759" t="str">
            <v>Chave Fusível 100A/15 Kv, Com Elo 1H</v>
          </cell>
          <cell r="E2759" t="str">
            <v>un</v>
          </cell>
          <cell r="F2759"/>
          <cell r="G2759">
            <v>187.15</v>
          </cell>
          <cell r="H2759">
            <v>0</v>
          </cell>
        </row>
        <row r="2760">
          <cell r="C2760" t="str">
            <v>16.2.2.96</v>
          </cell>
          <cell r="D2760" t="str">
            <v>Condulete Dn 25Mm Tipo Lr</v>
          </cell>
          <cell r="E2760" t="str">
            <v>un</v>
          </cell>
          <cell r="F2760"/>
          <cell r="G2760">
            <v>11.41</v>
          </cell>
          <cell r="H2760">
            <v>0</v>
          </cell>
        </row>
        <row r="2761">
          <cell r="C2761" t="str">
            <v>16.2.2.97</v>
          </cell>
          <cell r="D2761" t="str">
            <v>Condulete Dn 25Mm Tipo Lb</v>
          </cell>
          <cell r="E2761" t="str">
            <v>un</v>
          </cell>
          <cell r="F2761"/>
          <cell r="G2761">
            <v>11.41</v>
          </cell>
          <cell r="H2761">
            <v>0</v>
          </cell>
        </row>
        <row r="2762">
          <cell r="C2762" t="str">
            <v>16.2.2.98</v>
          </cell>
          <cell r="D2762" t="str">
            <v>Conectores Para Haste De Aterramento</v>
          </cell>
          <cell r="E2762" t="str">
            <v>un</v>
          </cell>
          <cell r="F2762"/>
          <cell r="G2762">
            <v>6.66</v>
          </cell>
          <cell r="H2762">
            <v>0</v>
          </cell>
        </row>
        <row r="2763">
          <cell r="C2763" t="str">
            <v>16.2.2.99</v>
          </cell>
          <cell r="D2763" t="str">
            <v>Haste De Aterramento Cobreada Ø19Mm L=3M</v>
          </cell>
          <cell r="E2763" t="str">
            <v>un</v>
          </cell>
          <cell r="F2763"/>
          <cell r="G2763">
            <v>14.28</v>
          </cell>
          <cell r="H2763">
            <v>0</v>
          </cell>
        </row>
        <row r="2764">
          <cell r="C2764" t="str">
            <v>16.2.2.100</v>
          </cell>
          <cell r="D2764" t="str">
            <v xml:space="preserve">Poste Duplo T 10M De Comprimento 200Dan </v>
          </cell>
          <cell r="E2764" t="str">
            <v>un</v>
          </cell>
          <cell r="F2764"/>
          <cell r="G2764">
            <v>914.63</v>
          </cell>
          <cell r="H2764">
            <v>0</v>
          </cell>
        </row>
        <row r="2765">
          <cell r="C2765" t="str">
            <v>16.2.2.101</v>
          </cell>
          <cell r="D2765" t="str">
            <v>Para-Raios De Distribuição Vn=12 Kv, Icc=5 Ka, Com Desligador</v>
          </cell>
          <cell r="E2765" t="str">
            <v>un</v>
          </cell>
          <cell r="F2765"/>
          <cell r="G2765">
            <v>475.98</v>
          </cell>
          <cell r="H2765">
            <v>0</v>
          </cell>
        </row>
        <row r="2766">
          <cell r="C2766" t="str">
            <v>16.2.2.102</v>
          </cell>
          <cell r="D2766" t="str">
            <v>Cruzeta De Concreto</v>
          </cell>
          <cell r="E2766" t="str">
            <v>un</v>
          </cell>
          <cell r="F2766"/>
          <cell r="G2766">
            <v>308.68</v>
          </cell>
          <cell r="H2766">
            <v>0</v>
          </cell>
        </row>
        <row r="2767">
          <cell r="C2767" t="str">
            <v>16.2.2.103</v>
          </cell>
          <cell r="D2767" t="str">
            <v>Isolador De Disco Para Rede Classe 15 Kv</v>
          </cell>
          <cell r="E2767" t="str">
            <v>un</v>
          </cell>
          <cell r="F2767"/>
          <cell r="G2767">
            <v>106.67</v>
          </cell>
          <cell r="H2767">
            <v>0</v>
          </cell>
        </row>
        <row r="2768">
          <cell r="C2768" t="str">
            <v>16.3</v>
          </cell>
          <cell r="D2768" t="str">
            <v xml:space="preserve">16.3 - ADUTORA DE ÁGUA  BRUTA </v>
          </cell>
          <cell r="E2768"/>
          <cell r="F2768"/>
          <cell r="G2768">
            <v>0</v>
          </cell>
          <cell r="H2768">
            <v>0</v>
          </cell>
        </row>
        <row r="2769">
          <cell r="C2769" t="str">
            <v>16.3.1</v>
          </cell>
          <cell r="D2769" t="str">
            <v>OBRAS CIVIS E MONTAGEM</v>
          </cell>
          <cell r="E2769"/>
          <cell r="F2769"/>
          <cell r="G2769">
            <v>0</v>
          </cell>
          <cell r="H2769">
            <v>0</v>
          </cell>
        </row>
        <row r="2770">
          <cell r="C2770" t="str">
            <v>16.3.1.1</v>
          </cell>
          <cell r="D2770" t="str">
            <v>Raspagem Da Camada Vegetal, Espessura De 15 Cm, Dmt &lt;= 100 M</v>
          </cell>
          <cell r="E2770" t="str">
            <v>m³</v>
          </cell>
          <cell r="F2770"/>
          <cell r="G2770">
            <v>1.87</v>
          </cell>
          <cell r="H2770">
            <v>0</v>
          </cell>
        </row>
        <row r="2771">
          <cell r="C2771" t="str">
            <v>16.3.1.2</v>
          </cell>
          <cell r="D2771" t="str">
            <v>Escavações Mecânica Em Material De 1ª Categoria Dmt &lt; 300 M</v>
          </cell>
          <cell r="E2771" t="str">
            <v>m³</v>
          </cell>
          <cell r="F2771"/>
          <cell r="G2771">
            <v>5.54</v>
          </cell>
          <cell r="H2771">
            <v>0</v>
          </cell>
        </row>
        <row r="2772">
          <cell r="C2772" t="str">
            <v>16.3.1.3</v>
          </cell>
          <cell r="D2772" t="str">
            <v>Reaterro Manual De Vala, Com Reaproveitamento Do Material Escavado</v>
          </cell>
          <cell r="E2772" t="str">
            <v>m³</v>
          </cell>
          <cell r="F2772"/>
          <cell r="G2772">
            <v>7.41</v>
          </cell>
          <cell r="H2772">
            <v>0</v>
          </cell>
        </row>
        <row r="2773">
          <cell r="C2773" t="str">
            <v>16.3.1.4</v>
          </cell>
          <cell r="D2773" t="str">
            <v>Preparo, Lançamento E Adensamento De Concreto  (Ca-5 E)</v>
          </cell>
          <cell r="E2773" t="str">
            <v>m³</v>
          </cell>
          <cell r="F2773"/>
          <cell r="G2773">
            <v>271.56</v>
          </cell>
          <cell r="H2773">
            <v>0</v>
          </cell>
        </row>
        <row r="2774">
          <cell r="C2774" t="str">
            <v>16.3.1.5</v>
          </cell>
          <cell r="D2774" t="str">
            <v>Montagem De Tubulação Em Ferro Fundido, Dn 100 Mm, Inclusive Acessórios</v>
          </cell>
          <cell r="E2774" t="str">
            <v>m</v>
          </cell>
          <cell r="F2774"/>
          <cell r="G2774">
            <v>4.4400000000000004</v>
          </cell>
          <cell r="H2774">
            <v>0</v>
          </cell>
        </row>
        <row r="2775">
          <cell r="C2775" t="str">
            <v>16.3.1.6</v>
          </cell>
          <cell r="D2775" t="str">
            <v>Montagem De Tubulaçãp Pvc Esgoto Dn 75 Mm, Inclusive Acessórios</v>
          </cell>
          <cell r="E2775" t="str">
            <v>m</v>
          </cell>
          <cell r="F2775"/>
          <cell r="G2775">
            <v>1.76</v>
          </cell>
          <cell r="H2775">
            <v>0</v>
          </cell>
        </row>
        <row r="2776">
          <cell r="C2776" t="str">
            <v>16.3.2</v>
          </cell>
          <cell r="D2776" t="str">
            <v>FORNECIMENTO (O BDI do item 16.3.2 foi reduzido de 40% para 37,2%)</v>
          </cell>
          <cell r="E2776"/>
          <cell r="F2776"/>
          <cell r="G2776">
            <v>0</v>
          </cell>
          <cell r="H2776">
            <v>0</v>
          </cell>
        </row>
        <row r="2777">
          <cell r="C2777" t="str">
            <v>16.3.2.1</v>
          </cell>
          <cell r="D2777" t="str">
            <v>Tubulações E Conexões Em Ferro Fundido</v>
          </cell>
          <cell r="E2777"/>
          <cell r="F2777"/>
          <cell r="G2777">
            <v>0</v>
          </cell>
          <cell r="H2777">
            <v>0</v>
          </cell>
        </row>
        <row r="2778">
          <cell r="C2778" t="str">
            <v>16.3.2.2</v>
          </cell>
          <cell r="D2778" t="str">
            <v>Tubo Tk 7 Je Ffd Dn 100</v>
          </cell>
          <cell r="E2778" t="str">
            <v>m</v>
          </cell>
          <cell r="F2778"/>
          <cell r="G2778">
            <v>88.05</v>
          </cell>
          <cell r="H2778">
            <v>0</v>
          </cell>
        </row>
        <row r="2779">
          <cell r="C2779" t="str">
            <v>16.3.2.3</v>
          </cell>
          <cell r="D2779" t="str">
            <v>Curva C 90º Je Ffd Dn 100</v>
          </cell>
          <cell r="E2779" t="str">
            <v>un</v>
          </cell>
          <cell r="F2779"/>
          <cell r="G2779">
            <v>105.76</v>
          </cell>
          <cell r="H2779">
            <v>0</v>
          </cell>
        </row>
        <row r="2780">
          <cell r="C2780" t="str">
            <v>16.3.2.4</v>
          </cell>
          <cell r="D2780" t="str">
            <v>Curva 45º Je Ffd Dn 100</v>
          </cell>
          <cell r="E2780" t="str">
            <v>un</v>
          </cell>
          <cell r="F2780"/>
          <cell r="G2780">
            <v>105.76</v>
          </cell>
          <cell r="H2780">
            <v>0</v>
          </cell>
        </row>
        <row r="2781">
          <cell r="C2781" t="str">
            <v>16.3.2.5</v>
          </cell>
          <cell r="D2781" t="str">
            <v>Curva C 22º Je Ffd Dn 100</v>
          </cell>
          <cell r="E2781" t="str">
            <v>un</v>
          </cell>
          <cell r="F2781"/>
          <cell r="G2781">
            <v>94.26</v>
          </cell>
          <cell r="H2781">
            <v>0</v>
          </cell>
        </row>
        <row r="2782">
          <cell r="C2782" t="str">
            <v>16.3.2.6</v>
          </cell>
          <cell r="D2782" t="str">
            <v>Conexões Em Pvc</v>
          </cell>
          <cell r="E2782" t="str">
            <v>cj</v>
          </cell>
          <cell r="F2782"/>
          <cell r="G2782">
            <v>411.15</v>
          </cell>
          <cell r="H2782">
            <v>0</v>
          </cell>
        </row>
        <row r="2783">
          <cell r="C2783" t="str">
            <v>16.3.2.7</v>
          </cell>
          <cell r="D2783" t="str">
            <v>Tubo Pvc/Esgoto Dn 75</v>
          </cell>
          <cell r="E2783" t="str">
            <v>un</v>
          </cell>
          <cell r="F2783"/>
          <cell r="G2783">
            <v>34.89</v>
          </cell>
          <cell r="H2783">
            <v>0</v>
          </cell>
        </row>
        <row r="2784">
          <cell r="C2784" t="str">
            <v>16.4</v>
          </cell>
          <cell r="D2784" t="str">
            <v xml:space="preserve">16.4 - CAIXA COM VENTOSA </v>
          </cell>
          <cell r="E2784"/>
          <cell r="F2784"/>
          <cell r="G2784">
            <v>0</v>
          </cell>
          <cell r="H2784">
            <v>0</v>
          </cell>
        </row>
        <row r="2785">
          <cell r="C2785" t="str">
            <v>16.4.1</v>
          </cell>
          <cell r="D2785" t="str">
            <v>OBRAS CIVIS E MONTAGEM</v>
          </cell>
          <cell r="E2785"/>
          <cell r="F2785"/>
          <cell r="G2785">
            <v>0</v>
          </cell>
          <cell r="H2785">
            <v>0</v>
          </cell>
        </row>
        <row r="2786">
          <cell r="C2786" t="str">
            <v>16.4.1.1</v>
          </cell>
          <cell r="D2786" t="str">
            <v>Escavações Mecânica Em Material De 1ª Categoria Dmt &lt; 300 M</v>
          </cell>
          <cell r="E2786" t="str">
            <v>m³</v>
          </cell>
          <cell r="F2786"/>
          <cell r="G2786">
            <v>5.54</v>
          </cell>
          <cell r="H2786">
            <v>0</v>
          </cell>
        </row>
        <row r="2787">
          <cell r="C2787" t="str">
            <v>16.4.1.2</v>
          </cell>
          <cell r="D2787" t="str">
            <v>Reaterro Compactado Com Reaproveitamento Do Material Escavado</v>
          </cell>
          <cell r="E2787" t="str">
            <v>m³</v>
          </cell>
          <cell r="F2787"/>
          <cell r="G2787">
            <v>7.41</v>
          </cell>
          <cell r="H2787">
            <v>0</v>
          </cell>
        </row>
        <row r="2788">
          <cell r="C2788" t="str">
            <v>16.4.1.3</v>
          </cell>
          <cell r="D2788" t="str">
            <v>Armadura P/ Concreto Estrutural Aço Ca-50 B</v>
          </cell>
          <cell r="E2788" t="str">
            <v>kg</v>
          </cell>
          <cell r="F2788"/>
          <cell r="G2788">
            <v>3.87</v>
          </cell>
          <cell r="H2788">
            <v>0</v>
          </cell>
        </row>
        <row r="2789">
          <cell r="C2789" t="str">
            <v>16.4.1.4</v>
          </cell>
          <cell r="D2789" t="str">
            <v>Formas Planas Para Concreto</v>
          </cell>
          <cell r="E2789" t="str">
            <v>m²</v>
          </cell>
          <cell r="F2789"/>
          <cell r="G2789">
            <v>53.52</v>
          </cell>
          <cell r="H2789">
            <v>0</v>
          </cell>
        </row>
        <row r="2790">
          <cell r="C2790" t="str">
            <v>16.4.1.5</v>
          </cell>
          <cell r="D2790" t="str">
            <v>Preparo, Lançamento E Adensamento De Concreto  (Ca-5 E)</v>
          </cell>
          <cell r="E2790" t="str">
            <v>m³</v>
          </cell>
          <cell r="F2790"/>
          <cell r="G2790">
            <v>271.56</v>
          </cell>
          <cell r="H2790">
            <v>0</v>
          </cell>
        </row>
        <row r="2791">
          <cell r="C2791" t="str">
            <v>16.4.1.6</v>
          </cell>
          <cell r="D2791" t="str">
            <v>Preparo, Lançamento E Adensamento De Concreto  (Ca-8 J)</v>
          </cell>
          <cell r="E2791" t="str">
            <v>m³</v>
          </cell>
          <cell r="F2791"/>
          <cell r="G2791">
            <v>222.4</v>
          </cell>
          <cell r="H2791">
            <v>0</v>
          </cell>
        </row>
        <row r="2792">
          <cell r="C2792" t="str">
            <v>16.4.1.7</v>
          </cell>
          <cell r="D2792" t="str">
            <v>Colchão De Brita</v>
          </cell>
          <cell r="E2792" t="str">
            <v>m³</v>
          </cell>
          <cell r="F2792"/>
          <cell r="G2792">
            <v>63.2</v>
          </cell>
          <cell r="H2792">
            <v>0</v>
          </cell>
        </row>
        <row r="2793">
          <cell r="C2793" t="str">
            <v>16.4.1.8</v>
          </cell>
          <cell r="D2793" t="str">
            <v>Montagem De Tubulação De Pvc Dn 100, Inclusive Acessórios</v>
          </cell>
          <cell r="E2793" t="str">
            <v>m</v>
          </cell>
          <cell r="F2793"/>
          <cell r="G2793">
            <v>11.6</v>
          </cell>
          <cell r="H2793">
            <v>0</v>
          </cell>
        </row>
        <row r="2794">
          <cell r="C2794" t="str">
            <v>16.4.2</v>
          </cell>
          <cell r="D2794" t="str">
            <v>FORNECIMENTO (O BDI do item 16.4.2 foi reduzido de 40% para 37,2%)</v>
          </cell>
          <cell r="E2794"/>
          <cell r="F2794"/>
          <cell r="G2794">
            <v>0</v>
          </cell>
          <cell r="H2794">
            <v>0</v>
          </cell>
        </row>
        <row r="2795">
          <cell r="C2795" t="str">
            <v>16.4.2.1</v>
          </cell>
          <cell r="D2795" t="str">
            <v>Extremidade Ef Je 10 Ffd Dn 100</v>
          </cell>
          <cell r="E2795" t="str">
            <v>un</v>
          </cell>
          <cell r="F2795"/>
          <cell r="G2795">
            <v>91.95</v>
          </cell>
          <cell r="H2795">
            <v>0</v>
          </cell>
        </row>
        <row r="2796">
          <cell r="C2796" t="str">
            <v>16.4.2.2</v>
          </cell>
          <cell r="D2796" t="str">
            <v>Tê Tff 10 Ffd Dn 100 X 50</v>
          </cell>
          <cell r="E2796" t="str">
            <v>un</v>
          </cell>
          <cell r="F2796"/>
          <cell r="G2796">
            <v>229.56</v>
          </cell>
          <cell r="H2796">
            <v>0</v>
          </cell>
        </row>
        <row r="2797">
          <cell r="C2797" t="str">
            <v>16.4.2.3</v>
          </cell>
          <cell r="D2797" t="str">
            <v>Extremidade Efd 10 Ffd Dn 100</v>
          </cell>
          <cell r="E2797" t="str">
            <v>un</v>
          </cell>
          <cell r="F2797"/>
          <cell r="G2797">
            <v>88.79</v>
          </cell>
          <cell r="H2797">
            <v>0</v>
          </cell>
        </row>
        <row r="2798">
          <cell r="C2798" t="str">
            <v>16.4.2.4</v>
          </cell>
          <cell r="D2798" t="str">
            <v>Tubo Pvc/Esgoto Dn 100</v>
          </cell>
          <cell r="E2798" t="str">
            <v>un</v>
          </cell>
          <cell r="F2798"/>
          <cell r="G2798">
            <v>43.26</v>
          </cell>
          <cell r="H2798">
            <v>0</v>
          </cell>
        </row>
        <row r="2799">
          <cell r="C2799" t="str">
            <v>16.4.2.5</v>
          </cell>
          <cell r="D2799" t="str">
            <v>Conexões Em Pvc</v>
          </cell>
          <cell r="E2799" t="str">
            <v>cj</v>
          </cell>
          <cell r="F2799"/>
          <cell r="G2799">
            <v>67.89</v>
          </cell>
          <cell r="H2799">
            <v>0</v>
          </cell>
        </row>
        <row r="2800">
          <cell r="C2800" t="str">
            <v>16.4.2.6</v>
          </cell>
          <cell r="D2800" t="str">
            <v>Ventosa</v>
          </cell>
          <cell r="E2800" t="str">
            <v>un</v>
          </cell>
          <cell r="F2800"/>
          <cell r="G2800">
            <v>199.91</v>
          </cell>
          <cell r="H2800">
            <v>0</v>
          </cell>
        </row>
        <row r="2801">
          <cell r="C2801" t="str">
            <v>16.5</v>
          </cell>
          <cell r="D2801" t="str">
            <v>16.5 - CAIXA COM REGISTRO DE DESCARGA</v>
          </cell>
          <cell r="E2801"/>
          <cell r="F2801"/>
          <cell r="G2801">
            <v>0</v>
          </cell>
          <cell r="H2801">
            <v>0</v>
          </cell>
        </row>
        <row r="2802">
          <cell r="C2802" t="str">
            <v>16.5.1</v>
          </cell>
          <cell r="D2802" t="str">
            <v>OBRAS CIVIS E MONTAGEM</v>
          </cell>
          <cell r="E2802"/>
          <cell r="F2802"/>
          <cell r="G2802">
            <v>0</v>
          </cell>
          <cell r="H2802">
            <v>0</v>
          </cell>
        </row>
        <row r="2803">
          <cell r="C2803" t="str">
            <v>16.5.1.1</v>
          </cell>
          <cell r="D2803" t="str">
            <v>Escavações Mecânica Em Material De 1ª Categoria Dmt &lt; 300 M</v>
          </cell>
          <cell r="E2803" t="str">
            <v>m³</v>
          </cell>
          <cell r="F2803"/>
          <cell r="G2803">
            <v>5.54</v>
          </cell>
          <cell r="H2803">
            <v>0</v>
          </cell>
        </row>
        <row r="2804">
          <cell r="C2804" t="str">
            <v>16.5.1.2</v>
          </cell>
          <cell r="D2804" t="str">
            <v>Reaterro Compactado Com Reaproveitamento Do Material Escavado</v>
          </cell>
          <cell r="E2804" t="str">
            <v>m³</v>
          </cell>
          <cell r="F2804"/>
          <cell r="G2804">
            <v>7.41</v>
          </cell>
          <cell r="H2804">
            <v>0</v>
          </cell>
        </row>
        <row r="2805">
          <cell r="C2805" t="str">
            <v>16.5.1.3</v>
          </cell>
          <cell r="D2805" t="str">
            <v>Armadura P/ Concreto Estrutural Aço Ca-50 B</v>
          </cell>
          <cell r="E2805" t="str">
            <v>kg</v>
          </cell>
          <cell r="F2805"/>
          <cell r="G2805">
            <v>3.87</v>
          </cell>
          <cell r="H2805">
            <v>0</v>
          </cell>
        </row>
        <row r="2806">
          <cell r="C2806" t="str">
            <v>16.5.1.4</v>
          </cell>
          <cell r="D2806" t="str">
            <v>Formas Planas Para Concreto</v>
          </cell>
          <cell r="E2806" t="str">
            <v>m²</v>
          </cell>
          <cell r="F2806"/>
          <cell r="G2806">
            <v>53.52</v>
          </cell>
          <cell r="H2806">
            <v>0</v>
          </cell>
        </row>
        <row r="2807">
          <cell r="C2807" t="str">
            <v>16.5.1.5</v>
          </cell>
          <cell r="D2807" t="str">
            <v>Preparo, Lançamento E Adensamento De Concreto  (Ca-5 E)</v>
          </cell>
          <cell r="E2807" t="str">
            <v>m³</v>
          </cell>
          <cell r="F2807"/>
          <cell r="G2807">
            <v>271.56</v>
          </cell>
          <cell r="H2807">
            <v>0</v>
          </cell>
        </row>
        <row r="2808">
          <cell r="C2808" t="str">
            <v>16.5.1.6</v>
          </cell>
          <cell r="D2808" t="str">
            <v>Preparo, Lançamento E Adensamento De Concreto  (Ca-8 J)</v>
          </cell>
          <cell r="E2808" t="str">
            <v>m³</v>
          </cell>
          <cell r="F2808"/>
          <cell r="G2808">
            <v>222.4</v>
          </cell>
          <cell r="H2808">
            <v>0</v>
          </cell>
        </row>
        <row r="2809">
          <cell r="C2809" t="str">
            <v>16.5.1.7</v>
          </cell>
          <cell r="D2809" t="str">
            <v>Colchão De Brita</v>
          </cell>
          <cell r="E2809" t="str">
            <v>m³</v>
          </cell>
          <cell r="F2809"/>
          <cell r="G2809">
            <v>63.2</v>
          </cell>
          <cell r="H2809">
            <v>0</v>
          </cell>
        </row>
        <row r="2810">
          <cell r="C2810" t="str">
            <v>16.5.1.8</v>
          </cell>
          <cell r="D2810" t="str">
            <v>Montagem De Tubulação De  Pvc Esgoto Dn 100, Inclusive Acessórios</v>
          </cell>
          <cell r="E2810" t="str">
            <v>m</v>
          </cell>
          <cell r="F2810"/>
          <cell r="G2810">
            <v>11.6</v>
          </cell>
          <cell r="H2810">
            <v>0</v>
          </cell>
        </row>
        <row r="2811">
          <cell r="C2811" t="str">
            <v>16.5.2</v>
          </cell>
          <cell r="D2811" t="str">
            <v>FORNECIMENTO (O BDI do item 16.5.2 foi reduzido de 40% para 37,2%)</v>
          </cell>
          <cell r="E2811"/>
          <cell r="F2811"/>
          <cell r="G2811">
            <v>0</v>
          </cell>
          <cell r="H2811">
            <v>0</v>
          </cell>
        </row>
        <row r="2812">
          <cell r="C2812" t="str">
            <v>16.5.2.1</v>
          </cell>
          <cell r="D2812" t="str">
            <v>Extremidade Efje 10 Dn 100</v>
          </cell>
          <cell r="E2812" t="str">
            <v>un</v>
          </cell>
          <cell r="F2812"/>
          <cell r="G2812">
            <v>91.95</v>
          </cell>
          <cell r="H2812">
            <v>0</v>
          </cell>
        </row>
        <row r="2813">
          <cell r="C2813" t="str">
            <v>16.5.2.2</v>
          </cell>
          <cell r="D2813" t="str">
            <v>Extremidade Efp10 Je Ffd Dn 100</v>
          </cell>
          <cell r="E2813" t="str">
            <v>un</v>
          </cell>
          <cell r="F2813"/>
          <cell r="G2813">
            <v>88.79</v>
          </cell>
          <cell r="H2813">
            <v>0</v>
          </cell>
        </row>
        <row r="2814">
          <cell r="C2814" t="str">
            <v>16.5.2.3</v>
          </cell>
          <cell r="D2814" t="str">
            <v>Tê Tff 10 Ffd Dn 100 X 75</v>
          </cell>
          <cell r="E2814" t="str">
            <v>un</v>
          </cell>
          <cell r="F2814"/>
          <cell r="G2814">
            <v>211.5</v>
          </cell>
          <cell r="H2814">
            <v>0</v>
          </cell>
        </row>
        <row r="2815">
          <cell r="C2815" t="str">
            <v>16.5.2.4</v>
          </cell>
          <cell r="D2815" t="str">
            <v>Curva C 90º Ffd  Dn 75</v>
          </cell>
          <cell r="E2815" t="str">
            <v>un</v>
          </cell>
          <cell r="F2815"/>
          <cell r="G2815">
            <v>79.459999999999994</v>
          </cell>
          <cell r="H2815">
            <v>0</v>
          </cell>
        </row>
        <row r="2816">
          <cell r="C2816" t="str">
            <v>16.5.2.5</v>
          </cell>
          <cell r="D2816" t="str">
            <v>Flange Avulso Fa 10 Ffd Dn 75</v>
          </cell>
          <cell r="E2816" t="str">
            <v>un</v>
          </cell>
          <cell r="F2816"/>
          <cell r="G2816">
            <v>36.79</v>
          </cell>
          <cell r="H2816">
            <v>0</v>
          </cell>
        </row>
        <row r="2817">
          <cell r="C2817" t="str">
            <v>16.5.2.6</v>
          </cell>
          <cell r="D2817" t="str">
            <v>Tubo Pvc/Esgoto Dn 100</v>
          </cell>
          <cell r="E2817" t="str">
            <v>un</v>
          </cell>
          <cell r="F2817"/>
          <cell r="G2817">
            <v>43.26</v>
          </cell>
          <cell r="H2817">
            <v>0</v>
          </cell>
        </row>
        <row r="2818">
          <cell r="C2818" t="str">
            <v>16.5.2.7</v>
          </cell>
          <cell r="D2818" t="str">
            <v>Conexões Em Pvc</v>
          </cell>
          <cell r="E2818" t="str">
            <v>cj</v>
          </cell>
          <cell r="F2818"/>
          <cell r="G2818">
            <v>2187.8000000000002</v>
          </cell>
          <cell r="H2818">
            <v>0</v>
          </cell>
        </row>
        <row r="2819">
          <cell r="C2819" t="str">
            <v>16.5.2.8</v>
          </cell>
          <cell r="D2819" t="str">
            <v>Válvula Borboleta Wafer C/ Alavanca Ffd Dn 75</v>
          </cell>
          <cell r="E2819" t="str">
            <v>un</v>
          </cell>
          <cell r="F2819"/>
          <cell r="G2819">
            <v>317.27999999999997</v>
          </cell>
          <cell r="H2819">
            <v>0</v>
          </cell>
        </row>
        <row r="2820">
          <cell r="C2820" t="str">
            <v>16.6</v>
          </cell>
          <cell r="D2820" t="str">
            <v xml:space="preserve">16.6 - ESTAÇÃO DE TRATAMENTO DE ÁGUA </v>
          </cell>
          <cell r="E2820"/>
          <cell r="F2820"/>
          <cell r="G2820">
            <v>0</v>
          </cell>
          <cell r="H2820">
            <v>0</v>
          </cell>
        </row>
        <row r="2821">
          <cell r="C2821" t="str">
            <v>16.6.1</v>
          </cell>
          <cell r="D2821" t="str">
            <v>OBRAS CIVIS E MONTAGEM</v>
          </cell>
          <cell r="E2821"/>
          <cell r="F2821"/>
          <cell r="G2821">
            <v>0</v>
          </cell>
          <cell r="H2821">
            <v>0</v>
          </cell>
        </row>
        <row r="2822">
          <cell r="C2822" t="str">
            <v>16.6.1.1</v>
          </cell>
          <cell r="D2822" t="str">
            <v xml:space="preserve">Desmatamento, Destocamento E Limpeza De Terreno </v>
          </cell>
          <cell r="E2822" t="str">
            <v>ha</v>
          </cell>
          <cell r="F2822"/>
          <cell r="G2822">
            <v>1660.74</v>
          </cell>
          <cell r="H2822">
            <v>0</v>
          </cell>
        </row>
        <row r="2823">
          <cell r="C2823" t="str">
            <v>16.6.1.2</v>
          </cell>
          <cell r="D2823" t="str">
            <v>Cercas Padrão Rural</v>
          </cell>
          <cell r="E2823" t="str">
            <v>m</v>
          </cell>
          <cell r="F2823"/>
          <cell r="G2823">
            <v>16.73</v>
          </cell>
          <cell r="H2823">
            <v>0</v>
          </cell>
        </row>
        <row r="2824">
          <cell r="C2824" t="str">
            <v>16.6.1.3</v>
          </cell>
          <cell r="D2824" t="str">
            <v>Raspagem Da Camada Vegetal E = 15 Cm, Com Dmt &lt;= 100 M</v>
          </cell>
          <cell r="E2824" t="str">
            <v>m³</v>
          </cell>
          <cell r="F2824"/>
          <cell r="G2824">
            <v>1.87</v>
          </cell>
          <cell r="H2824">
            <v>0</v>
          </cell>
        </row>
        <row r="2825">
          <cell r="C2825" t="str">
            <v>16.6.1.4</v>
          </cell>
          <cell r="D2825" t="str">
            <v>Escavação Mecânica Em Material De 1ª Categoria, Dmt &lt;= 300 M</v>
          </cell>
          <cell r="E2825" t="str">
            <v>m³</v>
          </cell>
          <cell r="F2825"/>
          <cell r="G2825">
            <v>5.54</v>
          </cell>
          <cell r="H2825">
            <v>0</v>
          </cell>
        </row>
        <row r="2826">
          <cell r="C2826" t="str">
            <v>16.6.1.5</v>
          </cell>
          <cell r="D2826" t="str">
            <v>Reaterro Compactado Com Reaproveitamento Do Material Escavado</v>
          </cell>
          <cell r="E2826" t="str">
            <v>m³</v>
          </cell>
          <cell r="F2826"/>
          <cell r="G2826">
            <v>7.41</v>
          </cell>
          <cell r="H2826">
            <v>0</v>
          </cell>
        </row>
        <row r="2827">
          <cell r="C2827" t="str">
            <v>16.6.1.6</v>
          </cell>
          <cell r="D2827" t="str">
            <v>Colchão De Brita</v>
          </cell>
          <cell r="E2827" t="str">
            <v>m³</v>
          </cell>
          <cell r="F2827"/>
          <cell r="G2827">
            <v>63.2</v>
          </cell>
          <cell r="H2827">
            <v>0</v>
          </cell>
        </row>
        <row r="2828">
          <cell r="C2828" t="str">
            <v>16.6.1.7</v>
          </cell>
          <cell r="D2828" t="str">
            <v>Preparo, Lançamento E Adensamento De Concreto  (Ca-5 E)</v>
          </cell>
          <cell r="E2828" t="str">
            <v>m³</v>
          </cell>
          <cell r="F2828"/>
          <cell r="G2828">
            <v>271.56</v>
          </cell>
          <cell r="H2828">
            <v>0</v>
          </cell>
        </row>
        <row r="2829">
          <cell r="C2829" t="str">
            <v>16.6.1.8</v>
          </cell>
          <cell r="D2829" t="str">
            <v>Preparo, Lançamento E Adensamento De Concreto  (Ca-3 E)</v>
          </cell>
          <cell r="E2829" t="str">
            <v>m³</v>
          </cell>
          <cell r="F2829"/>
          <cell r="G2829">
            <v>293.22000000000003</v>
          </cell>
          <cell r="H2829">
            <v>0</v>
          </cell>
        </row>
        <row r="2830">
          <cell r="C2830" t="str">
            <v>16.6.1.9</v>
          </cell>
          <cell r="D2830" t="str">
            <v>Preparo, Lançamento E Adensamento De Concreto  (Ca-8 J)</v>
          </cell>
          <cell r="E2830" t="str">
            <v>m³</v>
          </cell>
          <cell r="F2830"/>
          <cell r="G2830">
            <v>222.4</v>
          </cell>
          <cell r="H2830">
            <v>0</v>
          </cell>
        </row>
        <row r="2831">
          <cell r="C2831" t="str">
            <v>16.6.1.10</v>
          </cell>
          <cell r="D2831" t="str">
            <v>Armadura P/ Concreto Estrutural Aço Ca-50 B</v>
          </cell>
          <cell r="E2831" t="str">
            <v>kg</v>
          </cell>
          <cell r="F2831"/>
          <cell r="G2831">
            <v>3.87</v>
          </cell>
          <cell r="H2831">
            <v>0</v>
          </cell>
        </row>
        <row r="2832">
          <cell r="C2832" t="str">
            <v>16.6.1.11</v>
          </cell>
          <cell r="D2832" t="str">
            <v>Alvenaria De Tijolo Cerâmico 6 X 11 X 20  E = 15 Cm</v>
          </cell>
          <cell r="E2832" t="str">
            <v>m²</v>
          </cell>
          <cell r="F2832"/>
          <cell r="G2832">
            <v>46.65</v>
          </cell>
          <cell r="H2832">
            <v>0</v>
          </cell>
        </row>
        <row r="2833">
          <cell r="C2833" t="str">
            <v>16.6.1.12</v>
          </cell>
          <cell r="D2833" t="str">
            <v>Formas Planas P/ Concreto</v>
          </cell>
          <cell r="E2833" t="str">
            <v>m²</v>
          </cell>
          <cell r="F2833"/>
          <cell r="G2833">
            <v>53.52</v>
          </cell>
          <cell r="H2833">
            <v>0</v>
          </cell>
        </row>
        <row r="2834">
          <cell r="C2834" t="str">
            <v>16.6.1.13</v>
          </cell>
          <cell r="D2834" t="str">
            <v>Chapisco</v>
          </cell>
          <cell r="E2834" t="str">
            <v>m²</v>
          </cell>
          <cell r="F2834"/>
          <cell r="G2834">
            <v>8.77</v>
          </cell>
          <cell r="H2834">
            <v>0</v>
          </cell>
        </row>
        <row r="2835">
          <cell r="C2835" t="str">
            <v>16.6.1.14</v>
          </cell>
          <cell r="D2835" t="str">
            <v>Emboço</v>
          </cell>
          <cell r="E2835" t="str">
            <v>m²</v>
          </cell>
          <cell r="F2835"/>
          <cell r="G2835">
            <v>19.12</v>
          </cell>
          <cell r="H2835">
            <v>0</v>
          </cell>
        </row>
        <row r="2836">
          <cell r="C2836" t="str">
            <v>16.6.1.15</v>
          </cell>
          <cell r="D2836" t="str">
            <v>Reboco</v>
          </cell>
          <cell r="E2836" t="str">
            <v>m²</v>
          </cell>
          <cell r="F2836"/>
          <cell r="G2836">
            <v>13.25</v>
          </cell>
          <cell r="H2836">
            <v>0</v>
          </cell>
        </row>
        <row r="2837">
          <cell r="C2837" t="str">
            <v>16.6.1.16</v>
          </cell>
          <cell r="D2837" t="str">
            <v>Cobertura Com Telha De Fibrocimento Ondulado E = 6 Mm, Com Madeiramento</v>
          </cell>
          <cell r="E2837" t="str">
            <v>m²</v>
          </cell>
          <cell r="F2837"/>
          <cell r="G2837">
            <v>90.78</v>
          </cell>
          <cell r="H2837">
            <v>0</v>
          </cell>
        </row>
        <row r="2838">
          <cell r="C2838" t="str">
            <v>16.6.1.17</v>
          </cell>
          <cell r="D2838" t="str">
            <v>Piso Cimentado</v>
          </cell>
          <cell r="E2838" t="str">
            <v>m²</v>
          </cell>
          <cell r="F2838"/>
          <cell r="G2838">
            <v>14.97</v>
          </cell>
          <cell r="H2838">
            <v>0</v>
          </cell>
        </row>
        <row r="2839">
          <cell r="C2839" t="str">
            <v>16.6.1.18</v>
          </cell>
          <cell r="D2839" t="str">
            <v>Meio-Fio De Pedra</v>
          </cell>
          <cell r="E2839" t="str">
            <v>m</v>
          </cell>
          <cell r="F2839"/>
          <cell r="G2839">
            <v>12.4</v>
          </cell>
          <cell r="H2839">
            <v>0</v>
          </cell>
        </row>
        <row r="2840">
          <cell r="C2840" t="str">
            <v>16.6.1.19</v>
          </cell>
          <cell r="D2840" t="str">
            <v>Piso Cimentado</v>
          </cell>
          <cell r="E2840" t="str">
            <v>m²</v>
          </cell>
          <cell r="F2840"/>
          <cell r="G2840">
            <v>14.97</v>
          </cell>
          <cell r="H2840">
            <v>0</v>
          </cell>
        </row>
        <row r="2841">
          <cell r="C2841" t="str">
            <v>16.6.1.20</v>
          </cell>
          <cell r="D2841" t="str">
            <v>Pavimentação Com Saibro</v>
          </cell>
          <cell r="E2841" t="str">
            <v>m²</v>
          </cell>
          <cell r="F2841"/>
          <cell r="G2841">
            <v>1.73</v>
          </cell>
          <cell r="H2841">
            <v>0</v>
          </cell>
        </row>
        <row r="2842">
          <cell r="C2842" t="str">
            <v>16.6.1.21</v>
          </cell>
          <cell r="D2842" t="str">
            <v>Porta Em Ferro Lisa</v>
          </cell>
          <cell r="E2842" t="str">
            <v>m²</v>
          </cell>
          <cell r="F2842"/>
          <cell r="G2842">
            <v>483.83</v>
          </cell>
          <cell r="H2842">
            <v>0</v>
          </cell>
        </row>
        <row r="2843">
          <cell r="C2843" t="str">
            <v>16.6.1.22</v>
          </cell>
          <cell r="D2843" t="str">
            <v xml:space="preserve">Veneziana </v>
          </cell>
          <cell r="E2843" t="str">
            <v>m²</v>
          </cell>
          <cell r="F2843"/>
          <cell r="G2843">
            <v>358.97</v>
          </cell>
          <cell r="H2843">
            <v>0</v>
          </cell>
        </row>
        <row r="2844">
          <cell r="C2844" t="str">
            <v>16.6.1.23</v>
          </cell>
          <cell r="D2844" t="str">
            <v>Porta Em Ferro Com Duas Folhas De Abrir Em Chapa Estampada C/ Veneziana</v>
          </cell>
          <cell r="E2844" t="str">
            <v>m²</v>
          </cell>
          <cell r="F2844"/>
          <cell r="G2844">
            <v>483.83</v>
          </cell>
          <cell r="H2844">
            <v>0</v>
          </cell>
        </row>
        <row r="2845">
          <cell r="C2845" t="str">
            <v>16.6.1.24</v>
          </cell>
          <cell r="D2845" t="str">
            <v>Portão</v>
          </cell>
          <cell r="E2845" t="str">
            <v>un</v>
          </cell>
          <cell r="F2845"/>
          <cell r="G2845">
            <v>1312.14</v>
          </cell>
          <cell r="H2845">
            <v>0</v>
          </cell>
        </row>
        <row r="2846">
          <cell r="C2846" t="str">
            <v>16.6.1.25</v>
          </cell>
          <cell r="D2846" t="str">
            <v>Janela Em Ferro De Correr Com Vidro</v>
          </cell>
          <cell r="E2846" t="str">
            <v>m²</v>
          </cell>
          <cell r="F2846"/>
          <cell r="G2846">
            <v>358.38</v>
          </cell>
          <cell r="H2846">
            <v>0</v>
          </cell>
        </row>
        <row r="2847">
          <cell r="C2847" t="str">
            <v>16.6.1.26</v>
          </cell>
          <cell r="D2847" t="str">
            <v>Torneira Para Lavatório</v>
          </cell>
          <cell r="E2847" t="str">
            <v>un</v>
          </cell>
          <cell r="F2847"/>
          <cell r="G2847">
            <v>73.510000000000005</v>
          </cell>
          <cell r="H2847">
            <v>0</v>
          </cell>
        </row>
        <row r="2848">
          <cell r="C2848" t="str">
            <v>16.6.1.27</v>
          </cell>
          <cell r="D2848" t="str">
            <v>Vaso Sanitária</v>
          </cell>
          <cell r="E2848" t="str">
            <v>un</v>
          </cell>
          <cell r="F2848"/>
          <cell r="G2848">
            <v>263.32</v>
          </cell>
          <cell r="H2848">
            <v>0</v>
          </cell>
        </row>
        <row r="2849">
          <cell r="C2849" t="str">
            <v>16.6.1.28</v>
          </cell>
          <cell r="D2849" t="str">
            <v>Lavatório</v>
          </cell>
          <cell r="E2849" t="str">
            <v>un</v>
          </cell>
          <cell r="F2849"/>
          <cell r="G2849">
            <v>127.7</v>
          </cell>
          <cell r="H2849">
            <v>0</v>
          </cell>
        </row>
        <row r="2850">
          <cell r="C2850" t="str">
            <v>16.6.1.29</v>
          </cell>
          <cell r="D2850" t="str">
            <v>Tubo De Pvc Soldável Dn 25</v>
          </cell>
          <cell r="E2850" t="str">
            <v>m</v>
          </cell>
          <cell r="F2850"/>
          <cell r="G2850">
            <v>1.69</v>
          </cell>
          <cell r="H2850">
            <v>0</v>
          </cell>
        </row>
        <row r="2851">
          <cell r="C2851" t="str">
            <v>16.6.1.30</v>
          </cell>
          <cell r="D2851" t="str">
            <v>Chuveiro Elétrico</v>
          </cell>
          <cell r="E2851" t="str">
            <v>un</v>
          </cell>
          <cell r="F2851"/>
          <cell r="G2851">
            <v>52.09</v>
          </cell>
          <cell r="H2851">
            <v>0</v>
          </cell>
        </row>
        <row r="2852">
          <cell r="C2852" t="str">
            <v>16.6.1.31</v>
          </cell>
          <cell r="D2852" t="str">
            <v>Torneira Para Pia</v>
          </cell>
          <cell r="E2852" t="str">
            <v>un</v>
          </cell>
          <cell r="F2852"/>
          <cell r="G2852">
            <v>73.09</v>
          </cell>
          <cell r="H2852">
            <v>0</v>
          </cell>
        </row>
        <row r="2853">
          <cell r="C2853" t="str">
            <v>16.6.1.32</v>
          </cell>
          <cell r="D2853" t="str">
            <v>Balcão C/ Pia Inox Dimensões 1,55 X 0,55 X 0,9 M</v>
          </cell>
          <cell r="E2853" t="str">
            <v>un</v>
          </cell>
          <cell r="F2853"/>
          <cell r="G2853">
            <v>432.99</v>
          </cell>
          <cell r="H2853">
            <v>0</v>
          </cell>
        </row>
        <row r="2854">
          <cell r="C2854" t="str">
            <v>16.6.1.33</v>
          </cell>
          <cell r="D2854" t="str">
            <v>Registro De Gaveta Dn 25</v>
          </cell>
          <cell r="E2854" t="str">
            <v>un</v>
          </cell>
          <cell r="F2854"/>
          <cell r="G2854">
            <v>38.67</v>
          </cell>
          <cell r="H2854">
            <v>0</v>
          </cell>
        </row>
        <row r="2855">
          <cell r="C2855" t="str">
            <v>16.6.1.34</v>
          </cell>
          <cell r="D2855" t="str">
            <v>Tubo Pvc Soldável Dn 25</v>
          </cell>
          <cell r="E2855" t="str">
            <v>m</v>
          </cell>
          <cell r="F2855"/>
          <cell r="G2855">
            <v>1.69</v>
          </cell>
          <cell r="H2855">
            <v>0</v>
          </cell>
        </row>
        <row r="2856">
          <cell r="C2856" t="str">
            <v>16.6.1.35</v>
          </cell>
          <cell r="D2856" t="str">
            <v>Curva 90º Pvc Soldável Dn 25</v>
          </cell>
          <cell r="E2856" t="str">
            <v>un</v>
          </cell>
          <cell r="F2856"/>
          <cell r="G2856">
            <v>1.37</v>
          </cell>
          <cell r="H2856">
            <v>0</v>
          </cell>
        </row>
        <row r="2857">
          <cell r="C2857" t="str">
            <v>16.6.1.36</v>
          </cell>
          <cell r="D2857" t="str">
            <v>Caixa  Sifonada</v>
          </cell>
          <cell r="E2857" t="str">
            <v>un</v>
          </cell>
          <cell r="F2857"/>
          <cell r="G2857">
            <v>9.6199999999999992</v>
          </cell>
          <cell r="H2857">
            <v>0</v>
          </cell>
        </row>
        <row r="2858">
          <cell r="C2858" t="str">
            <v>16.6.1.37</v>
          </cell>
          <cell r="D2858" t="str">
            <v>Tê Pvc Soldável Dn 25</v>
          </cell>
          <cell r="E2858" t="str">
            <v>un</v>
          </cell>
          <cell r="F2858"/>
          <cell r="G2858">
            <v>0.62</v>
          </cell>
          <cell r="H2858">
            <v>0</v>
          </cell>
        </row>
        <row r="2859">
          <cell r="C2859" t="str">
            <v>16.6.1.38</v>
          </cell>
          <cell r="D2859" t="str">
            <v>Registro Gaveta Dn 25</v>
          </cell>
          <cell r="E2859" t="str">
            <v>un</v>
          </cell>
          <cell r="F2859"/>
          <cell r="G2859">
            <v>66.53</v>
          </cell>
          <cell r="H2859">
            <v>0</v>
          </cell>
        </row>
        <row r="2860">
          <cell r="C2860" t="str">
            <v>16.6.1.39</v>
          </cell>
          <cell r="D2860" t="str">
            <v>Fossa Séptica</v>
          </cell>
          <cell r="E2860" t="str">
            <v>un</v>
          </cell>
          <cell r="F2860"/>
          <cell r="G2860">
            <v>762.92</v>
          </cell>
          <cell r="H2860">
            <v>0</v>
          </cell>
        </row>
        <row r="2861">
          <cell r="C2861" t="str">
            <v>16.6.1.40</v>
          </cell>
          <cell r="D2861" t="str">
            <v>Tubo Pvc Esgoto Dn 100</v>
          </cell>
          <cell r="E2861" t="str">
            <v>m</v>
          </cell>
          <cell r="F2861"/>
          <cell r="G2861">
            <v>6.25</v>
          </cell>
          <cell r="H2861">
            <v>0</v>
          </cell>
        </row>
        <row r="2862">
          <cell r="C2862" t="str">
            <v>16.6.1.41</v>
          </cell>
          <cell r="D2862" t="str">
            <v>Registro De Pressão Dn 25</v>
          </cell>
          <cell r="E2862" t="str">
            <v>un</v>
          </cell>
          <cell r="F2862"/>
          <cell r="G2862">
            <v>119.86</v>
          </cell>
          <cell r="H2862">
            <v>0</v>
          </cell>
        </row>
        <row r="2863">
          <cell r="C2863" t="str">
            <v>16.6.1.42</v>
          </cell>
          <cell r="D2863" t="str">
            <v>Caixa De Descarga</v>
          </cell>
          <cell r="E2863" t="str">
            <v>un</v>
          </cell>
          <cell r="F2863"/>
          <cell r="G2863">
            <v>331.96</v>
          </cell>
          <cell r="H2863">
            <v>0</v>
          </cell>
        </row>
        <row r="2864">
          <cell r="C2864" t="str">
            <v>16.6.1.43</v>
          </cell>
          <cell r="D2864" t="str">
            <v>Tubo Pvc Esgoto Dn 40</v>
          </cell>
          <cell r="E2864" t="str">
            <v>m</v>
          </cell>
          <cell r="F2864"/>
          <cell r="G2864">
            <v>4.57</v>
          </cell>
          <cell r="H2864">
            <v>0</v>
          </cell>
        </row>
        <row r="2865">
          <cell r="C2865" t="str">
            <v>16.6.1.44</v>
          </cell>
          <cell r="D2865" t="str">
            <v>Reservatório De Fibrocimento Cap. 100 L</v>
          </cell>
          <cell r="E2865" t="str">
            <v>un</v>
          </cell>
          <cell r="F2865"/>
          <cell r="G2865">
            <v>27.87</v>
          </cell>
          <cell r="H2865">
            <v>0</v>
          </cell>
        </row>
        <row r="2866">
          <cell r="C2866" t="str">
            <v>16.6.1.45</v>
          </cell>
          <cell r="D2866" t="str">
            <v>Tubo Pvc/Esgoto Dn 100</v>
          </cell>
          <cell r="E2866" t="str">
            <v>m</v>
          </cell>
          <cell r="F2866"/>
          <cell r="G2866">
            <v>6.25</v>
          </cell>
          <cell r="H2866">
            <v>0</v>
          </cell>
        </row>
        <row r="2867">
          <cell r="C2867" t="str">
            <v>16.6.1.46</v>
          </cell>
          <cell r="D2867" t="str">
            <v>Portão Padrão Rural Tipo Ii</v>
          </cell>
          <cell r="E2867" t="str">
            <v>un</v>
          </cell>
          <cell r="F2867"/>
          <cell r="G2867">
            <v>1643.51</v>
          </cell>
          <cell r="H2867">
            <v>0</v>
          </cell>
        </row>
        <row r="2868">
          <cell r="C2868" t="str">
            <v>16.6.1.47</v>
          </cell>
          <cell r="D2868" t="str">
            <v>Tubo Pvc/Esgoto Dn 40</v>
          </cell>
          <cell r="E2868" t="str">
            <v>m</v>
          </cell>
          <cell r="F2868"/>
          <cell r="G2868">
            <v>4.57</v>
          </cell>
          <cell r="H2868">
            <v>0</v>
          </cell>
        </row>
        <row r="2869">
          <cell r="C2869" t="str">
            <v>16.6.1.48</v>
          </cell>
          <cell r="D2869" t="str">
            <v>Ralo Seco Dn 40</v>
          </cell>
          <cell r="E2869" t="str">
            <v>un</v>
          </cell>
          <cell r="F2869"/>
          <cell r="G2869">
            <v>5.0599999999999996</v>
          </cell>
          <cell r="H2869">
            <v>0</v>
          </cell>
        </row>
        <row r="2870">
          <cell r="C2870" t="str">
            <v>16.6.1.49</v>
          </cell>
          <cell r="D2870" t="str">
            <v>Caixa Sifonada</v>
          </cell>
          <cell r="E2870" t="str">
            <v>un</v>
          </cell>
          <cell r="F2870"/>
          <cell r="G2870">
            <v>9.6199999999999992</v>
          </cell>
          <cell r="H2870">
            <v>0</v>
          </cell>
        </row>
        <row r="2871">
          <cell r="C2871" t="str">
            <v>16.6.1.50</v>
          </cell>
          <cell r="D2871" t="str">
            <v>Plantio De Grama</v>
          </cell>
          <cell r="E2871" t="str">
            <v>m²</v>
          </cell>
          <cell r="F2871"/>
          <cell r="G2871">
            <v>4.79</v>
          </cell>
          <cell r="H2871">
            <v>0</v>
          </cell>
        </row>
        <row r="2872">
          <cell r="C2872" t="str">
            <v>16.6.1.51</v>
          </cell>
          <cell r="D2872" t="str">
            <v>Plantio De Vegetação De Grande Porte</v>
          </cell>
          <cell r="E2872" t="str">
            <v>un</v>
          </cell>
          <cell r="F2872"/>
          <cell r="G2872">
            <v>77.7</v>
          </cell>
          <cell r="H2872">
            <v>0</v>
          </cell>
        </row>
        <row r="2873">
          <cell r="C2873" t="str">
            <v>16.6.1.52</v>
          </cell>
          <cell r="D2873" t="str">
            <v>Plantio De Vegetação De Médio Porte</v>
          </cell>
          <cell r="E2873" t="str">
            <v>un</v>
          </cell>
          <cell r="F2873"/>
          <cell r="G2873">
            <v>56.03</v>
          </cell>
          <cell r="H2873">
            <v>0</v>
          </cell>
        </row>
        <row r="2874">
          <cell r="C2874" t="str">
            <v>16.6.1.53</v>
          </cell>
          <cell r="D2874" t="str">
            <v>Montagem De Tubulação Em Fºgº, Ø2", Inclusive Acessórios</v>
          </cell>
          <cell r="E2874" t="str">
            <v>m</v>
          </cell>
          <cell r="F2874"/>
          <cell r="G2874">
            <v>9.52</v>
          </cell>
          <cell r="H2874">
            <v>0</v>
          </cell>
        </row>
        <row r="2875">
          <cell r="C2875" t="str">
            <v>16.6.1.54</v>
          </cell>
          <cell r="D2875" t="str">
            <v>Montagem De  Conjunto Motobomba Q=3,0 L/S, Amt=17,30 M.C.A., 1,5 Cv</v>
          </cell>
          <cell r="E2875" t="str">
            <v>un</v>
          </cell>
          <cell r="F2875"/>
          <cell r="G2875">
            <v>129.44999999999999</v>
          </cell>
          <cell r="H2875">
            <v>0</v>
          </cell>
        </row>
        <row r="2876">
          <cell r="C2876" t="str">
            <v>16.6.1.55</v>
          </cell>
          <cell r="D2876" t="str">
            <v>Montagem De Tubulação Em Fº Gº, Ø3", Inclusive Acessórios</v>
          </cell>
          <cell r="E2876" t="str">
            <v>m</v>
          </cell>
          <cell r="F2876"/>
          <cell r="G2876">
            <v>11.19</v>
          </cell>
          <cell r="H2876">
            <v>0</v>
          </cell>
        </row>
        <row r="2877">
          <cell r="C2877" t="str">
            <v>16.6.1.56</v>
          </cell>
          <cell r="D2877" t="str">
            <v>Montagem De  Eta Tipo Compacta Para Vazão De 11 M³/H</v>
          </cell>
          <cell r="E2877" t="str">
            <v>un</v>
          </cell>
          <cell r="F2877"/>
          <cell r="G2877">
            <v>5884.61</v>
          </cell>
          <cell r="H2877">
            <v>0</v>
          </cell>
        </row>
        <row r="2878">
          <cell r="C2878" t="str">
            <v>16.6.1.57</v>
          </cell>
          <cell r="D2878" t="str">
            <v>Válvula Bóia P/ Reservatório</v>
          </cell>
          <cell r="E2878" t="str">
            <v>un</v>
          </cell>
          <cell r="F2878"/>
          <cell r="G2878">
            <v>199.38</v>
          </cell>
          <cell r="H2878">
            <v>0</v>
          </cell>
        </row>
        <row r="2879">
          <cell r="C2879" t="str">
            <v>16.6.1.58</v>
          </cell>
          <cell r="D2879" t="str">
            <v>Montagem De Tubulação Em Fº Gº, Ø4", Inclusive Acessórios</v>
          </cell>
          <cell r="E2879" t="str">
            <v>m</v>
          </cell>
          <cell r="F2879"/>
          <cell r="G2879">
            <v>16.18</v>
          </cell>
          <cell r="H2879">
            <v>0</v>
          </cell>
        </row>
        <row r="2880">
          <cell r="C2880" t="str">
            <v>16.6.1.59</v>
          </cell>
          <cell r="D2880" t="str">
            <v>Montagem De  Conjunto Motobomba Q=6,75 L/S, Amt=18,10 M.C.A., 3 Cv</v>
          </cell>
          <cell r="E2880" t="str">
            <v>un</v>
          </cell>
          <cell r="F2880"/>
          <cell r="G2880">
            <v>162.01</v>
          </cell>
          <cell r="H2880">
            <v>0</v>
          </cell>
        </row>
        <row r="2881">
          <cell r="C2881" t="str">
            <v>16.6.1.60</v>
          </cell>
          <cell r="D2881" t="str">
            <v>Montagem De  Eta Tipo Compacta Para Vazão De 25 M³/H</v>
          </cell>
          <cell r="E2881" t="str">
            <v>un</v>
          </cell>
          <cell r="F2881"/>
          <cell r="G2881">
            <v>7061.54</v>
          </cell>
          <cell r="H2881">
            <v>0</v>
          </cell>
        </row>
        <row r="2882">
          <cell r="C2882" t="str">
            <v>16.6.1.61</v>
          </cell>
          <cell r="D2882" t="str">
            <v>Montagem De Tubulação Em Fºgº Ø4", Inclusive Acessórios</v>
          </cell>
          <cell r="E2882" t="str">
            <v>m</v>
          </cell>
          <cell r="F2882"/>
          <cell r="G2882">
            <v>24.55</v>
          </cell>
          <cell r="H2882">
            <v>0</v>
          </cell>
        </row>
        <row r="2883">
          <cell r="C2883" t="str">
            <v>16.6.1.62</v>
          </cell>
          <cell r="D2883" t="str">
            <v>Montagem De Conjunto Motobomba Q=2,83 L/S, Amt=31,70 M.C.A., 5 Cv</v>
          </cell>
          <cell r="E2883" t="str">
            <v>un</v>
          </cell>
          <cell r="F2883"/>
          <cell r="G2883">
            <v>307.83</v>
          </cell>
          <cell r="H2883">
            <v>0</v>
          </cell>
        </row>
        <row r="2884">
          <cell r="C2884" t="str">
            <v>16.6.1.63</v>
          </cell>
          <cell r="D2884" t="str">
            <v>Montagem De Conjunto Motobomba Q=40 M³/H, Amt=10,00 M.C.A., 2,5 A 3 Cv</v>
          </cell>
          <cell r="E2884" t="str">
            <v>un</v>
          </cell>
          <cell r="F2884"/>
          <cell r="G2884">
            <v>259.22000000000003</v>
          </cell>
          <cell r="H2884">
            <v>0</v>
          </cell>
        </row>
        <row r="2885">
          <cell r="C2885" t="str">
            <v>16.6.1.64</v>
          </cell>
          <cell r="D2885" t="str">
            <v>Montagem De Eta Tipo Compacta Para Vazão De 15 M³/H</v>
          </cell>
          <cell r="E2885" t="str">
            <v>un</v>
          </cell>
          <cell r="F2885"/>
          <cell r="G2885">
            <v>6355.39</v>
          </cell>
          <cell r="H2885">
            <v>0</v>
          </cell>
        </row>
        <row r="2886">
          <cell r="C2886" t="str">
            <v>16.6.1.65</v>
          </cell>
          <cell r="D2886" t="str">
            <v>Montagem De Eletroduto De Pvc Rígido Dn 25Mm L=3M</v>
          </cell>
          <cell r="E2886" t="str">
            <v>un</v>
          </cell>
          <cell r="F2886"/>
          <cell r="G2886">
            <v>3.32</v>
          </cell>
          <cell r="H2886">
            <v>0</v>
          </cell>
        </row>
        <row r="2887">
          <cell r="C2887" t="str">
            <v>16.6.1.66</v>
          </cell>
          <cell r="D2887" t="str">
            <v>Montagem De Eletroduto De Pvc Rígido Dn 32Mm L=3M</v>
          </cell>
          <cell r="E2887" t="str">
            <v>un</v>
          </cell>
          <cell r="F2887"/>
          <cell r="G2887">
            <v>5.0599999999999996</v>
          </cell>
          <cell r="H2887">
            <v>0</v>
          </cell>
        </row>
        <row r="2888">
          <cell r="C2888" t="str">
            <v>16.6.1.67</v>
          </cell>
          <cell r="D2888" t="str">
            <v>Montagem De  Cabo De Cobre Múltiplo 4X4,0Mm² Pvc 1Kv</v>
          </cell>
          <cell r="E2888" t="str">
            <v>m</v>
          </cell>
          <cell r="F2888"/>
          <cell r="G2888">
            <v>4.29</v>
          </cell>
          <cell r="H2888">
            <v>0</v>
          </cell>
        </row>
        <row r="2889">
          <cell r="C2889" t="str">
            <v>16.6.1.68</v>
          </cell>
          <cell r="D2889" t="str">
            <v>Montagem De Eletroduto De Pvc Rígido Dn 40Mm L=3M</v>
          </cell>
          <cell r="E2889" t="str">
            <v>un</v>
          </cell>
          <cell r="F2889"/>
          <cell r="G2889">
            <v>11.26</v>
          </cell>
          <cell r="H2889">
            <v>0</v>
          </cell>
        </row>
        <row r="2890">
          <cell r="C2890" t="str">
            <v>16.6.1.69</v>
          </cell>
          <cell r="D2890" t="str">
            <v>Montagem De Eletroduto De Pvc Rígido Dn 50Mm L=3M</v>
          </cell>
          <cell r="E2890" t="str">
            <v>un</v>
          </cell>
          <cell r="F2890"/>
          <cell r="G2890">
            <v>14.64</v>
          </cell>
          <cell r="H2890">
            <v>0</v>
          </cell>
        </row>
        <row r="2891">
          <cell r="C2891" t="str">
            <v>16.6.1.70</v>
          </cell>
          <cell r="D2891" t="str">
            <v>Montagem De Eletroduto Flexível Dn 25Mm L=0,5M</v>
          </cell>
          <cell r="E2891" t="str">
            <v>un</v>
          </cell>
          <cell r="F2891"/>
          <cell r="G2891">
            <v>3.56</v>
          </cell>
          <cell r="H2891">
            <v>0</v>
          </cell>
        </row>
        <row r="2892">
          <cell r="C2892" t="str">
            <v>16.6.1.71</v>
          </cell>
          <cell r="D2892" t="str">
            <v>Montagem De  Cabo De Cobre Nú Seção 25Mm²</v>
          </cell>
          <cell r="E2892" t="str">
            <v>kg</v>
          </cell>
          <cell r="F2892"/>
          <cell r="G2892">
            <v>10.039999999999999</v>
          </cell>
          <cell r="H2892">
            <v>0</v>
          </cell>
        </row>
        <row r="2893">
          <cell r="C2893" t="str">
            <v>16.6.1.72</v>
          </cell>
          <cell r="D2893" t="str">
            <v>Montagem De Cabo De Cobre Múltiplo 2X1,5Mm² Pvc 1Kv</v>
          </cell>
          <cell r="E2893" t="str">
            <v>m</v>
          </cell>
          <cell r="F2893"/>
          <cell r="G2893">
            <v>0.95</v>
          </cell>
          <cell r="H2893">
            <v>0</v>
          </cell>
        </row>
        <row r="2894">
          <cell r="C2894" t="str">
            <v>16.6.1.73</v>
          </cell>
          <cell r="D2894" t="str">
            <v>Montagem De  Luminária Blindada Para Lâmpada Incandescente De 200W/220V</v>
          </cell>
          <cell r="E2894" t="str">
            <v>un</v>
          </cell>
          <cell r="F2894"/>
          <cell r="G2894">
            <v>47.52</v>
          </cell>
          <cell r="H2894">
            <v>0</v>
          </cell>
        </row>
        <row r="2895">
          <cell r="C2895" t="str">
            <v>16.6.1.74</v>
          </cell>
          <cell r="D2895" t="str">
            <v>Montagem De Cabo De Cobre Múltiplo 4X4,0Mm² Pvc 1Kv</v>
          </cell>
          <cell r="E2895" t="str">
            <v>m</v>
          </cell>
          <cell r="F2895"/>
          <cell r="G2895">
            <v>4.29</v>
          </cell>
          <cell r="H2895">
            <v>0</v>
          </cell>
        </row>
        <row r="2896">
          <cell r="C2896" t="str">
            <v>16.6.1.75</v>
          </cell>
          <cell r="D2896" t="str">
            <v>Montagem De Cabo De Cobre Múltiplo 3X1,5Mm² Pvc 1Kv</v>
          </cell>
          <cell r="E2896" t="str">
            <v>m</v>
          </cell>
          <cell r="F2896"/>
          <cell r="G2896">
            <v>2.84</v>
          </cell>
          <cell r="H2896">
            <v>0</v>
          </cell>
        </row>
        <row r="2897">
          <cell r="C2897" t="str">
            <v>16.6.1.76</v>
          </cell>
          <cell r="D2897" t="str">
            <v>Montagem De Cabo De Cobre Múltiplo 4X2,5Mm² Pvc 1Kv</v>
          </cell>
          <cell r="E2897" t="str">
            <v>m</v>
          </cell>
          <cell r="F2897"/>
          <cell r="G2897">
            <v>2.69</v>
          </cell>
          <cell r="H2897">
            <v>0</v>
          </cell>
        </row>
        <row r="2898">
          <cell r="C2898" t="str">
            <v>16.6.1.77</v>
          </cell>
          <cell r="D2898" t="str">
            <v>Montagem De Cabo De Cobre Nú Seção 25Mm²</v>
          </cell>
          <cell r="E2898" t="str">
            <v>kg</v>
          </cell>
          <cell r="F2898"/>
          <cell r="G2898">
            <v>10.039999999999999</v>
          </cell>
          <cell r="H2898">
            <v>0</v>
          </cell>
        </row>
        <row r="2899">
          <cell r="C2899" t="str">
            <v>16.6.1.78</v>
          </cell>
          <cell r="D2899" t="str">
            <v>Montagem De Cabo De Cobre Múltiplo 4X4,0Mm² Pvc 1Kv</v>
          </cell>
          <cell r="E2899" t="str">
            <v>m</v>
          </cell>
          <cell r="F2899"/>
          <cell r="G2899">
            <v>4.29</v>
          </cell>
          <cell r="H2899">
            <v>0</v>
          </cell>
        </row>
        <row r="2900">
          <cell r="C2900" t="str">
            <v>16.6.1.79</v>
          </cell>
          <cell r="D2900" t="str">
            <v>Montagem De Cabo De Cobre Singelo 4Mm² Pvc 750V</v>
          </cell>
          <cell r="E2900" t="str">
            <v>m</v>
          </cell>
          <cell r="F2900"/>
          <cell r="G2900">
            <v>0.42</v>
          </cell>
          <cell r="H2900">
            <v>0</v>
          </cell>
        </row>
        <row r="2901">
          <cell r="C2901" t="str">
            <v>16.6.1.80</v>
          </cell>
          <cell r="D2901" t="str">
            <v>Montagem De Fio De Cobre Rígido 2,5Mm²  750V</v>
          </cell>
          <cell r="E2901" t="str">
            <v>m</v>
          </cell>
          <cell r="F2901"/>
          <cell r="G2901">
            <v>0.24</v>
          </cell>
          <cell r="H2901">
            <v>0</v>
          </cell>
        </row>
        <row r="2902">
          <cell r="C2902" t="str">
            <v>16.6.1.81</v>
          </cell>
          <cell r="D2902" t="str">
            <v>Montagem De Luminária Blindada Para Lâmpada Incandescente De 200W/220V</v>
          </cell>
          <cell r="E2902" t="str">
            <v>un</v>
          </cell>
          <cell r="F2902"/>
          <cell r="G2902">
            <v>47.52</v>
          </cell>
          <cell r="H2902">
            <v>0</v>
          </cell>
        </row>
        <row r="2903">
          <cell r="C2903" t="str">
            <v>16.6.1.82</v>
          </cell>
          <cell r="D2903" t="str">
            <v>Montagem De  Quadro Geral De B.T. Em Caixa Metálica Ø600X800Mm Contendo:</v>
          </cell>
          <cell r="E2903" t="str">
            <v>un</v>
          </cell>
          <cell r="F2903"/>
          <cell r="G2903">
            <v>705.73</v>
          </cell>
          <cell r="H2903">
            <v>0</v>
          </cell>
        </row>
        <row r="2904">
          <cell r="C2904"/>
          <cell r="D2904" t="str">
            <v>- 01 Seccionadora Tripolar De Entrada In= 40A</v>
          </cell>
          <cell r="E2904"/>
          <cell r="F2904"/>
          <cell r="G2904">
            <v>0</v>
          </cell>
          <cell r="H2904">
            <v>0</v>
          </cell>
        </row>
        <row r="2905">
          <cell r="C2905"/>
          <cell r="D2905" t="str">
            <v>- 03 Amperímetros Escala 0-40/5A</v>
          </cell>
          <cell r="E2905"/>
          <cell r="F2905"/>
          <cell r="G2905">
            <v>0</v>
          </cell>
          <cell r="H2905">
            <v>0</v>
          </cell>
        </row>
        <row r="2906">
          <cell r="C2906"/>
          <cell r="D2906" t="str">
            <v>- 01 Comutadora E 01 Voltímetro Escala 0-500V</v>
          </cell>
          <cell r="E2906"/>
          <cell r="F2906"/>
          <cell r="G2906">
            <v>0</v>
          </cell>
          <cell r="H2906">
            <v>0</v>
          </cell>
        </row>
        <row r="2907">
          <cell r="C2907"/>
          <cell r="D2907" t="str">
            <v>- 02 Conjuntos De Partida Direta Para Motor De 5 Cv</v>
          </cell>
          <cell r="E2907"/>
          <cell r="F2907"/>
          <cell r="G2907">
            <v>0</v>
          </cell>
          <cell r="H2907">
            <v>0</v>
          </cell>
        </row>
        <row r="2908">
          <cell r="C2908"/>
          <cell r="D2908" t="str">
            <v>- 01 Disjuntor Monopolar 10A</v>
          </cell>
          <cell r="E2908"/>
          <cell r="F2908"/>
          <cell r="G2908">
            <v>0</v>
          </cell>
          <cell r="H2908">
            <v>0</v>
          </cell>
        </row>
        <row r="2909">
          <cell r="C2909"/>
          <cell r="D2909" t="str">
            <v>- 01 Disjuntor Monopolar 15A</v>
          </cell>
          <cell r="E2909"/>
          <cell r="F2909"/>
          <cell r="G2909">
            <v>0</v>
          </cell>
          <cell r="H2909">
            <v>0</v>
          </cell>
        </row>
        <row r="2910">
          <cell r="C2910"/>
          <cell r="D2910" t="str">
            <v>- 01 Disjuntor Monopolar 20A</v>
          </cell>
          <cell r="E2910"/>
          <cell r="F2910"/>
          <cell r="G2910">
            <v>0</v>
          </cell>
          <cell r="H2910">
            <v>0</v>
          </cell>
        </row>
        <row r="2911">
          <cell r="C2911"/>
          <cell r="D2911" t="str">
            <v>- 01 Disjuntor Tripolar 25A</v>
          </cell>
          <cell r="E2911"/>
          <cell r="F2911"/>
          <cell r="G2911">
            <v>0</v>
          </cell>
          <cell r="H2911">
            <v>0</v>
          </cell>
        </row>
        <row r="2912">
          <cell r="C2912" t="str">
            <v>16.6.1.83</v>
          </cell>
          <cell r="D2912" t="str">
            <v>Montagem De Interruptor De Luz Simples 10A/220V Com Tomada Universal 2P 15A/250V</v>
          </cell>
          <cell r="E2912" t="str">
            <v>un</v>
          </cell>
          <cell r="F2912"/>
          <cell r="G2912">
            <v>2.19</v>
          </cell>
          <cell r="H2912">
            <v>0</v>
          </cell>
        </row>
        <row r="2913">
          <cell r="C2913" t="str">
            <v>16.6.1.84</v>
          </cell>
          <cell r="D2913" t="str">
            <v>Montagem De Interruptor De Luz Seção Dupla 10A/250V</v>
          </cell>
          <cell r="E2913" t="str">
            <v>un</v>
          </cell>
          <cell r="F2913"/>
          <cell r="G2913">
            <v>3.53</v>
          </cell>
          <cell r="H2913">
            <v>0</v>
          </cell>
        </row>
        <row r="2914">
          <cell r="C2914" t="str">
            <v>16.6.1.85</v>
          </cell>
          <cell r="D2914" t="str">
            <v>Montagem De Tomada Universal 2P 10A/250V</v>
          </cell>
          <cell r="E2914" t="str">
            <v>un</v>
          </cell>
          <cell r="F2914"/>
          <cell r="G2914">
            <v>2.2999999999999998</v>
          </cell>
          <cell r="H2914">
            <v>0</v>
          </cell>
        </row>
        <row r="2915">
          <cell r="C2915" t="str">
            <v>16.6.1.86</v>
          </cell>
          <cell r="D2915" t="str">
            <v>Montagem De Tomada Blindada Com Tampa Mola 2 Pólos 20A/500V</v>
          </cell>
          <cell r="E2915" t="str">
            <v>un</v>
          </cell>
          <cell r="F2915"/>
          <cell r="G2915">
            <v>31.11</v>
          </cell>
          <cell r="H2915">
            <v>0</v>
          </cell>
        </row>
        <row r="2916">
          <cell r="C2916" t="str">
            <v>16.6.1.87</v>
          </cell>
          <cell r="D2916" t="str">
            <v>Montagem De Tomada Blindada Com Tampa Mola 3 Pólos  + Terra 20A/500V</v>
          </cell>
          <cell r="E2916" t="str">
            <v>un</v>
          </cell>
          <cell r="F2916"/>
          <cell r="G2916">
            <v>34.36</v>
          </cell>
          <cell r="H2916">
            <v>0</v>
          </cell>
        </row>
        <row r="2917">
          <cell r="C2917" t="str">
            <v>16.6.1.88</v>
          </cell>
          <cell r="D2917" t="str">
            <v>Montagem De Quadro Geral De B.T. Em Caixa Metálica Dim. 600X800Mm Contendo:</v>
          </cell>
          <cell r="E2917" t="str">
            <v>un</v>
          </cell>
          <cell r="F2917"/>
          <cell r="G2917">
            <v>705.73</v>
          </cell>
          <cell r="H2917">
            <v>0</v>
          </cell>
        </row>
        <row r="2918">
          <cell r="C2918" t="str">
            <v>16.6.1.89</v>
          </cell>
          <cell r="D2918" t="str">
            <v>Montagem De  Quadro De Medição Padrão Cepisa Com Disjuntor Tripolar De 25A</v>
          </cell>
          <cell r="E2918" t="str">
            <v>un</v>
          </cell>
          <cell r="F2918"/>
          <cell r="G2918">
            <v>346.44</v>
          </cell>
          <cell r="H2918">
            <v>0</v>
          </cell>
        </row>
        <row r="2919">
          <cell r="C2919" t="str">
            <v>16.6.1.90</v>
          </cell>
          <cell r="D2919" t="str">
            <v>Montagem De  Transformador Trifásico Tensão Primário 13,8 Kv, Tensão No Secundário 380/220V, Potência Nominal De 10 Kva</v>
          </cell>
          <cell r="E2919" t="str">
            <v>un</v>
          </cell>
          <cell r="F2919"/>
          <cell r="G2919">
            <v>349.66</v>
          </cell>
          <cell r="H2919">
            <v>0</v>
          </cell>
        </row>
        <row r="2920">
          <cell r="C2920" t="str">
            <v>16.6.1.91</v>
          </cell>
          <cell r="D2920" t="str">
            <v>Montagem De Quadro De Medição Padrão Cepisa Com Disjuntor Tripolar De 25A</v>
          </cell>
          <cell r="E2920" t="str">
            <v>un</v>
          </cell>
          <cell r="F2920"/>
          <cell r="G2920">
            <v>346.44</v>
          </cell>
          <cell r="H2920">
            <v>0</v>
          </cell>
        </row>
        <row r="2921">
          <cell r="C2921" t="str">
            <v>16.6.1.92</v>
          </cell>
          <cell r="D2921" t="str">
            <v>Montagem De Condulete Dn 25Mm Tipo T</v>
          </cell>
          <cell r="E2921" t="str">
            <v>un</v>
          </cell>
          <cell r="F2921"/>
          <cell r="G2921">
            <v>4.0199999999999996</v>
          </cell>
          <cell r="H2921">
            <v>0</v>
          </cell>
        </row>
        <row r="2922">
          <cell r="C2922" t="str">
            <v>16.6.1.93</v>
          </cell>
          <cell r="D2922" t="str">
            <v>Montagem De Condulete Dn 25Mm Tipo C</v>
          </cell>
          <cell r="E2922" t="str">
            <v>un</v>
          </cell>
          <cell r="F2922"/>
          <cell r="G2922">
            <v>4.0199999999999996</v>
          </cell>
          <cell r="H2922">
            <v>0</v>
          </cell>
        </row>
        <row r="2923">
          <cell r="C2923" t="str">
            <v>16.6.1.94</v>
          </cell>
          <cell r="D2923" t="str">
            <v>Montagem De Condulete Dn 25Mm Tipo E</v>
          </cell>
          <cell r="E2923" t="str">
            <v>un</v>
          </cell>
          <cell r="F2923"/>
          <cell r="G2923">
            <v>4.0199999999999996</v>
          </cell>
          <cell r="H2923">
            <v>0</v>
          </cell>
        </row>
        <row r="2924">
          <cell r="C2924" t="str">
            <v>16.6.1.95</v>
          </cell>
          <cell r="D2924" t="str">
            <v>Montagem De Condulete Dn 25Mm Tipo Lr</v>
          </cell>
          <cell r="E2924" t="str">
            <v>un</v>
          </cell>
          <cell r="F2924"/>
          <cell r="G2924">
            <v>4.0199999999999996</v>
          </cell>
          <cell r="H2924">
            <v>0</v>
          </cell>
        </row>
        <row r="2925">
          <cell r="C2925" t="str">
            <v>16.6.1.96</v>
          </cell>
          <cell r="D2925" t="str">
            <v>Montagem De Condulete Dn 25Mm Tipo Lb</v>
          </cell>
          <cell r="E2925" t="str">
            <v>un</v>
          </cell>
          <cell r="F2925"/>
          <cell r="G2925">
            <v>4.0199999999999996</v>
          </cell>
          <cell r="H2925">
            <v>0</v>
          </cell>
        </row>
        <row r="2926">
          <cell r="C2926" t="str">
            <v>16.6.1.97</v>
          </cell>
          <cell r="D2926" t="str">
            <v xml:space="preserve">Montagem De  Poste Duplo T 10M De Comprimento 200Dan </v>
          </cell>
          <cell r="E2926" t="str">
            <v>un</v>
          </cell>
          <cell r="F2926"/>
          <cell r="G2926">
            <v>205.3</v>
          </cell>
          <cell r="H2926">
            <v>0</v>
          </cell>
        </row>
        <row r="2927">
          <cell r="C2927" t="str">
            <v>16.6.1.98</v>
          </cell>
          <cell r="D2927" t="str">
            <v>Montagem De Condulete Dn 32Mm Tipo Lr</v>
          </cell>
          <cell r="E2927" t="str">
            <v>un</v>
          </cell>
          <cell r="F2927"/>
          <cell r="G2927">
            <v>5.56</v>
          </cell>
          <cell r="H2927">
            <v>0</v>
          </cell>
        </row>
        <row r="2928">
          <cell r="C2928" t="str">
            <v>16.6.1.99</v>
          </cell>
          <cell r="D2928" t="str">
            <v>Montagem De Condulete Dn 32Mm Tipo T</v>
          </cell>
          <cell r="E2928" t="str">
            <v>un</v>
          </cell>
          <cell r="F2928"/>
          <cell r="G2928">
            <v>5.56</v>
          </cell>
          <cell r="H2928">
            <v>0</v>
          </cell>
        </row>
        <row r="2929">
          <cell r="C2929" t="str">
            <v>16.6.1.100</v>
          </cell>
          <cell r="D2929" t="str">
            <v>Montagem De  Chave Fusível 100A/15 Kv, Com Elo 1H</v>
          </cell>
          <cell r="E2929" t="str">
            <v>un</v>
          </cell>
          <cell r="F2929"/>
          <cell r="G2929">
            <v>118.67</v>
          </cell>
          <cell r="H2929">
            <v>0</v>
          </cell>
        </row>
        <row r="2930">
          <cell r="C2930" t="str">
            <v>16.6.1.101</v>
          </cell>
          <cell r="D2930" t="str">
            <v>Montagem De Condulete Dn 50Mm Tipo Ll</v>
          </cell>
          <cell r="E2930" t="str">
            <v>un</v>
          </cell>
          <cell r="F2930"/>
          <cell r="G2930">
            <v>8.67</v>
          </cell>
          <cell r="H2930">
            <v>0</v>
          </cell>
        </row>
        <row r="2931">
          <cell r="C2931" t="str">
            <v>16.6.1.102</v>
          </cell>
          <cell r="D2931" t="str">
            <v>Montagem De  Para-Raios De Distribuição Vn=12 Kv, Icc=5 Ka, Com Desligador</v>
          </cell>
          <cell r="E2931" t="str">
            <v>un</v>
          </cell>
          <cell r="F2931"/>
          <cell r="G2931">
            <v>127.15</v>
          </cell>
          <cell r="H2931">
            <v>0</v>
          </cell>
        </row>
        <row r="2932">
          <cell r="C2932" t="str">
            <v>16.6.1.103</v>
          </cell>
          <cell r="D2932" t="str">
            <v>Montagem De Condulete Dn 50Mm Tipo Lr</v>
          </cell>
          <cell r="E2932" t="str">
            <v>un</v>
          </cell>
          <cell r="F2932"/>
          <cell r="G2932">
            <v>8.67</v>
          </cell>
          <cell r="H2932">
            <v>0</v>
          </cell>
        </row>
        <row r="2933">
          <cell r="C2933" t="str">
            <v>16.6.2</v>
          </cell>
          <cell r="D2933" t="str">
            <v>FORNECIMENTO (O BDI do item 16.6.2 foi reduzido de 40% para 37,2%)</v>
          </cell>
          <cell r="E2933"/>
          <cell r="F2933"/>
          <cell r="G2933">
            <v>0</v>
          </cell>
          <cell r="H2933">
            <v>0</v>
          </cell>
        </row>
        <row r="2934">
          <cell r="C2934" t="str">
            <v>16.6.2.1</v>
          </cell>
          <cell r="D2934" t="str">
            <v>Tubos E Conexões Em Ferro Galvanizado:</v>
          </cell>
          <cell r="E2934"/>
          <cell r="F2934"/>
          <cell r="G2934">
            <v>0</v>
          </cell>
          <cell r="H2934">
            <v>0</v>
          </cell>
        </row>
        <row r="2935">
          <cell r="C2935" t="str">
            <v>16.6.2.2</v>
          </cell>
          <cell r="D2935" t="str">
            <v>Tubo C/ Roscas L = 6,00 M Dn 4"</v>
          </cell>
          <cell r="E2935" t="str">
            <v>un</v>
          </cell>
          <cell r="F2935"/>
          <cell r="G2935">
            <v>444</v>
          </cell>
          <cell r="H2935">
            <v>0</v>
          </cell>
        </row>
        <row r="2936">
          <cell r="C2936" t="str">
            <v>16.6.2.3</v>
          </cell>
          <cell r="D2936" t="str">
            <v>Tubo C/ Roscas L = 6,00 M Dn 3"</v>
          </cell>
          <cell r="E2936" t="str">
            <v>un</v>
          </cell>
          <cell r="F2936"/>
          <cell r="G2936">
            <v>308.77999999999997</v>
          </cell>
          <cell r="H2936">
            <v>0</v>
          </cell>
        </row>
        <row r="2937">
          <cell r="C2937" t="str">
            <v>16.6.2.4</v>
          </cell>
          <cell r="D2937" t="str">
            <v>Tubo C/ Roscas L = 0,80 Dn 3"</v>
          </cell>
          <cell r="E2937" t="str">
            <v>un</v>
          </cell>
          <cell r="F2937"/>
          <cell r="G2937">
            <v>58.55</v>
          </cell>
          <cell r="H2937">
            <v>0</v>
          </cell>
        </row>
        <row r="2938">
          <cell r="C2938" t="str">
            <v>16.6.2.5</v>
          </cell>
          <cell r="D2938" t="str">
            <v>Flange C/ Sextavado Dn 4"</v>
          </cell>
          <cell r="E2938" t="str">
            <v>un</v>
          </cell>
          <cell r="F2938"/>
          <cell r="G2938">
            <v>40.08</v>
          </cell>
          <cell r="H2938">
            <v>0</v>
          </cell>
        </row>
        <row r="2939">
          <cell r="C2939" t="str">
            <v>16.6.2.6</v>
          </cell>
          <cell r="D2939" t="str">
            <v>Tê De Redução Dn 3" X 1"</v>
          </cell>
          <cell r="E2939" t="str">
            <v>un</v>
          </cell>
          <cell r="F2939"/>
          <cell r="G2939">
            <v>46.36</v>
          </cell>
          <cell r="H2939">
            <v>0</v>
          </cell>
        </row>
        <row r="2940">
          <cell r="C2940" t="str">
            <v>16.6.2.7</v>
          </cell>
          <cell r="D2940" t="str">
            <v>Tubo C/ Roscas + Luva L = 3,70 M, Dn 4"</v>
          </cell>
          <cell r="E2940" t="str">
            <v>un</v>
          </cell>
          <cell r="F2940"/>
          <cell r="G2940">
            <v>428.11</v>
          </cell>
          <cell r="H2940">
            <v>0</v>
          </cell>
        </row>
        <row r="2941">
          <cell r="C2941" t="str">
            <v>16.6.2.8</v>
          </cell>
          <cell r="D2941" t="str">
            <v>Bucha De Redução Dn 3" X 2"</v>
          </cell>
          <cell r="E2941" t="str">
            <v>un</v>
          </cell>
          <cell r="F2941"/>
          <cell r="G2941">
            <v>12.66</v>
          </cell>
          <cell r="H2941">
            <v>0</v>
          </cell>
        </row>
        <row r="2942">
          <cell r="C2942" t="str">
            <v>16.6.2.9</v>
          </cell>
          <cell r="D2942" t="str">
            <v>Tubo Com Roscas L = 1,55 M Dn 3"</v>
          </cell>
          <cell r="E2942" t="str">
            <v>un</v>
          </cell>
          <cell r="F2942"/>
          <cell r="G2942">
            <v>102.62</v>
          </cell>
          <cell r="H2942">
            <v>0</v>
          </cell>
        </row>
        <row r="2943">
          <cell r="C2943" t="str">
            <v>16.6.2.10</v>
          </cell>
          <cell r="D2943" t="str">
            <v>Tubo Com Roscas + Luva L = 3,00 M Dn 3"</v>
          </cell>
          <cell r="E2943" t="str">
            <v>un</v>
          </cell>
          <cell r="F2943"/>
          <cell r="G2943">
            <v>270.92</v>
          </cell>
          <cell r="H2943">
            <v>0</v>
          </cell>
        </row>
        <row r="2944">
          <cell r="C2944" t="str">
            <v>16.6.2.11</v>
          </cell>
          <cell r="D2944" t="str">
            <v>Curva Fêmea Dn 4"</v>
          </cell>
          <cell r="E2944" t="str">
            <v>un</v>
          </cell>
          <cell r="F2944"/>
          <cell r="G2944">
            <v>151.36000000000001</v>
          </cell>
          <cell r="H2944">
            <v>0</v>
          </cell>
        </row>
        <row r="2945">
          <cell r="C2945" t="str">
            <v>16.6.2.12</v>
          </cell>
          <cell r="D2945" t="str">
            <v>Tubo Com Roscas L = 0,50 M Dn 3"</v>
          </cell>
          <cell r="E2945" t="str">
            <v>un</v>
          </cell>
          <cell r="F2945"/>
          <cell r="G2945">
            <v>41.42</v>
          </cell>
          <cell r="H2945">
            <v>0</v>
          </cell>
        </row>
        <row r="2946">
          <cell r="C2946" t="str">
            <v>16.6.2.13</v>
          </cell>
          <cell r="D2946" t="str">
            <v>Tubo C/ Roscas + Luva L = 18,00 M Dn 4"</v>
          </cell>
          <cell r="E2946" t="str">
            <v>un</v>
          </cell>
          <cell r="F2946"/>
          <cell r="G2946">
            <v>632.14</v>
          </cell>
          <cell r="H2946">
            <v>0</v>
          </cell>
        </row>
        <row r="2947">
          <cell r="C2947" t="str">
            <v>16.6.2.14</v>
          </cell>
          <cell r="D2947" t="str">
            <v>Tubo Com Roscas L = 1,50 M Dn 3"</v>
          </cell>
          <cell r="E2947" t="str">
            <v>un</v>
          </cell>
          <cell r="F2947"/>
          <cell r="G2947">
            <v>99.61</v>
          </cell>
          <cell r="H2947">
            <v>0</v>
          </cell>
        </row>
        <row r="2948">
          <cell r="C2948" t="str">
            <v>16.6.2.15</v>
          </cell>
          <cell r="D2948" t="str">
            <v>Tê Dn 3"</v>
          </cell>
          <cell r="E2948" t="str">
            <v>un</v>
          </cell>
          <cell r="F2948"/>
          <cell r="G2948">
            <v>46.36</v>
          </cell>
          <cell r="H2948">
            <v>0</v>
          </cell>
        </row>
        <row r="2949">
          <cell r="C2949" t="str">
            <v>16.6.2.16</v>
          </cell>
          <cell r="D2949" t="str">
            <v>Tubo C/ Roscas L = 2,50 M Dn 4"</v>
          </cell>
          <cell r="E2949" t="str">
            <v>un</v>
          </cell>
          <cell r="F2949"/>
          <cell r="G2949">
            <v>223.1</v>
          </cell>
          <cell r="H2949">
            <v>0</v>
          </cell>
        </row>
        <row r="2950">
          <cell r="C2950" t="str">
            <v>16.6.2.17</v>
          </cell>
          <cell r="D2950" t="str">
            <v>Curva Fêmea Dn 3"</v>
          </cell>
          <cell r="E2950" t="str">
            <v>un</v>
          </cell>
          <cell r="F2950"/>
          <cell r="G2950">
            <v>87.77</v>
          </cell>
          <cell r="H2950">
            <v>0</v>
          </cell>
        </row>
        <row r="2951">
          <cell r="C2951" t="str">
            <v>16.6.2.18</v>
          </cell>
          <cell r="D2951" t="str">
            <v>Bucha De Redução Dn 3" X 1"</v>
          </cell>
          <cell r="E2951" t="str">
            <v>un</v>
          </cell>
          <cell r="F2951"/>
          <cell r="G2951">
            <v>13.27</v>
          </cell>
          <cell r="H2951">
            <v>0</v>
          </cell>
        </row>
        <row r="2952">
          <cell r="C2952" t="str">
            <v>16.6.2.19</v>
          </cell>
          <cell r="D2952" t="str">
            <v>Tubo Com Roscas L = 2,50 M Dn 3"</v>
          </cell>
          <cell r="E2952" t="str">
            <v>un</v>
          </cell>
          <cell r="F2952"/>
          <cell r="G2952">
            <v>158.31</v>
          </cell>
          <cell r="H2952">
            <v>0</v>
          </cell>
        </row>
        <row r="2953">
          <cell r="C2953" t="str">
            <v>16.6.2.20</v>
          </cell>
          <cell r="D2953" t="str">
            <v>Tubo C/ Roscas L = 1,55 M Dn 4"</v>
          </cell>
          <cell r="E2953" t="str">
            <v>un</v>
          </cell>
          <cell r="F2953"/>
          <cell r="G2953">
            <v>142.65</v>
          </cell>
          <cell r="H2953">
            <v>0</v>
          </cell>
        </row>
        <row r="2954">
          <cell r="C2954" t="str">
            <v>16.6.2.21</v>
          </cell>
          <cell r="D2954" t="str">
            <v>Niple Duplo Dn 1"</v>
          </cell>
          <cell r="E2954" t="str">
            <v>un</v>
          </cell>
          <cell r="F2954"/>
          <cell r="G2954">
            <v>3.32</v>
          </cell>
          <cell r="H2954">
            <v>0</v>
          </cell>
        </row>
        <row r="2955">
          <cell r="C2955" t="str">
            <v>16.6.2.22</v>
          </cell>
          <cell r="D2955" t="str">
            <v>Tubo C/ Roscas L = 1,40 M Dn 4"</v>
          </cell>
          <cell r="E2955" t="str">
            <v>un</v>
          </cell>
          <cell r="F2955"/>
          <cell r="G2955">
            <v>130.69999999999999</v>
          </cell>
          <cell r="H2955">
            <v>0</v>
          </cell>
        </row>
        <row r="2956">
          <cell r="C2956" t="str">
            <v>16.6.2.23</v>
          </cell>
          <cell r="D2956" t="str">
            <v>Niple Duplo Dn 2"</v>
          </cell>
          <cell r="E2956" t="str">
            <v>un</v>
          </cell>
          <cell r="F2956"/>
          <cell r="G2956">
            <v>11.41</v>
          </cell>
          <cell r="H2956">
            <v>0</v>
          </cell>
        </row>
        <row r="2957">
          <cell r="C2957" t="str">
            <v>16.6.2.24</v>
          </cell>
          <cell r="D2957" t="str">
            <v>Curva 45º Fêmea Dn 4"</v>
          </cell>
          <cell r="E2957" t="str">
            <v>un</v>
          </cell>
          <cell r="F2957"/>
          <cell r="G2957">
            <v>68.150000000000006</v>
          </cell>
          <cell r="H2957">
            <v>0</v>
          </cell>
        </row>
        <row r="2958">
          <cell r="C2958" t="str">
            <v>16.6.2.25</v>
          </cell>
          <cell r="D2958" t="str">
            <v>Tubo Com Roscas L = 1,80 M Dn 3"</v>
          </cell>
          <cell r="E2958" t="str">
            <v>un</v>
          </cell>
          <cell r="F2958"/>
          <cell r="G2958">
            <v>117.13</v>
          </cell>
          <cell r="H2958">
            <v>0</v>
          </cell>
        </row>
        <row r="2959">
          <cell r="C2959" t="str">
            <v>16.6.2.26</v>
          </cell>
          <cell r="D2959" t="str">
            <v>Bucha De Redução Dn 2 1/2" X 2"</v>
          </cell>
          <cell r="E2959" t="str">
            <v>un</v>
          </cell>
          <cell r="F2959"/>
          <cell r="G2959">
            <v>10.81</v>
          </cell>
          <cell r="H2959">
            <v>0</v>
          </cell>
        </row>
        <row r="2960">
          <cell r="C2960" t="str">
            <v>16.6.2.27</v>
          </cell>
          <cell r="D2960" t="str">
            <v>Tubo C/ Roscas L = 0,30 M Dn 4"</v>
          </cell>
          <cell r="E2960" t="str">
            <v>un</v>
          </cell>
          <cell r="F2960"/>
          <cell r="G2960">
            <v>37.39</v>
          </cell>
          <cell r="H2960">
            <v>0</v>
          </cell>
        </row>
        <row r="2961">
          <cell r="C2961" t="str">
            <v>16.6.2.28</v>
          </cell>
          <cell r="D2961" t="str">
            <v>Tubo Com Roscas L = 0,30 M Dn 3"</v>
          </cell>
          <cell r="E2961" t="str">
            <v>un</v>
          </cell>
          <cell r="F2961"/>
          <cell r="G2961">
            <v>29.07</v>
          </cell>
          <cell r="H2961">
            <v>0</v>
          </cell>
        </row>
        <row r="2962">
          <cell r="C2962" t="str">
            <v>16.6.2.29</v>
          </cell>
          <cell r="D2962" t="str">
            <v>Niple Duplo Dn 3"</v>
          </cell>
          <cell r="E2962" t="str">
            <v>un</v>
          </cell>
          <cell r="F2962"/>
          <cell r="G2962">
            <v>23.41</v>
          </cell>
          <cell r="H2962">
            <v>0</v>
          </cell>
        </row>
        <row r="2963">
          <cell r="C2963" t="str">
            <v>16.6.2.30</v>
          </cell>
          <cell r="D2963" t="str">
            <v>Tubo C/ Roscas L = 1,80 M Dn 4"</v>
          </cell>
          <cell r="E2963" t="str">
            <v>un</v>
          </cell>
          <cell r="F2963"/>
          <cell r="G2963">
            <v>164.6</v>
          </cell>
          <cell r="H2963">
            <v>0</v>
          </cell>
        </row>
        <row r="2964">
          <cell r="C2964" t="str">
            <v>16.6.2.31</v>
          </cell>
          <cell r="D2964" t="str">
            <v>Bucha De Redução Dn 4" X 3"</v>
          </cell>
          <cell r="E2964" t="str">
            <v>un</v>
          </cell>
          <cell r="F2964"/>
          <cell r="G2964">
            <v>31.97</v>
          </cell>
          <cell r="H2964">
            <v>0</v>
          </cell>
        </row>
        <row r="2965">
          <cell r="C2965" t="str">
            <v>16.6.2.32</v>
          </cell>
          <cell r="D2965" t="str">
            <v>Tubo Com Roscas L = 1,70 M Dn 4"</v>
          </cell>
          <cell r="E2965" t="str">
            <v>un</v>
          </cell>
          <cell r="F2965"/>
          <cell r="G2965">
            <v>155.36000000000001</v>
          </cell>
          <cell r="H2965">
            <v>0</v>
          </cell>
        </row>
        <row r="2966">
          <cell r="C2966" t="str">
            <v>16.6.2.33</v>
          </cell>
          <cell r="D2966" t="str">
            <v>Tê Dn 4"</v>
          </cell>
          <cell r="E2966" t="str">
            <v>un</v>
          </cell>
          <cell r="F2966"/>
          <cell r="G2966">
            <v>87.87</v>
          </cell>
          <cell r="H2966">
            <v>0</v>
          </cell>
        </row>
        <row r="2967">
          <cell r="C2967" t="str">
            <v>16.6.2.34</v>
          </cell>
          <cell r="D2967" t="str">
            <v>Bucha De Redução Dn 3" X 1 1/4"</v>
          </cell>
          <cell r="E2967" t="str">
            <v>un</v>
          </cell>
          <cell r="F2967"/>
          <cell r="G2967">
            <v>13.27</v>
          </cell>
          <cell r="H2967">
            <v>0</v>
          </cell>
        </row>
        <row r="2968">
          <cell r="C2968" t="str">
            <v>16.6.2.35</v>
          </cell>
          <cell r="D2968" t="str">
            <v>Tubo C/ Roscas L = 0,50 M Dn 4"</v>
          </cell>
          <cell r="E2968" t="str">
            <v>un</v>
          </cell>
          <cell r="F2968"/>
          <cell r="G2968">
            <v>53.77</v>
          </cell>
          <cell r="H2968">
            <v>0</v>
          </cell>
        </row>
        <row r="2969">
          <cell r="C2969" t="str">
            <v>16.6.2.36</v>
          </cell>
          <cell r="D2969" t="str">
            <v>Tubo Com Roscas L = 0,40 M Dn 4"</v>
          </cell>
          <cell r="E2969" t="str">
            <v>un</v>
          </cell>
          <cell r="F2969"/>
          <cell r="G2969">
            <v>44.12</v>
          </cell>
          <cell r="H2969">
            <v>0</v>
          </cell>
        </row>
        <row r="2970">
          <cell r="C2970" t="str">
            <v>16.6.2.37</v>
          </cell>
          <cell r="D2970" t="str">
            <v>Bucha De Redução Dn 4" X 2"</v>
          </cell>
          <cell r="E2970" t="str">
            <v>un</v>
          </cell>
          <cell r="F2970"/>
          <cell r="G2970">
            <v>31.97</v>
          </cell>
          <cell r="H2970">
            <v>0</v>
          </cell>
        </row>
        <row r="2971">
          <cell r="C2971" t="str">
            <v>16.6.2.38</v>
          </cell>
          <cell r="D2971" t="str">
            <v>Curva Macho-Fêmea Dn 4"</v>
          </cell>
          <cell r="E2971" t="str">
            <v>un</v>
          </cell>
          <cell r="F2971"/>
          <cell r="G2971">
            <v>137.08000000000001</v>
          </cell>
          <cell r="H2971">
            <v>0</v>
          </cell>
        </row>
        <row r="2972">
          <cell r="C2972" t="str">
            <v>16.6.2.39</v>
          </cell>
          <cell r="D2972" t="str">
            <v>Niple Duplo Dn 1 1/4"</v>
          </cell>
          <cell r="E2972" t="str">
            <v>un</v>
          </cell>
          <cell r="F2972"/>
          <cell r="G2972">
            <v>4.75</v>
          </cell>
          <cell r="H2972">
            <v>0</v>
          </cell>
        </row>
        <row r="2973">
          <cell r="C2973" t="str">
            <v>16.6.2.40</v>
          </cell>
          <cell r="D2973" t="str">
            <v>Niple Duplo Dn 4"</v>
          </cell>
          <cell r="E2973" t="str">
            <v>un</v>
          </cell>
          <cell r="F2973"/>
          <cell r="G2973">
            <v>37.119999999999997</v>
          </cell>
          <cell r="H2973">
            <v>0</v>
          </cell>
        </row>
        <row r="2974">
          <cell r="C2974" t="str">
            <v>16.6.2.41</v>
          </cell>
          <cell r="D2974" t="str">
            <v>Bucha De Redução Dn 2" X 1"</v>
          </cell>
          <cell r="E2974" t="str">
            <v>un</v>
          </cell>
          <cell r="F2974"/>
          <cell r="G2974">
            <v>7.23</v>
          </cell>
          <cell r="H2974">
            <v>0</v>
          </cell>
        </row>
        <row r="2975">
          <cell r="C2975" t="str">
            <v>16.6.2.42</v>
          </cell>
          <cell r="D2975" t="str">
            <v>Niple Duplo De Redução 2" X 1 1/2"</v>
          </cell>
          <cell r="E2975" t="str">
            <v>un</v>
          </cell>
          <cell r="F2975"/>
          <cell r="G2975">
            <v>11.41</v>
          </cell>
          <cell r="H2975">
            <v>0</v>
          </cell>
        </row>
        <row r="2976">
          <cell r="C2976" t="str">
            <v>16.6.2.43</v>
          </cell>
          <cell r="D2976" t="str">
            <v>Flange C/ Sextavado Dn 2"</v>
          </cell>
          <cell r="E2976" t="str">
            <v>un</v>
          </cell>
          <cell r="F2976"/>
          <cell r="G2976">
            <v>14.74</v>
          </cell>
          <cell r="H2976">
            <v>0</v>
          </cell>
        </row>
        <row r="2977">
          <cell r="C2977" t="str">
            <v>16.6.2.44</v>
          </cell>
          <cell r="D2977" t="str">
            <v>Bucha De Redução Dn 4" X 2 1/2"</v>
          </cell>
          <cell r="E2977" t="str">
            <v>un</v>
          </cell>
          <cell r="F2977"/>
          <cell r="G2977">
            <v>31.97</v>
          </cell>
          <cell r="H2977">
            <v>0</v>
          </cell>
        </row>
        <row r="2978">
          <cell r="C2978" t="str">
            <v>16.6.2.45</v>
          </cell>
          <cell r="D2978" t="str">
            <v>Niple Duplo Dn 2 1/2"</v>
          </cell>
          <cell r="E2978" t="str">
            <v>un</v>
          </cell>
          <cell r="F2978"/>
          <cell r="G2978">
            <v>16.260000000000002</v>
          </cell>
          <cell r="H2978">
            <v>0</v>
          </cell>
        </row>
        <row r="2979">
          <cell r="C2979" t="str">
            <v>16.6.2.46</v>
          </cell>
          <cell r="D2979" t="str">
            <v>Curva Macho-Fêmea Dn 2"</v>
          </cell>
          <cell r="E2979" t="str">
            <v>un</v>
          </cell>
          <cell r="F2979"/>
          <cell r="G2979">
            <v>38.83</v>
          </cell>
          <cell r="H2979">
            <v>0</v>
          </cell>
        </row>
        <row r="2980">
          <cell r="C2980" t="str">
            <v>16.6.2.47</v>
          </cell>
          <cell r="D2980" t="str">
            <v>Niple Duplo 3"</v>
          </cell>
          <cell r="E2980" t="str">
            <v>un</v>
          </cell>
          <cell r="F2980"/>
          <cell r="G2980">
            <v>23.41</v>
          </cell>
          <cell r="H2980">
            <v>0</v>
          </cell>
        </row>
        <row r="2981">
          <cell r="C2981" t="str">
            <v>16.6.2.48</v>
          </cell>
          <cell r="D2981" t="str">
            <v>Niple Duplo De Redução Dn 5" X 3"</v>
          </cell>
          <cell r="E2981" t="str">
            <v>un</v>
          </cell>
          <cell r="F2981"/>
          <cell r="G2981">
            <v>142.55000000000001</v>
          </cell>
          <cell r="H2981">
            <v>0</v>
          </cell>
        </row>
        <row r="2982">
          <cell r="C2982" t="str">
            <v>16.6.2.49</v>
          </cell>
          <cell r="D2982" t="str">
            <v>Tubo C/ Roscas L = 0,50 M Dn 2"</v>
          </cell>
          <cell r="E2982" t="str">
            <v>un</v>
          </cell>
          <cell r="F2982"/>
          <cell r="G2982">
            <v>30.98</v>
          </cell>
          <cell r="H2982">
            <v>0</v>
          </cell>
        </row>
        <row r="2983">
          <cell r="C2983" t="str">
            <v>16.6.2.50</v>
          </cell>
          <cell r="D2983" t="str">
            <v>Flange C/ Sextavado Dn 5"</v>
          </cell>
          <cell r="E2983" t="str">
            <v>un</v>
          </cell>
          <cell r="F2983"/>
          <cell r="G2983">
            <v>66.63</v>
          </cell>
          <cell r="H2983">
            <v>0</v>
          </cell>
        </row>
        <row r="2984">
          <cell r="C2984" t="str">
            <v>16.6.2.51</v>
          </cell>
          <cell r="D2984" t="str">
            <v>Tubo C/ Roscas L = 0,40 Dn 3"</v>
          </cell>
          <cell r="E2984" t="str">
            <v>un</v>
          </cell>
          <cell r="F2984"/>
          <cell r="G2984">
            <v>34.96</v>
          </cell>
          <cell r="H2984">
            <v>0</v>
          </cell>
        </row>
        <row r="2985">
          <cell r="C2985" t="str">
            <v>16.6.2.52</v>
          </cell>
          <cell r="D2985" t="str">
            <v>Niple Duplo Dn 5"</v>
          </cell>
          <cell r="E2985" t="str">
            <v>un</v>
          </cell>
          <cell r="F2985"/>
          <cell r="G2985">
            <v>91.38</v>
          </cell>
          <cell r="H2985">
            <v>0</v>
          </cell>
        </row>
        <row r="2986">
          <cell r="C2986" t="str">
            <v>16.6.2.53</v>
          </cell>
          <cell r="D2986" t="str">
            <v>Tubo C/ Roscas L = 1,55 M Dn 2"</v>
          </cell>
          <cell r="E2986" t="str">
            <v>un</v>
          </cell>
          <cell r="F2986"/>
          <cell r="G2986">
            <v>71.489999999999995</v>
          </cell>
          <cell r="H2986">
            <v>0</v>
          </cell>
        </row>
        <row r="2987">
          <cell r="C2987" t="str">
            <v>16.6.2.54</v>
          </cell>
          <cell r="D2987" t="str">
            <v>Bucha De Redução Dn 5" X 3"</v>
          </cell>
          <cell r="E2987" t="str">
            <v>un</v>
          </cell>
          <cell r="F2987"/>
          <cell r="G2987">
            <v>92.02</v>
          </cell>
          <cell r="H2987">
            <v>0</v>
          </cell>
        </row>
        <row r="2988">
          <cell r="C2988" t="str">
            <v>16.6.2.55</v>
          </cell>
          <cell r="D2988" t="str">
            <v>Curva Fêmea Dn 2"</v>
          </cell>
          <cell r="E2988" t="str">
            <v>un</v>
          </cell>
          <cell r="F2988"/>
          <cell r="G2988">
            <v>48.55</v>
          </cell>
          <cell r="H2988">
            <v>0</v>
          </cell>
        </row>
        <row r="2989">
          <cell r="C2989" t="str">
            <v>16.6.2.56</v>
          </cell>
          <cell r="D2989" t="str">
            <v>Tubo C/ Roscas L = 0,50 M Dn 3"</v>
          </cell>
          <cell r="E2989" t="str">
            <v>un</v>
          </cell>
          <cell r="F2989"/>
          <cell r="G2989">
            <v>34.94</v>
          </cell>
          <cell r="H2989">
            <v>0</v>
          </cell>
        </row>
        <row r="2990">
          <cell r="C2990" t="str">
            <v>16.6.2.57</v>
          </cell>
          <cell r="D2990" t="str">
            <v>Tê De Redução Dn 5" X 3"</v>
          </cell>
          <cell r="E2990" t="str">
            <v>un</v>
          </cell>
          <cell r="F2990"/>
          <cell r="G2990">
            <v>105.23</v>
          </cell>
          <cell r="H2990">
            <v>0</v>
          </cell>
        </row>
        <row r="2991">
          <cell r="C2991" t="str">
            <v>16.6.2.58</v>
          </cell>
          <cell r="D2991" t="str">
            <v>Tê De Redução Dn 2" X 1"</v>
          </cell>
          <cell r="E2991" t="str">
            <v>un</v>
          </cell>
          <cell r="F2991"/>
          <cell r="G2991">
            <v>20.09</v>
          </cell>
          <cell r="H2991">
            <v>0</v>
          </cell>
        </row>
        <row r="2992">
          <cell r="C2992" t="str">
            <v>16.6.2.59</v>
          </cell>
          <cell r="D2992" t="str">
            <v>Tubo Com Roscas L = 0,65 M Dn 5"</v>
          </cell>
          <cell r="E2992" t="str">
            <v>un</v>
          </cell>
          <cell r="F2992"/>
          <cell r="G2992">
            <v>40.369999999999997</v>
          </cell>
          <cell r="H2992">
            <v>0</v>
          </cell>
        </row>
        <row r="2993">
          <cell r="C2993" t="str">
            <v>16.6.2.60</v>
          </cell>
          <cell r="D2993" t="str">
            <v>Luva Dn 1"</v>
          </cell>
          <cell r="E2993" t="str">
            <v>un</v>
          </cell>
          <cell r="F2993"/>
          <cell r="G2993">
            <v>3.84</v>
          </cell>
          <cell r="H2993">
            <v>0</v>
          </cell>
        </row>
        <row r="2994">
          <cell r="C2994" t="str">
            <v>16.6.2.61</v>
          </cell>
          <cell r="D2994" t="str">
            <v>Tubo C/ Roscas L = 1,55 M Dn 3"</v>
          </cell>
          <cell r="E2994" t="str">
            <v>un</v>
          </cell>
          <cell r="F2994"/>
          <cell r="G2994">
            <v>99.67</v>
          </cell>
          <cell r="H2994">
            <v>0</v>
          </cell>
        </row>
        <row r="2995">
          <cell r="C2995" t="str">
            <v>16.6.2.62</v>
          </cell>
          <cell r="D2995" t="str">
            <v>Tubo Com Roscas L = 0,40 M Dn 5"</v>
          </cell>
          <cell r="E2995" t="str">
            <v>un</v>
          </cell>
          <cell r="F2995"/>
          <cell r="G2995">
            <v>24.84</v>
          </cell>
          <cell r="H2995">
            <v>0</v>
          </cell>
        </row>
        <row r="2996">
          <cell r="C2996" t="str">
            <v>16.6.2.63</v>
          </cell>
          <cell r="D2996" t="str">
            <v>Tê Dn 5"</v>
          </cell>
          <cell r="E2996" t="str">
            <v>un</v>
          </cell>
          <cell r="F2996"/>
          <cell r="G2996">
            <v>272.26</v>
          </cell>
          <cell r="H2996">
            <v>0</v>
          </cell>
        </row>
        <row r="2997">
          <cell r="C2997" t="str">
            <v>16.6.2.64</v>
          </cell>
          <cell r="D2997" t="str">
            <v>Tubo C/ Roscas + Luva L = 6,00 M, Dn 3"</v>
          </cell>
          <cell r="E2997" t="str">
            <v>un</v>
          </cell>
          <cell r="F2997"/>
          <cell r="G2997">
            <v>369.26</v>
          </cell>
          <cell r="H2997">
            <v>0</v>
          </cell>
        </row>
        <row r="2998">
          <cell r="C2998" t="str">
            <v>16.6.2.65</v>
          </cell>
          <cell r="D2998" t="str">
            <v>Tubo Com Roscas L = 0,30 M Dn 5"</v>
          </cell>
          <cell r="E2998" t="str">
            <v>un</v>
          </cell>
          <cell r="F2998"/>
          <cell r="G2998">
            <v>18.64</v>
          </cell>
          <cell r="H2998">
            <v>0</v>
          </cell>
        </row>
        <row r="2999">
          <cell r="C2999" t="str">
            <v>16.6.2.66</v>
          </cell>
          <cell r="D2999" t="str">
            <v>Registro Gaveta Bronze Dn 2"</v>
          </cell>
          <cell r="E2999" t="str">
            <v>un</v>
          </cell>
          <cell r="F2999"/>
          <cell r="G2999">
            <v>53.11</v>
          </cell>
          <cell r="H2999">
            <v>0</v>
          </cell>
        </row>
        <row r="3000">
          <cell r="C3000" t="str">
            <v>16.6.2.67</v>
          </cell>
          <cell r="D3000" t="str">
            <v>Tubo Com Roscas L = 1,00 M Dn 5"</v>
          </cell>
          <cell r="E3000" t="str">
            <v>un</v>
          </cell>
          <cell r="F3000"/>
          <cell r="G3000">
            <v>62.1</v>
          </cell>
          <cell r="H3000">
            <v>0</v>
          </cell>
        </row>
        <row r="3001">
          <cell r="C3001" t="str">
            <v>16.6.2.68</v>
          </cell>
          <cell r="D3001" t="str">
            <v>Tubo C/ Roscas L = 1,00 M Dn 4"</v>
          </cell>
          <cell r="E3001" t="str">
            <v>un</v>
          </cell>
          <cell r="F3001"/>
          <cell r="G3001">
            <v>96.09</v>
          </cell>
          <cell r="H3001">
            <v>0</v>
          </cell>
        </row>
        <row r="3002">
          <cell r="C3002" t="str">
            <v>16.6.2.69</v>
          </cell>
          <cell r="D3002" t="str">
            <v>Válvula De Retenção Bronze Dn 2"</v>
          </cell>
          <cell r="E3002" t="str">
            <v>un</v>
          </cell>
          <cell r="F3002"/>
          <cell r="G3002">
            <v>92.05</v>
          </cell>
          <cell r="H3002">
            <v>0</v>
          </cell>
        </row>
        <row r="3003">
          <cell r="C3003" t="str">
            <v>16.6.2.70</v>
          </cell>
          <cell r="D3003" t="str">
            <v>Curva Fêmea Dn 5"</v>
          </cell>
          <cell r="E3003" t="str">
            <v>un</v>
          </cell>
          <cell r="F3003"/>
          <cell r="G3003">
            <v>252.83</v>
          </cell>
          <cell r="H3003">
            <v>0</v>
          </cell>
        </row>
        <row r="3004">
          <cell r="C3004" t="str">
            <v>16.6.2.71</v>
          </cell>
          <cell r="D3004" t="str">
            <v>Tubo C/ Roscas + Luva L = 3,40 M Dn 5"</v>
          </cell>
          <cell r="E3004" t="str">
            <v>un</v>
          </cell>
          <cell r="F3004"/>
          <cell r="G3004">
            <v>365.74</v>
          </cell>
          <cell r="H3004">
            <v>0</v>
          </cell>
        </row>
        <row r="3005">
          <cell r="C3005" t="str">
            <v>16.6.2.72</v>
          </cell>
          <cell r="D3005" t="str">
            <v>Conjunto Motobomba Q=3,0 L/S, Amt=17,30 M.C.A., 1,5 Cv</v>
          </cell>
          <cell r="E3005" t="str">
            <v>un</v>
          </cell>
          <cell r="F3005"/>
          <cell r="G3005">
            <v>2404.6999999999998</v>
          </cell>
          <cell r="H3005">
            <v>0</v>
          </cell>
        </row>
        <row r="3006">
          <cell r="C3006" t="str">
            <v>16.6.2.73</v>
          </cell>
          <cell r="D3006" t="str">
            <v>Tubo C/ Roscas + Luva L = 3,80 M Dn 3"</v>
          </cell>
          <cell r="E3006" t="str">
            <v>un</v>
          </cell>
          <cell r="F3006"/>
          <cell r="G3006">
            <v>114.75</v>
          </cell>
          <cell r="H3006">
            <v>0</v>
          </cell>
        </row>
        <row r="3007">
          <cell r="C3007" t="str">
            <v>16.6.2.74</v>
          </cell>
          <cell r="D3007" t="str">
            <v>Eta Tipo Compacta Para Vazão De 11 M³/H</v>
          </cell>
          <cell r="E3007" t="str">
            <v>un</v>
          </cell>
          <cell r="F3007"/>
          <cell r="G3007">
            <v>59774.74</v>
          </cell>
          <cell r="H3007">
            <v>0</v>
          </cell>
        </row>
        <row r="3008">
          <cell r="C3008" t="str">
            <v>16.6.2.75</v>
          </cell>
          <cell r="D3008" t="str">
            <v>Registro De Gaveta Bronze Dn 4"</v>
          </cell>
          <cell r="E3008" t="str">
            <v>un</v>
          </cell>
          <cell r="F3008"/>
          <cell r="G3008">
            <v>243.5</v>
          </cell>
          <cell r="H3008">
            <v>0</v>
          </cell>
        </row>
        <row r="3009">
          <cell r="C3009" t="str">
            <v>16.6.2.76</v>
          </cell>
          <cell r="D3009" t="str">
            <v>Bucha De Redução Dn 3" X 2 1/2</v>
          </cell>
          <cell r="E3009" t="str">
            <v>un</v>
          </cell>
          <cell r="F3009"/>
          <cell r="G3009">
            <v>12.66</v>
          </cell>
          <cell r="H3009">
            <v>0</v>
          </cell>
        </row>
        <row r="3010">
          <cell r="C3010" t="str">
            <v>16.6.2.77</v>
          </cell>
          <cell r="D3010" t="str">
            <v>Flange C/ Sextavado Dn 3"</v>
          </cell>
          <cell r="E3010" t="str">
            <v>un</v>
          </cell>
          <cell r="F3010"/>
          <cell r="G3010">
            <v>31.69</v>
          </cell>
          <cell r="H3010">
            <v>0</v>
          </cell>
        </row>
        <row r="3011">
          <cell r="C3011" t="str">
            <v>16.6.2.78</v>
          </cell>
          <cell r="D3011" t="str">
            <v>Tubo C/ Roscas L = 1,00 M Dn 3"</v>
          </cell>
          <cell r="E3011" t="str">
            <v>un</v>
          </cell>
          <cell r="F3011"/>
          <cell r="G3011">
            <v>70.290000000000006</v>
          </cell>
          <cell r="H3011">
            <v>0</v>
          </cell>
        </row>
        <row r="3012">
          <cell r="C3012" t="str">
            <v>16.6.2.79</v>
          </cell>
          <cell r="D3012" t="str">
            <v>Conjunto Motobomba Q=6,75 L/S, Amt=18,10 M.C.A., 3 Cv</v>
          </cell>
          <cell r="E3012" t="str">
            <v>un</v>
          </cell>
          <cell r="F3012"/>
          <cell r="G3012">
            <v>2684.57</v>
          </cell>
          <cell r="H3012">
            <v>0</v>
          </cell>
        </row>
        <row r="3013">
          <cell r="C3013" t="str">
            <v>16.6.2.80</v>
          </cell>
          <cell r="D3013" t="str">
            <v>Curva Fêmea Dn 3"</v>
          </cell>
          <cell r="E3013" t="str">
            <v>un</v>
          </cell>
          <cell r="F3013"/>
          <cell r="G3013">
            <v>87.77</v>
          </cell>
          <cell r="H3013">
            <v>0</v>
          </cell>
        </row>
        <row r="3014">
          <cell r="C3014" t="str">
            <v>16.6.2.81</v>
          </cell>
          <cell r="D3014" t="str">
            <v>Eta Tipo Compacta Para Vazão De 25 M³/H</v>
          </cell>
          <cell r="E3014" t="str">
            <v>un</v>
          </cell>
          <cell r="F3014"/>
          <cell r="G3014">
            <v>86673.39</v>
          </cell>
          <cell r="H3014">
            <v>0</v>
          </cell>
        </row>
        <row r="3015">
          <cell r="C3015" t="str">
            <v>16.6.2.82</v>
          </cell>
          <cell r="D3015" t="str">
            <v>Luva Dn 3"</v>
          </cell>
          <cell r="E3015" t="str">
            <v>un</v>
          </cell>
          <cell r="F3015"/>
          <cell r="G3015">
            <v>30.17</v>
          </cell>
          <cell r="H3015">
            <v>0</v>
          </cell>
        </row>
        <row r="3016">
          <cell r="C3016" t="str">
            <v>16.6.2.83</v>
          </cell>
          <cell r="D3016" t="str">
            <v>Curva 45º Fêmea Dn 3"</v>
          </cell>
          <cell r="E3016" t="str">
            <v>un</v>
          </cell>
          <cell r="F3016"/>
          <cell r="G3016">
            <v>34.270000000000003</v>
          </cell>
          <cell r="H3016">
            <v>0</v>
          </cell>
        </row>
        <row r="3017">
          <cell r="C3017" t="str">
            <v>16.6.2.84</v>
          </cell>
          <cell r="D3017" t="str">
            <v>Tubo Com Roscas L = 6,00 M Dn 3"</v>
          </cell>
          <cell r="E3017" t="str">
            <v>un</v>
          </cell>
          <cell r="F3017"/>
          <cell r="G3017">
            <v>308.77999999999997</v>
          </cell>
          <cell r="H3017">
            <v>0</v>
          </cell>
        </row>
        <row r="3018">
          <cell r="C3018" t="str">
            <v>16.6.2.85</v>
          </cell>
          <cell r="D3018" t="str">
            <v>Registro De Gaveta Bronze Dn 1"</v>
          </cell>
          <cell r="E3018" t="str">
            <v>un</v>
          </cell>
          <cell r="F3018"/>
          <cell r="G3018">
            <v>24.56</v>
          </cell>
          <cell r="H3018">
            <v>0</v>
          </cell>
        </row>
        <row r="3019">
          <cell r="C3019" t="str">
            <v>16.6.2.86</v>
          </cell>
          <cell r="D3019" t="str">
            <v>Registro Gaveta Bronze Dn 3"</v>
          </cell>
          <cell r="E3019" t="str">
            <v>un</v>
          </cell>
          <cell r="F3019"/>
          <cell r="G3019">
            <v>159.03</v>
          </cell>
          <cell r="H3019">
            <v>0</v>
          </cell>
        </row>
        <row r="3020">
          <cell r="C3020" t="str">
            <v>16.6.2.87</v>
          </cell>
          <cell r="D3020" t="str">
            <v>Registro Gaveta Bronze Dn 5"</v>
          </cell>
          <cell r="E3020" t="str">
            <v>un</v>
          </cell>
          <cell r="F3020"/>
          <cell r="G3020">
            <v>1177.51</v>
          </cell>
          <cell r="H3020">
            <v>0</v>
          </cell>
        </row>
        <row r="3021">
          <cell r="C3021" t="str">
            <v>16.6.2.88</v>
          </cell>
          <cell r="D3021" t="str">
            <v>Válvula De Retenção Bronze Dn 3"</v>
          </cell>
          <cell r="E3021" t="str">
            <v>un</v>
          </cell>
          <cell r="F3021"/>
          <cell r="G3021">
            <v>161.85</v>
          </cell>
          <cell r="H3021">
            <v>0</v>
          </cell>
        </row>
        <row r="3022">
          <cell r="C3022" t="str">
            <v>16.6.2.89</v>
          </cell>
          <cell r="D3022" t="str">
            <v>Conjunto Motobomba Q=2,83 L/S, Amt=31,70 M.C.A., 5 Cv</v>
          </cell>
          <cell r="E3022" t="str">
            <v>un</v>
          </cell>
          <cell r="F3022"/>
          <cell r="G3022">
            <v>2798.82</v>
          </cell>
          <cell r="H3022">
            <v>0</v>
          </cell>
        </row>
        <row r="3023">
          <cell r="C3023" t="str">
            <v>16.6.2.90</v>
          </cell>
          <cell r="D3023" t="str">
            <v>Cabos E Condutores Elétricos</v>
          </cell>
          <cell r="E3023" t="str">
            <v>un</v>
          </cell>
          <cell r="F3023"/>
          <cell r="G3023">
            <v>0</v>
          </cell>
          <cell r="H3023">
            <v>0</v>
          </cell>
        </row>
        <row r="3024">
          <cell r="C3024" t="str">
            <v>16.6.2.91</v>
          </cell>
          <cell r="D3024" t="str">
            <v>Conjunto Motobomba Q=40 M³/H, Amt=10,00 M.C.A., 2,5 A 3 Cv</v>
          </cell>
          <cell r="E3024" t="str">
            <v>un</v>
          </cell>
          <cell r="F3024"/>
          <cell r="G3024">
            <v>2475.14</v>
          </cell>
          <cell r="H3024">
            <v>0</v>
          </cell>
        </row>
        <row r="3025">
          <cell r="C3025" t="str">
            <v>16.6.2.92</v>
          </cell>
          <cell r="D3025" t="str">
            <v>Cabos De Baixa Tensão Em Pvc</v>
          </cell>
          <cell r="E3025" t="str">
            <v>un</v>
          </cell>
          <cell r="F3025"/>
          <cell r="G3025">
            <v>0</v>
          </cell>
          <cell r="H3025">
            <v>0</v>
          </cell>
        </row>
        <row r="3026">
          <cell r="C3026" t="str">
            <v>16.6.2.93</v>
          </cell>
          <cell r="D3026" t="str">
            <v>Cabo De Cobre Nú Seção 25Mm²</v>
          </cell>
          <cell r="E3026" t="str">
            <v>kg</v>
          </cell>
          <cell r="F3026"/>
          <cell r="G3026">
            <v>18.04</v>
          </cell>
          <cell r="H3026">
            <v>0</v>
          </cell>
        </row>
        <row r="3027">
          <cell r="C3027" t="str">
            <v>16.6.2.94</v>
          </cell>
          <cell r="D3027" t="str">
            <v>Eta Tipo Compacta Para Vazão De 15 M³/H</v>
          </cell>
          <cell r="E3027" t="str">
            <v>un</v>
          </cell>
          <cell r="F3027"/>
          <cell r="G3027">
            <v>66638.509999999995</v>
          </cell>
          <cell r="H3027">
            <v>0</v>
          </cell>
        </row>
        <row r="3028">
          <cell r="C3028" t="str">
            <v>16.6.2.95</v>
          </cell>
          <cell r="D3028" t="str">
            <v>Eletroduto De Pvc Rígido Dn 25Mm L=3M</v>
          </cell>
          <cell r="E3028" t="str">
            <v>un</v>
          </cell>
          <cell r="F3028"/>
          <cell r="G3028">
            <v>14.86</v>
          </cell>
          <cell r="H3028">
            <v>0</v>
          </cell>
        </row>
        <row r="3029">
          <cell r="C3029" t="str">
            <v>16.6.2.96</v>
          </cell>
          <cell r="D3029" t="str">
            <v>Eletroduto De Pvc Rígido Dn 32Mm L=3M</v>
          </cell>
          <cell r="E3029" t="str">
            <v>un</v>
          </cell>
          <cell r="F3029"/>
          <cell r="G3029">
            <v>22.65</v>
          </cell>
          <cell r="H3029">
            <v>0</v>
          </cell>
        </row>
        <row r="3030">
          <cell r="C3030" t="str">
            <v>16.6.2.97</v>
          </cell>
          <cell r="D3030" t="str">
            <v>Eletroduto De Pvc Rígido Dn 40Mm L=3M</v>
          </cell>
          <cell r="E3030" t="str">
            <v>un</v>
          </cell>
          <cell r="F3030"/>
          <cell r="G3030">
            <v>50.2</v>
          </cell>
          <cell r="H3030">
            <v>0</v>
          </cell>
        </row>
        <row r="3031">
          <cell r="C3031" t="str">
            <v>16.6.2.98</v>
          </cell>
          <cell r="D3031" t="str">
            <v>Eletroduto De Pvc Rígido Dn 50Mm L=3M</v>
          </cell>
          <cell r="E3031" t="str">
            <v>un</v>
          </cell>
          <cell r="F3031"/>
          <cell r="G3031">
            <v>65.23</v>
          </cell>
          <cell r="H3031">
            <v>0</v>
          </cell>
        </row>
        <row r="3032">
          <cell r="C3032" t="str">
            <v>16.6.2.99</v>
          </cell>
          <cell r="D3032" t="str">
            <v>Curva De Eletroduto 90° Dn 25Mm</v>
          </cell>
          <cell r="E3032" t="str">
            <v>un</v>
          </cell>
          <cell r="F3032"/>
          <cell r="G3032">
            <v>3.82</v>
          </cell>
          <cell r="H3032">
            <v>0</v>
          </cell>
        </row>
        <row r="3033">
          <cell r="C3033" t="str">
            <v>16.6.2.100</v>
          </cell>
          <cell r="D3033" t="str">
            <v>Curva De Eletroduto 90° Dn 40Mm</v>
          </cell>
          <cell r="E3033" t="str">
            <v>un</v>
          </cell>
          <cell r="F3033"/>
          <cell r="G3033">
            <v>7.04</v>
          </cell>
          <cell r="H3033">
            <v>0</v>
          </cell>
        </row>
        <row r="3034">
          <cell r="C3034" t="str">
            <v>16.6.2.101</v>
          </cell>
          <cell r="D3034" t="str">
            <v>Eletroduto Flexível Dn 25Mm L=0,5M</v>
          </cell>
          <cell r="E3034" t="str">
            <v>un</v>
          </cell>
          <cell r="F3034"/>
          <cell r="G3034">
            <v>15.96</v>
          </cell>
          <cell r="H3034">
            <v>0</v>
          </cell>
        </row>
        <row r="3035">
          <cell r="C3035" t="str">
            <v>16.6.2.102</v>
          </cell>
          <cell r="D3035" t="str">
            <v>Cabo De Cobre Múltiplo 2X1,5Mm² Pvc 1Kv</v>
          </cell>
          <cell r="E3035" t="str">
            <v>m</v>
          </cell>
          <cell r="F3035"/>
          <cell r="G3035">
            <v>4.18</v>
          </cell>
          <cell r="H3035">
            <v>0</v>
          </cell>
        </row>
        <row r="3036">
          <cell r="C3036" t="str">
            <v>16.6.2.103</v>
          </cell>
          <cell r="D3036" t="str">
            <v>Cabo De Cobre Múltiplo 3X1,5Mm² Pvc 1Kv</v>
          </cell>
          <cell r="E3036" t="str">
            <v>m</v>
          </cell>
          <cell r="F3036"/>
          <cell r="G3036">
            <v>12.62</v>
          </cell>
          <cell r="H3036">
            <v>0</v>
          </cell>
        </row>
        <row r="3037">
          <cell r="C3037" t="str">
            <v>16.6.2.104</v>
          </cell>
          <cell r="D3037" t="str">
            <v>Cabo De Cobre Múltiplo 4X2,5Mm² Pvc 1Kv</v>
          </cell>
          <cell r="E3037" t="str">
            <v>m</v>
          </cell>
          <cell r="F3037"/>
          <cell r="G3037">
            <v>11.98</v>
          </cell>
          <cell r="H3037">
            <v>0</v>
          </cell>
        </row>
        <row r="3038">
          <cell r="C3038" t="str">
            <v>16.6.2.105</v>
          </cell>
          <cell r="D3038" t="str">
            <v>Cabo De Cobre Múltiplo 4X4,0Mm² Pvc 1Kv</v>
          </cell>
          <cell r="E3038" t="str">
            <v>m</v>
          </cell>
          <cell r="F3038"/>
          <cell r="G3038">
            <v>19.190000000000001</v>
          </cell>
          <cell r="H3038">
            <v>0</v>
          </cell>
        </row>
        <row r="3039">
          <cell r="C3039" t="str">
            <v>16.6.2.106</v>
          </cell>
          <cell r="D3039" t="str">
            <v>Cabo De Cobre Singelo 4Mm² Pvc 750V</v>
          </cell>
          <cell r="E3039" t="str">
            <v>m</v>
          </cell>
          <cell r="F3039"/>
          <cell r="G3039">
            <v>1.9</v>
          </cell>
          <cell r="H3039">
            <v>0</v>
          </cell>
        </row>
        <row r="3040">
          <cell r="C3040" t="str">
            <v>16.6.2.107</v>
          </cell>
          <cell r="D3040" t="str">
            <v>Fio De Cobre Rígido 2,5Mm²  750V</v>
          </cell>
          <cell r="E3040" t="str">
            <v>m</v>
          </cell>
          <cell r="F3040"/>
          <cell r="G3040">
            <v>1.02</v>
          </cell>
          <cell r="H3040">
            <v>0</v>
          </cell>
        </row>
        <row r="3041">
          <cell r="C3041" t="str">
            <v>16.6.2.108</v>
          </cell>
          <cell r="D3041" t="str">
            <v>Luminária Blindada Para Lâmpada Incandescente De 200W/220V</v>
          </cell>
          <cell r="E3041" t="str">
            <v>un</v>
          </cell>
          <cell r="F3041"/>
          <cell r="G3041">
            <v>211.66</v>
          </cell>
          <cell r="H3041">
            <v>0</v>
          </cell>
        </row>
        <row r="3042">
          <cell r="C3042" t="str">
            <v>16.6.2.109</v>
          </cell>
          <cell r="D3042" t="str">
            <v>Lâmpada Tipo Standard Incandescente 200W/220V</v>
          </cell>
          <cell r="E3042" t="str">
            <v>un</v>
          </cell>
          <cell r="F3042"/>
          <cell r="G3042">
            <v>10.28</v>
          </cell>
          <cell r="H3042">
            <v>0</v>
          </cell>
        </row>
        <row r="3043">
          <cell r="C3043" t="str">
            <v>16.6.2.110</v>
          </cell>
          <cell r="D3043" t="str">
            <v>Interruptor De Luz Simples 10A/220V Com Tomada Universal 2P 15A/250V</v>
          </cell>
          <cell r="E3043" t="str">
            <v>un</v>
          </cell>
          <cell r="F3043"/>
          <cell r="G3043">
            <v>9.77</v>
          </cell>
          <cell r="H3043">
            <v>0</v>
          </cell>
        </row>
        <row r="3044">
          <cell r="C3044" t="str">
            <v>16.6.2.111</v>
          </cell>
          <cell r="D3044" t="str">
            <v>Quadro De Medição Padrão Cepisa Com Disjuntor Tripolar De 25A</v>
          </cell>
          <cell r="E3044" t="str">
            <v>un</v>
          </cell>
          <cell r="F3044"/>
          <cell r="G3044">
            <v>1543.44</v>
          </cell>
          <cell r="H3044">
            <v>0</v>
          </cell>
        </row>
        <row r="3045">
          <cell r="C3045" t="str">
            <v>16.6.2.112</v>
          </cell>
          <cell r="D3045" t="str">
            <v>Interruptor De Luz Seção Dupla 10A/250V</v>
          </cell>
          <cell r="E3045" t="str">
            <v>un</v>
          </cell>
          <cell r="F3045"/>
          <cell r="G3045">
            <v>15.66</v>
          </cell>
          <cell r="H3045">
            <v>0</v>
          </cell>
        </row>
        <row r="3046">
          <cell r="C3046" t="str">
            <v>16.6.2.113</v>
          </cell>
          <cell r="D3046" t="str">
            <v>Transformador Trifásico Tensão Primário 13,8 Kv, Tensão No Secundário 380/220V, Potência Nominal De 10 Kva</v>
          </cell>
          <cell r="E3046" t="str">
            <v>un</v>
          </cell>
          <cell r="F3046"/>
          <cell r="G3046">
            <v>2509.6799999999998</v>
          </cell>
          <cell r="H3046">
            <v>0</v>
          </cell>
        </row>
        <row r="3047">
          <cell r="C3047" t="str">
            <v>16.6.2.114</v>
          </cell>
          <cell r="D3047" t="str">
            <v>Tomada Universal 2P 10A/250V</v>
          </cell>
          <cell r="E3047" t="str">
            <v>un</v>
          </cell>
          <cell r="F3047"/>
          <cell r="G3047">
            <v>10.35</v>
          </cell>
          <cell r="H3047">
            <v>0</v>
          </cell>
        </row>
        <row r="3048">
          <cell r="C3048" t="str">
            <v>16.6.2.115</v>
          </cell>
          <cell r="D3048" t="str">
            <v>Tomada Blindada Com Tampa Mola 2 Pólos 20A/500V</v>
          </cell>
          <cell r="E3048" t="str">
            <v>un</v>
          </cell>
          <cell r="F3048"/>
          <cell r="G3048">
            <v>138.66999999999999</v>
          </cell>
          <cell r="H3048">
            <v>0</v>
          </cell>
        </row>
        <row r="3049">
          <cell r="C3049" t="str">
            <v>16.6.2.116</v>
          </cell>
          <cell r="D3049" t="str">
            <v>Tomada Blindada Com Tampa Mola 3 Pólos  + Terra 20A/500V</v>
          </cell>
          <cell r="E3049" t="str">
            <v>un</v>
          </cell>
          <cell r="F3049"/>
          <cell r="G3049">
            <v>153.19999999999999</v>
          </cell>
          <cell r="H3049">
            <v>0</v>
          </cell>
        </row>
        <row r="3050">
          <cell r="C3050" t="str">
            <v>16.6.2.117</v>
          </cell>
          <cell r="D3050" t="str">
            <v>Quadro Geral De B.T. Em Caixa Metálica Dim. 600X800Mm Contendo:</v>
          </cell>
          <cell r="E3050" t="str">
            <v>un</v>
          </cell>
          <cell r="F3050"/>
          <cell r="G3050">
            <v>2532.73</v>
          </cell>
          <cell r="H3050">
            <v>0</v>
          </cell>
        </row>
        <row r="3051">
          <cell r="C3051"/>
          <cell r="D3051" t="str">
            <v>- 01 Seccionadora Tripolar De Entrada In= 40A</v>
          </cell>
          <cell r="E3051"/>
          <cell r="F3051"/>
          <cell r="G3051">
            <v>0</v>
          </cell>
          <cell r="H3051">
            <v>0</v>
          </cell>
        </row>
        <row r="3052">
          <cell r="C3052"/>
          <cell r="D3052" t="str">
            <v>- 03 Amperímetros Escala 0-40/5A</v>
          </cell>
          <cell r="E3052"/>
          <cell r="F3052"/>
          <cell r="G3052">
            <v>0</v>
          </cell>
          <cell r="H3052">
            <v>0</v>
          </cell>
        </row>
        <row r="3053">
          <cell r="C3053"/>
          <cell r="D3053" t="str">
            <v>- 01 Comutadora E 01 Voltímetro Escala 0-500V</v>
          </cell>
          <cell r="E3053"/>
          <cell r="F3053"/>
          <cell r="G3053">
            <v>0</v>
          </cell>
          <cell r="H3053">
            <v>0</v>
          </cell>
        </row>
        <row r="3054">
          <cell r="C3054"/>
          <cell r="D3054" t="str">
            <v>- 02 Conjuntos De Partida Direta Para Motor De 5 Cv</v>
          </cell>
          <cell r="E3054"/>
          <cell r="F3054"/>
          <cell r="G3054">
            <v>0</v>
          </cell>
          <cell r="H3054">
            <v>0</v>
          </cell>
        </row>
        <row r="3055">
          <cell r="C3055"/>
          <cell r="D3055" t="str">
            <v>- 01 Disjuntor Monopolar 10A</v>
          </cell>
          <cell r="E3055"/>
          <cell r="F3055"/>
          <cell r="G3055">
            <v>0</v>
          </cell>
          <cell r="H3055">
            <v>0</v>
          </cell>
        </row>
        <row r="3056">
          <cell r="C3056"/>
          <cell r="D3056" t="str">
            <v>- 01 Disjuntor Monopolar 15A</v>
          </cell>
          <cell r="E3056"/>
          <cell r="F3056"/>
          <cell r="G3056">
            <v>0</v>
          </cell>
          <cell r="H3056">
            <v>0</v>
          </cell>
        </row>
        <row r="3057">
          <cell r="C3057"/>
          <cell r="D3057" t="str">
            <v>- 01 Disjuntor Monopolar 20A</v>
          </cell>
          <cell r="E3057"/>
          <cell r="F3057"/>
          <cell r="G3057">
            <v>0</v>
          </cell>
          <cell r="H3057">
            <v>0</v>
          </cell>
        </row>
        <row r="3058">
          <cell r="C3058"/>
          <cell r="D3058" t="str">
            <v>- 01 Disjuntor Tripolar 25A</v>
          </cell>
          <cell r="E3058"/>
          <cell r="F3058"/>
          <cell r="G3058">
            <v>0</v>
          </cell>
          <cell r="H3058">
            <v>0</v>
          </cell>
        </row>
        <row r="3059">
          <cell r="C3059" t="str">
            <v>16.6.2.118</v>
          </cell>
          <cell r="D3059" t="str">
            <v xml:space="preserve">Poste Duplo T 10M De Comprimento 200Dan </v>
          </cell>
          <cell r="E3059" t="str">
            <v>un</v>
          </cell>
          <cell r="F3059"/>
          <cell r="G3059">
            <v>914.63</v>
          </cell>
          <cell r="H3059">
            <v>0</v>
          </cell>
        </row>
        <row r="3060">
          <cell r="C3060" t="str">
            <v>16.6.2.119</v>
          </cell>
          <cell r="D3060" t="str">
            <v>Chave Fusível 100A/15 Kv, Com Elo 1H</v>
          </cell>
          <cell r="E3060" t="str">
            <v>un</v>
          </cell>
          <cell r="F3060"/>
          <cell r="G3060">
            <v>528.78</v>
          </cell>
          <cell r="H3060">
            <v>0</v>
          </cell>
        </row>
        <row r="3061">
          <cell r="C3061" t="str">
            <v>16.6.2.120</v>
          </cell>
          <cell r="D3061" t="str">
            <v>Para-Raios De Distribuição Vn=12 Kv, Icc=5 Ka, Com Desligador</v>
          </cell>
          <cell r="E3061" t="str">
            <v>un</v>
          </cell>
          <cell r="F3061"/>
          <cell r="G3061">
            <v>566.37</v>
          </cell>
          <cell r="H3061">
            <v>0</v>
          </cell>
        </row>
        <row r="3062">
          <cell r="C3062" t="str">
            <v>16.6.2.121</v>
          </cell>
          <cell r="D3062" t="str">
            <v>Condulete Dn 25Mm Tipo C</v>
          </cell>
          <cell r="E3062" t="str">
            <v>un</v>
          </cell>
          <cell r="F3062"/>
          <cell r="G3062">
            <v>17.89</v>
          </cell>
          <cell r="H3062">
            <v>0</v>
          </cell>
        </row>
        <row r="3063">
          <cell r="C3063" t="str">
            <v>16.6.2.122</v>
          </cell>
          <cell r="D3063" t="str">
            <v>Cruzeta De Concreto</v>
          </cell>
          <cell r="E3063" t="str">
            <v>un</v>
          </cell>
          <cell r="F3063"/>
          <cell r="G3063">
            <v>308.68</v>
          </cell>
          <cell r="H3063">
            <v>0</v>
          </cell>
        </row>
        <row r="3064">
          <cell r="C3064" t="str">
            <v>16.6.2.123</v>
          </cell>
          <cell r="D3064" t="str">
            <v>Isolador De Disco Para Rede Classe 15 Kv</v>
          </cell>
          <cell r="E3064" t="str">
            <v>un</v>
          </cell>
          <cell r="F3064"/>
          <cell r="G3064">
            <v>106.67</v>
          </cell>
          <cell r="H3064">
            <v>0</v>
          </cell>
        </row>
        <row r="3065">
          <cell r="C3065" t="str">
            <v>16.6.2.124</v>
          </cell>
          <cell r="D3065" t="str">
            <v>Condulete Dn 32Mm Tipo Lr</v>
          </cell>
          <cell r="E3065" t="str">
            <v>un</v>
          </cell>
          <cell r="F3065"/>
          <cell r="G3065">
            <v>24.74</v>
          </cell>
          <cell r="H3065">
            <v>0</v>
          </cell>
        </row>
        <row r="3066">
          <cell r="C3066" t="str">
            <v>16.6.2.125</v>
          </cell>
          <cell r="D3066" t="str">
            <v>Condulete Dn 50Mm Tipo Ll</v>
          </cell>
          <cell r="E3066" t="str">
            <v>un</v>
          </cell>
          <cell r="F3066"/>
          <cell r="G3066">
            <v>38.619999999999997</v>
          </cell>
          <cell r="H3066">
            <v>0</v>
          </cell>
        </row>
        <row r="3067">
          <cell r="C3067" t="str">
            <v>16.6.2.126</v>
          </cell>
          <cell r="D3067" t="str">
            <v>Conectores Para Haste De Aterramento</v>
          </cell>
          <cell r="E3067" t="str">
            <v>un</v>
          </cell>
          <cell r="F3067"/>
          <cell r="G3067">
            <v>16.010000000000002</v>
          </cell>
          <cell r="H3067">
            <v>0</v>
          </cell>
        </row>
        <row r="3068">
          <cell r="C3068" t="str">
            <v>16.6.2.127</v>
          </cell>
          <cell r="D3068" t="str">
            <v>Haste De Aterramento Cobreada Ø19Mm L=3M</v>
          </cell>
          <cell r="E3068" t="str">
            <v>un</v>
          </cell>
          <cell r="F3068"/>
          <cell r="G3068">
            <v>97.17</v>
          </cell>
          <cell r="H3068">
            <v>0</v>
          </cell>
        </row>
        <row r="3069">
          <cell r="C3069" t="str">
            <v>16.6.2.128</v>
          </cell>
          <cell r="D3069" t="str">
            <v>Transmissor/Receptor De Sinal De Rádio</v>
          </cell>
          <cell r="E3069" t="str">
            <v>un</v>
          </cell>
          <cell r="F3069"/>
          <cell r="G3069">
            <v>2858.25</v>
          </cell>
          <cell r="H3069">
            <v>0</v>
          </cell>
        </row>
        <row r="3070">
          <cell r="C3070" t="str">
            <v>16.7</v>
          </cell>
          <cell r="D3070" t="str">
            <v>16.7 - RESERVATÓRIO ELEVADO</v>
          </cell>
          <cell r="E3070"/>
          <cell r="F3070"/>
          <cell r="G3070">
            <v>0</v>
          </cell>
          <cell r="H3070">
            <v>0</v>
          </cell>
        </row>
        <row r="3071">
          <cell r="C3071" t="str">
            <v>16.7.1</v>
          </cell>
          <cell r="D3071" t="str">
            <v>OBRAS CIVIS E MONTAGEM</v>
          </cell>
          <cell r="E3071"/>
          <cell r="F3071"/>
          <cell r="G3071">
            <v>0</v>
          </cell>
          <cell r="H3071">
            <v>0</v>
          </cell>
        </row>
        <row r="3072">
          <cell r="C3072" t="str">
            <v>16.7.1.1</v>
          </cell>
          <cell r="D3072" t="str">
            <v>Desmatamento, Destocamento E Limpeza Do Terreno</v>
          </cell>
          <cell r="E3072" t="str">
            <v>ha</v>
          </cell>
          <cell r="F3072"/>
          <cell r="G3072">
            <v>1660.74</v>
          </cell>
          <cell r="H3072">
            <v>0</v>
          </cell>
        </row>
        <row r="3073">
          <cell r="C3073" t="str">
            <v>16.7.1.2</v>
          </cell>
          <cell r="D3073" t="str">
            <v>Escavação Mecânica Em Material De 1ª Categoria, Dmt &lt;= 300 M</v>
          </cell>
          <cell r="E3073" t="str">
            <v>m²</v>
          </cell>
          <cell r="F3073"/>
          <cell r="G3073">
            <v>5.54</v>
          </cell>
          <cell r="H3073">
            <v>0</v>
          </cell>
        </row>
        <row r="3074">
          <cell r="C3074" t="str">
            <v>16.7.1.3</v>
          </cell>
          <cell r="D3074" t="str">
            <v>Reaterro Compactado C/Reaproveitamento Do Material Escavado</v>
          </cell>
          <cell r="E3074" t="str">
            <v>m³</v>
          </cell>
          <cell r="F3074"/>
          <cell r="G3074">
            <v>7.41</v>
          </cell>
          <cell r="H3074">
            <v>0</v>
          </cell>
        </row>
        <row r="3075">
          <cell r="C3075" t="str">
            <v>16.7.1.4</v>
          </cell>
          <cell r="D3075" t="str">
            <v>Preparo, Lançamento E Adensamento De Concreto  (Ca-5 E)</v>
          </cell>
          <cell r="E3075" t="str">
            <v>m³</v>
          </cell>
          <cell r="F3075"/>
          <cell r="G3075">
            <v>271.56</v>
          </cell>
          <cell r="H3075">
            <v>0</v>
          </cell>
        </row>
        <row r="3076">
          <cell r="C3076" t="str">
            <v>16.7.1.5</v>
          </cell>
          <cell r="D3076" t="str">
            <v>Escoramento Contínuo De Valas</v>
          </cell>
          <cell r="E3076" t="str">
            <v>m²</v>
          </cell>
          <cell r="F3076"/>
          <cell r="G3076">
            <v>48.83</v>
          </cell>
          <cell r="H3076">
            <v>0</v>
          </cell>
        </row>
        <row r="3077">
          <cell r="C3077" t="str">
            <v>16.7.1.6</v>
          </cell>
          <cell r="D3077" t="str">
            <v>Preparo, Lançamento E Adensamento De Concreto  (Ca-8 J)</v>
          </cell>
          <cell r="E3077" t="str">
            <v>m³</v>
          </cell>
          <cell r="F3077"/>
          <cell r="G3077">
            <v>222.4</v>
          </cell>
          <cell r="H3077">
            <v>0</v>
          </cell>
        </row>
        <row r="3078">
          <cell r="C3078" t="str">
            <v>16.7.1.7</v>
          </cell>
          <cell r="D3078" t="str">
            <v>Preparo, Lançamento E Adensamento De Concreto  (Ca-8 J)</v>
          </cell>
          <cell r="E3078" t="str">
            <v>m³</v>
          </cell>
          <cell r="F3078"/>
          <cell r="G3078">
            <v>222.4</v>
          </cell>
          <cell r="H3078">
            <v>0</v>
          </cell>
        </row>
        <row r="3079">
          <cell r="C3079" t="str">
            <v>16.7.1.8</v>
          </cell>
          <cell r="D3079" t="str">
            <v>Armadura P/ Concreto Estrutural Aço Ca-50 B</v>
          </cell>
          <cell r="E3079" t="str">
            <v>kg</v>
          </cell>
          <cell r="F3079"/>
          <cell r="G3079">
            <v>3.87</v>
          </cell>
          <cell r="H3079">
            <v>0</v>
          </cell>
        </row>
        <row r="3080">
          <cell r="C3080" t="str">
            <v>16.7.1.9</v>
          </cell>
          <cell r="D3080" t="str">
            <v>Formas Planas Para Concreto</v>
          </cell>
          <cell r="E3080" t="str">
            <v>m²</v>
          </cell>
          <cell r="F3080"/>
          <cell r="G3080">
            <v>53.52</v>
          </cell>
          <cell r="H3080">
            <v>0</v>
          </cell>
        </row>
        <row r="3081">
          <cell r="C3081" t="str">
            <v>16.7.1.10</v>
          </cell>
          <cell r="D3081" t="str">
            <v>Alvenaria De Tijolo Cerâmico 6 X 11 X 20 Cm Espessura 15 Cm</v>
          </cell>
          <cell r="E3081" t="str">
            <v>m²</v>
          </cell>
          <cell r="F3081"/>
          <cell r="G3081">
            <v>46.65</v>
          </cell>
          <cell r="H3081">
            <v>0</v>
          </cell>
        </row>
        <row r="3082">
          <cell r="C3082" t="str">
            <v>16.7.1.11</v>
          </cell>
          <cell r="D3082" t="str">
            <v>Pavimentação Com Saibro</v>
          </cell>
          <cell r="E3082" t="str">
            <v>m²</v>
          </cell>
          <cell r="F3082"/>
          <cell r="G3082">
            <v>1.73</v>
          </cell>
          <cell r="H3082">
            <v>0</v>
          </cell>
        </row>
        <row r="3083">
          <cell r="C3083" t="str">
            <v>16.7.1.12</v>
          </cell>
          <cell r="D3083" t="str">
            <v>Portão</v>
          </cell>
          <cell r="E3083" t="str">
            <v>un</v>
          </cell>
          <cell r="F3083"/>
          <cell r="G3083">
            <v>1312.15</v>
          </cell>
          <cell r="H3083">
            <v>0</v>
          </cell>
        </row>
        <row r="3084">
          <cell r="C3084" t="str">
            <v>16.7.1.13</v>
          </cell>
          <cell r="D3084" t="str">
            <v>Guarda -Corpo</v>
          </cell>
          <cell r="E3084" t="str">
            <v>m</v>
          </cell>
          <cell r="F3084"/>
          <cell r="G3084">
            <v>57.83</v>
          </cell>
          <cell r="H3084">
            <v>0</v>
          </cell>
        </row>
        <row r="3085">
          <cell r="C3085" t="str">
            <v>16.7.1.14</v>
          </cell>
          <cell r="D3085" t="str">
            <v>Montagem De Tubulação Em Fºgº, Ø2", Inclusive Acessórios</v>
          </cell>
          <cell r="E3085" t="str">
            <v>m</v>
          </cell>
          <cell r="F3085"/>
          <cell r="G3085">
            <v>9.52</v>
          </cell>
          <cell r="H3085">
            <v>0</v>
          </cell>
        </row>
        <row r="3086">
          <cell r="C3086" t="str">
            <v>16.7.1.15</v>
          </cell>
          <cell r="D3086" t="str">
            <v>Escada Marinheiro Tipo Piscina Com Proteção</v>
          </cell>
          <cell r="E3086" t="str">
            <v>m</v>
          </cell>
          <cell r="F3086"/>
          <cell r="G3086">
            <v>77.069999999999993</v>
          </cell>
          <cell r="H3086">
            <v>0</v>
          </cell>
        </row>
        <row r="3087">
          <cell r="C3087" t="str">
            <v>16.7.1.16</v>
          </cell>
          <cell r="D3087" t="str">
            <v>Plataforma Metálica Em Chapa Xadrez</v>
          </cell>
          <cell r="E3087" t="str">
            <v>m²</v>
          </cell>
          <cell r="F3087"/>
          <cell r="G3087">
            <v>267.3</v>
          </cell>
          <cell r="H3087">
            <v>0</v>
          </cell>
        </row>
        <row r="3088">
          <cell r="C3088" t="str">
            <v>16.7.1.17</v>
          </cell>
          <cell r="D3088" t="str">
            <v>Montagem De  Reservatório Tipo Tanque De Plástico Reforçado C/ Fibra De Vidro V= 20 M³</v>
          </cell>
          <cell r="E3088" t="str">
            <v>un</v>
          </cell>
          <cell r="F3088"/>
          <cell r="G3088">
            <v>823.84</v>
          </cell>
          <cell r="H3088">
            <v>0</v>
          </cell>
        </row>
        <row r="3089">
          <cell r="C3089" t="str">
            <v>16.7.1.18</v>
          </cell>
          <cell r="D3089" t="str">
            <v>Montagem De Tubulação Em Fº Gº, Ø3", Inclusive Acessórios</v>
          </cell>
          <cell r="E3089" t="str">
            <v>m</v>
          </cell>
          <cell r="F3089"/>
          <cell r="G3089">
            <v>11.19</v>
          </cell>
          <cell r="H3089">
            <v>0</v>
          </cell>
        </row>
        <row r="3090">
          <cell r="C3090" t="str">
            <v>16.7.1.19</v>
          </cell>
          <cell r="D3090" t="str">
            <v>Plantio De Grama</v>
          </cell>
          <cell r="E3090" t="str">
            <v>m²</v>
          </cell>
          <cell r="F3090"/>
          <cell r="G3090">
            <v>4.79</v>
          </cell>
          <cell r="H3090">
            <v>0</v>
          </cell>
        </row>
        <row r="3091">
          <cell r="C3091" t="str">
            <v>16.7.1.20</v>
          </cell>
          <cell r="D3091" t="str">
            <v>Plantio De Vegetação Grande Porte</v>
          </cell>
          <cell r="E3091" t="str">
            <v>un</v>
          </cell>
          <cell r="F3091"/>
          <cell r="G3091">
            <v>77.7</v>
          </cell>
          <cell r="H3091">
            <v>0</v>
          </cell>
        </row>
        <row r="3092">
          <cell r="C3092" t="str">
            <v>16.7.1.21</v>
          </cell>
          <cell r="D3092" t="str">
            <v>Montagem De Tubulação Em Fº Gº, Ø4", Inclusive Acessórios</v>
          </cell>
          <cell r="E3092" t="str">
            <v>m</v>
          </cell>
          <cell r="F3092"/>
          <cell r="G3092">
            <v>16.18</v>
          </cell>
          <cell r="H3092">
            <v>0</v>
          </cell>
        </row>
        <row r="3093">
          <cell r="C3093" t="str">
            <v>16.7.1.22</v>
          </cell>
          <cell r="D3093" t="str">
            <v>Montagem De  Reservatório Tipo Tanque De Plástico Reforçado C/ Fibra De Vidro V= 50 M³</v>
          </cell>
          <cell r="E3093" t="str">
            <v>un</v>
          </cell>
          <cell r="F3093"/>
          <cell r="G3093">
            <v>1814.58</v>
          </cell>
          <cell r="H3093">
            <v>0</v>
          </cell>
        </row>
        <row r="3094">
          <cell r="C3094" t="str">
            <v>16.7.1.23</v>
          </cell>
          <cell r="D3094" t="str">
            <v>Plantio De Vegetação Médio Porte</v>
          </cell>
          <cell r="E3094" t="str">
            <v>un</v>
          </cell>
          <cell r="F3094"/>
          <cell r="G3094">
            <v>56.03</v>
          </cell>
          <cell r="H3094">
            <v>0</v>
          </cell>
        </row>
        <row r="3095">
          <cell r="C3095" t="str">
            <v>16.7.1.24</v>
          </cell>
          <cell r="D3095" t="str">
            <v>Montagem De  Eletroduto De Pvc Rígido Dn 25Mm L=3M</v>
          </cell>
          <cell r="E3095" t="str">
            <v>un</v>
          </cell>
          <cell r="F3095"/>
          <cell r="G3095">
            <v>3.32</v>
          </cell>
          <cell r="H3095">
            <v>0</v>
          </cell>
        </row>
        <row r="3096">
          <cell r="C3096" t="str">
            <v>16.7.1.25</v>
          </cell>
          <cell r="D3096" t="str">
            <v>Montagem De Reservatório Tipo Tanque De Plástico Reforçado C/ Fibra De Vidro V= 25 M³</v>
          </cell>
          <cell r="E3096" t="str">
            <v>un</v>
          </cell>
          <cell r="F3096"/>
          <cell r="G3096">
            <v>1453.43</v>
          </cell>
          <cell r="H3096">
            <v>0</v>
          </cell>
        </row>
        <row r="3097">
          <cell r="C3097" t="str">
            <v>16.7.1.26</v>
          </cell>
          <cell r="D3097" t="str">
            <v>Montagem De  Cabo De Cobre Múltiplo 2X1,5Mm² Pvc 1Kv</v>
          </cell>
          <cell r="E3097" t="str">
            <v>m</v>
          </cell>
          <cell r="F3097"/>
          <cell r="G3097">
            <v>0.95</v>
          </cell>
          <cell r="H3097">
            <v>0</v>
          </cell>
        </row>
        <row r="3098">
          <cell r="C3098" t="str">
            <v>16.7.1.27</v>
          </cell>
          <cell r="D3098" t="str">
            <v>Montagem De Eletroduto De Pvc Rígido Dn 25Mm L=3M</v>
          </cell>
          <cell r="E3098" t="str">
            <v>un</v>
          </cell>
          <cell r="F3098"/>
          <cell r="G3098">
            <v>3.32</v>
          </cell>
          <cell r="H3098">
            <v>0</v>
          </cell>
        </row>
        <row r="3099">
          <cell r="C3099" t="str">
            <v>16.7.1.28</v>
          </cell>
          <cell r="D3099" t="str">
            <v>Montagem De  Cabo De Cobre Múltiplo 3X1,5Mm² Pvc 1Kv</v>
          </cell>
          <cell r="E3099" t="str">
            <v>m</v>
          </cell>
          <cell r="F3099"/>
          <cell r="G3099">
            <v>2.84</v>
          </cell>
          <cell r="H3099">
            <v>0</v>
          </cell>
        </row>
        <row r="3100">
          <cell r="C3100" t="str">
            <v>16.7.1.29</v>
          </cell>
          <cell r="D3100" t="str">
            <v>Montagem De Eletroduto De Pvc Rígido Dn 32Mm L=3M</v>
          </cell>
          <cell r="E3100" t="str">
            <v>un</v>
          </cell>
          <cell r="F3100"/>
          <cell r="G3100">
            <v>5.0599999999999996</v>
          </cell>
          <cell r="H3100">
            <v>0</v>
          </cell>
        </row>
        <row r="3101">
          <cell r="C3101" t="str">
            <v>16.7.1.30</v>
          </cell>
          <cell r="D3101" t="str">
            <v>Montagem De  Condulete Dn 25Mm Tipo Lb</v>
          </cell>
          <cell r="E3101" t="str">
            <v>un</v>
          </cell>
          <cell r="F3101"/>
          <cell r="G3101">
            <v>4.0199999999999996</v>
          </cell>
          <cell r="H3101">
            <v>0</v>
          </cell>
        </row>
        <row r="3102">
          <cell r="C3102" t="str">
            <v>16.7.1.31</v>
          </cell>
          <cell r="D3102" t="str">
            <v>Montagem De Cabo De Cobre Múltiplo 2X1,5Mm² Pvc 1Kv</v>
          </cell>
          <cell r="E3102" t="str">
            <v>m</v>
          </cell>
          <cell r="F3102"/>
          <cell r="G3102">
            <v>0.95</v>
          </cell>
          <cell r="H3102">
            <v>0</v>
          </cell>
        </row>
        <row r="3103">
          <cell r="C3103" t="str">
            <v>16.7.1.32</v>
          </cell>
          <cell r="D3103" t="str">
            <v>Montagem De Cabo De Cobre Múltiplo 2X2,5Mm² Pvc 1Kv</v>
          </cell>
          <cell r="E3103" t="str">
            <v>m</v>
          </cell>
          <cell r="F3103"/>
          <cell r="G3103">
            <v>1.36</v>
          </cell>
          <cell r="H3103">
            <v>0</v>
          </cell>
        </row>
        <row r="3104">
          <cell r="C3104" t="str">
            <v>16.7.1.33</v>
          </cell>
          <cell r="D3104" t="str">
            <v>Montagem De Cabo De Cobre Múltiplo 3X1,5Mm² Pvc 1Kv</v>
          </cell>
          <cell r="E3104" t="str">
            <v>m</v>
          </cell>
          <cell r="F3104"/>
          <cell r="G3104">
            <v>2.84</v>
          </cell>
          <cell r="H3104">
            <v>0</v>
          </cell>
        </row>
        <row r="3105">
          <cell r="C3105" t="str">
            <v>16.7.1.34</v>
          </cell>
          <cell r="D3105" t="str">
            <v>Montagem De Quadro De Medição Padrão Cemig Com Disjuntor Monopolar De 10A</v>
          </cell>
          <cell r="E3105" t="str">
            <v>un</v>
          </cell>
          <cell r="F3105"/>
          <cell r="G3105">
            <v>346.44</v>
          </cell>
          <cell r="H3105">
            <v>0</v>
          </cell>
        </row>
        <row r="3106">
          <cell r="C3106" t="str">
            <v>16.7.1.35</v>
          </cell>
          <cell r="D3106" t="str">
            <v>Montagem De Condulete Dn 25Mm Tipo Lb</v>
          </cell>
          <cell r="E3106" t="str">
            <v>un</v>
          </cell>
          <cell r="F3106"/>
          <cell r="G3106">
            <v>4.0199999999999996</v>
          </cell>
          <cell r="H3106">
            <v>0</v>
          </cell>
        </row>
        <row r="3107">
          <cell r="C3107" t="str">
            <v>16.7.1.36</v>
          </cell>
          <cell r="D3107" t="str">
            <v xml:space="preserve">Montagem De Poste Duplo T 10M De Comprimento 200Dan </v>
          </cell>
          <cell r="E3107" t="str">
            <v>un</v>
          </cell>
          <cell r="F3107"/>
          <cell r="G3107">
            <v>205.3</v>
          </cell>
          <cell r="H3107">
            <v>0</v>
          </cell>
        </row>
        <row r="3108">
          <cell r="C3108" t="str">
            <v>16.7.2</v>
          </cell>
          <cell r="D3108" t="str">
            <v>FORNECIMENTO (O BDI do item 16.7.2 foi reduzido de 40% para 37,2%)</v>
          </cell>
          <cell r="E3108"/>
          <cell r="F3108"/>
          <cell r="G3108">
            <v>0</v>
          </cell>
          <cell r="H3108">
            <v>0</v>
          </cell>
        </row>
        <row r="3109">
          <cell r="C3109" t="str">
            <v>16.7.2.1</v>
          </cell>
          <cell r="D3109" t="str">
            <v>Tubulações E Conexões Em Ferro Galvanizado:</v>
          </cell>
          <cell r="E3109"/>
          <cell r="F3109"/>
          <cell r="G3109">
            <v>0</v>
          </cell>
          <cell r="H3109">
            <v>0</v>
          </cell>
        </row>
        <row r="3110">
          <cell r="C3110" t="str">
            <v>16.7.2.2</v>
          </cell>
          <cell r="D3110" t="str">
            <v>Tubo C/ Roscas L= 0,60 M Dn 4"</v>
          </cell>
          <cell r="E3110" t="str">
            <v>un</v>
          </cell>
          <cell r="F3110"/>
          <cell r="G3110">
            <v>62.22</v>
          </cell>
          <cell r="H3110">
            <v>0</v>
          </cell>
        </row>
        <row r="3111">
          <cell r="C3111" t="str">
            <v>16.7.2.3</v>
          </cell>
          <cell r="D3111" t="str">
            <v>Tê De Redução Dn 3"X 2"</v>
          </cell>
          <cell r="E3111" t="str">
            <v>un</v>
          </cell>
          <cell r="F3111"/>
          <cell r="G3111">
            <v>46.36</v>
          </cell>
          <cell r="H3111">
            <v>0</v>
          </cell>
        </row>
        <row r="3112">
          <cell r="C3112" t="str">
            <v>16.7.2.4</v>
          </cell>
          <cell r="D3112" t="str">
            <v>Tubo C/ Roscas L= 6,00 M Dn 4"</v>
          </cell>
          <cell r="E3112" t="str">
            <v>un</v>
          </cell>
          <cell r="F3112"/>
          <cell r="G3112">
            <v>444</v>
          </cell>
          <cell r="H3112">
            <v>0</v>
          </cell>
        </row>
        <row r="3113">
          <cell r="C3113" t="str">
            <v>16.7.2.5</v>
          </cell>
          <cell r="D3113" t="str">
            <v>Curva 90º Fêmea Dn 3"</v>
          </cell>
          <cell r="E3113" t="str">
            <v>un</v>
          </cell>
          <cell r="F3113"/>
          <cell r="G3113">
            <v>87.77</v>
          </cell>
          <cell r="H3113">
            <v>0</v>
          </cell>
        </row>
        <row r="3114">
          <cell r="C3114" t="str">
            <v>16.7.2.6</v>
          </cell>
          <cell r="D3114" t="str">
            <v>Tubo C/ Roscas L= 5,00 M Dn 3"</v>
          </cell>
          <cell r="E3114" t="str">
            <v>un</v>
          </cell>
          <cell r="F3114"/>
          <cell r="G3114">
            <v>305.73</v>
          </cell>
          <cell r="H3114">
            <v>0</v>
          </cell>
        </row>
        <row r="3115">
          <cell r="C3115" t="str">
            <v>16.7.2.7</v>
          </cell>
          <cell r="D3115" t="str">
            <v>Tubo C/ Roscas L= 5,00 M Dn 4"</v>
          </cell>
          <cell r="E3115" t="str">
            <v>un</v>
          </cell>
          <cell r="F3115"/>
          <cell r="G3115">
            <v>434.77</v>
          </cell>
          <cell r="H3115">
            <v>0</v>
          </cell>
        </row>
        <row r="3116">
          <cell r="C3116" t="str">
            <v>16.7.2.8</v>
          </cell>
          <cell r="D3116" t="str">
            <v>Cotovelo 45º Dn 3"</v>
          </cell>
          <cell r="E3116" t="str">
            <v>un</v>
          </cell>
          <cell r="F3116"/>
          <cell r="G3116">
            <v>34.270000000000003</v>
          </cell>
          <cell r="H3116">
            <v>0</v>
          </cell>
        </row>
        <row r="3117">
          <cell r="C3117" t="str">
            <v>16.7.2.9</v>
          </cell>
          <cell r="D3117" t="str">
            <v>Niple Duplo Dn 3"</v>
          </cell>
          <cell r="E3117" t="str">
            <v>un</v>
          </cell>
          <cell r="F3117"/>
          <cell r="G3117">
            <v>23.41</v>
          </cell>
          <cell r="H3117">
            <v>0</v>
          </cell>
        </row>
        <row r="3118">
          <cell r="C3118" t="str">
            <v>16.7.2.10</v>
          </cell>
          <cell r="D3118" t="str">
            <v>Tubo C/ Roscas L= 0,50 M Dn 4"</v>
          </cell>
          <cell r="E3118" t="str">
            <v>un</v>
          </cell>
          <cell r="F3118"/>
          <cell r="G3118">
            <v>53.77</v>
          </cell>
          <cell r="H3118">
            <v>0</v>
          </cell>
        </row>
        <row r="3119">
          <cell r="C3119" t="str">
            <v>16.7.2.11</v>
          </cell>
          <cell r="D3119" t="str">
            <v>Tubo C/ Roscas L= 6,00 M Dn 2"</v>
          </cell>
          <cell r="E3119" t="str">
            <v>un</v>
          </cell>
          <cell r="F3119"/>
          <cell r="G3119">
            <v>185.72</v>
          </cell>
          <cell r="H3119">
            <v>0</v>
          </cell>
        </row>
        <row r="3120">
          <cell r="C3120" t="str">
            <v>16.7.2.12</v>
          </cell>
          <cell r="D3120" t="str">
            <v>União C/ Assento Cônico Em Bronze Dn 3"</v>
          </cell>
          <cell r="E3120" t="str">
            <v>un</v>
          </cell>
          <cell r="F3120"/>
          <cell r="G3120">
            <v>121.7</v>
          </cell>
          <cell r="H3120">
            <v>0</v>
          </cell>
        </row>
        <row r="3121">
          <cell r="C3121" t="str">
            <v>16.7.2.13</v>
          </cell>
          <cell r="D3121" t="str">
            <v>Tubo C/ Roscas L= 4,50 M Dn 2"</v>
          </cell>
          <cell r="E3121" t="str">
            <v>un</v>
          </cell>
          <cell r="F3121"/>
          <cell r="G3121">
            <v>187.41</v>
          </cell>
          <cell r="H3121">
            <v>0</v>
          </cell>
        </row>
        <row r="3122">
          <cell r="C3122" t="str">
            <v>16.7.2.14</v>
          </cell>
          <cell r="D3122" t="str">
            <v>Tubo C/ Roscas L= 4,50 M Dn 3"</v>
          </cell>
          <cell r="E3122" t="str">
            <v>un</v>
          </cell>
          <cell r="F3122"/>
          <cell r="G3122">
            <v>276.16000000000003</v>
          </cell>
          <cell r="H3122">
            <v>0</v>
          </cell>
        </row>
        <row r="3123">
          <cell r="C3123" t="str">
            <v>16.7.2.15</v>
          </cell>
          <cell r="D3123" t="str">
            <v>Tubo C/ Roscas L= 0,60 M Dn 3"</v>
          </cell>
          <cell r="E3123" t="str">
            <v>un</v>
          </cell>
          <cell r="F3123"/>
          <cell r="G3123">
            <v>34.880000000000003</v>
          </cell>
          <cell r="H3123">
            <v>0</v>
          </cell>
        </row>
        <row r="3124">
          <cell r="C3124" t="str">
            <v>16.7.2.16</v>
          </cell>
          <cell r="D3124" t="str">
            <v>Tubo C/ Roscas L= 0,40 M Dn 2"</v>
          </cell>
          <cell r="E3124" t="str">
            <v>un</v>
          </cell>
          <cell r="F3124"/>
          <cell r="G3124">
            <v>27.07</v>
          </cell>
          <cell r="H3124">
            <v>0</v>
          </cell>
        </row>
        <row r="3125">
          <cell r="C3125" t="str">
            <v>16.7.2.17</v>
          </cell>
          <cell r="D3125" t="str">
            <v>Tubo C/ Roscas L= 0,40 M Dn 3"</v>
          </cell>
          <cell r="E3125" t="str">
            <v>un</v>
          </cell>
          <cell r="F3125"/>
          <cell r="G3125">
            <v>34.880000000000003</v>
          </cell>
          <cell r="H3125">
            <v>0</v>
          </cell>
        </row>
        <row r="3126">
          <cell r="C3126" t="str">
            <v>16.7.2.18</v>
          </cell>
          <cell r="D3126" t="str">
            <v>Tubo C/ Roscas L= 0,50 M Dn 3"</v>
          </cell>
          <cell r="E3126" t="str">
            <v>un</v>
          </cell>
          <cell r="F3126"/>
          <cell r="G3126">
            <v>37.659999999999997</v>
          </cell>
          <cell r="H3126">
            <v>0</v>
          </cell>
        </row>
        <row r="3127">
          <cell r="C3127" t="str">
            <v>16.7.2.19</v>
          </cell>
          <cell r="D3127" t="str">
            <v>Tubo C/ Roscas L= 5,30 M Dn 3"</v>
          </cell>
          <cell r="E3127" t="str">
            <v>un</v>
          </cell>
          <cell r="F3127"/>
          <cell r="G3127">
            <v>334.14</v>
          </cell>
          <cell r="H3127">
            <v>0</v>
          </cell>
        </row>
        <row r="3128">
          <cell r="C3128" t="str">
            <v>16.7.2.20</v>
          </cell>
          <cell r="D3128" t="str">
            <v>Tubo C/ Roscas L= 6,00 M Dn 3"</v>
          </cell>
          <cell r="E3128" t="str">
            <v>un</v>
          </cell>
          <cell r="F3128"/>
          <cell r="G3128">
            <v>308.77999999999997</v>
          </cell>
          <cell r="H3128">
            <v>0</v>
          </cell>
        </row>
        <row r="3129">
          <cell r="C3129" t="str">
            <v>16.7.2.21</v>
          </cell>
          <cell r="D3129" t="str">
            <v>Tubo C/ Roscas L= 3,80 M Dn 3"</v>
          </cell>
          <cell r="E3129" t="str">
            <v>un</v>
          </cell>
          <cell r="F3129"/>
          <cell r="G3129">
            <v>58.49</v>
          </cell>
          <cell r="H3129">
            <v>0</v>
          </cell>
        </row>
        <row r="3130">
          <cell r="C3130" t="str">
            <v>16.7.2.22</v>
          </cell>
          <cell r="D3130" t="str">
            <v>Curva 90º Fêmea Dn 4"</v>
          </cell>
          <cell r="E3130" t="str">
            <v>un</v>
          </cell>
          <cell r="F3130"/>
          <cell r="G3130">
            <v>151.36000000000001</v>
          </cell>
          <cell r="H3130">
            <v>0</v>
          </cell>
        </row>
        <row r="3131">
          <cell r="C3131" t="str">
            <v>16.7.2.23</v>
          </cell>
          <cell r="D3131" t="str">
            <v>Registro De Gaveta Em Bronze Dn 3"</v>
          </cell>
          <cell r="E3131" t="str">
            <v>un</v>
          </cell>
          <cell r="F3131"/>
          <cell r="G3131">
            <v>159.03</v>
          </cell>
          <cell r="H3131">
            <v>0</v>
          </cell>
        </row>
        <row r="3132">
          <cell r="C3132" t="str">
            <v>16.7.2.24</v>
          </cell>
          <cell r="D3132" t="str">
            <v>Cotovelo 45º Dn 4"</v>
          </cell>
          <cell r="E3132" t="str">
            <v>un</v>
          </cell>
          <cell r="F3132"/>
          <cell r="G3132">
            <v>68.150000000000006</v>
          </cell>
          <cell r="H3132">
            <v>0</v>
          </cell>
        </row>
        <row r="3133">
          <cell r="C3133" t="str">
            <v>16.7.2.25</v>
          </cell>
          <cell r="D3133" t="str">
            <v>Registro De Gaveta Em Bronze Dn 2"</v>
          </cell>
          <cell r="E3133" t="str">
            <v>un</v>
          </cell>
          <cell r="F3133"/>
          <cell r="G3133">
            <v>53.11</v>
          </cell>
          <cell r="H3133">
            <v>0</v>
          </cell>
        </row>
        <row r="3134">
          <cell r="C3134" t="str">
            <v>16.7.2.26</v>
          </cell>
          <cell r="D3134" t="str">
            <v>Niple Duplo Dn 4"</v>
          </cell>
          <cell r="E3134" t="str">
            <v>un</v>
          </cell>
          <cell r="F3134"/>
          <cell r="G3134">
            <v>37.119999999999997</v>
          </cell>
          <cell r="H3134">
            <v>0</v>
          </cell>
        </row>
        <row r="3135">
          <cell r="C3135" t="str">
            <v>16.7.2.27</v>
          </cell>
          <cell r="D3135" t="str">
            <v>Reservatório Tipo Tanque De Plástico Reforçado C/ Fibra De Vidro V= 25 M³</v>
          </cell>
          <cell r="E3135" t="str">
            <v>un</v>
          </cell>
          <cell r="F3135"/>
          <cell r="G3135">
            <v>23794.94</v>
          </cell>
          <cell r="H3135">
            <v>0</v>
          </cell>
        </row>
        <row r="3136">
          <cell r="C3136" t="str">
            <v>16.7.2.28</v>
          </cell>
          <cell r="D3136" t="str">
            <v>União C/ Assento Cônico Em Bronze Dn 4"</v>
          </cell>
          <cell r="E3136" t="str">
            <v>un</v>
          </cell>
          <cell r="F3136"/>
          <cell r="G3136">
            <v>168.88</v>
          </cell>
          <cell r="H3136">
            <v>0</v>
          </cell>
        </row>
        <row r="3137">
          <cell r="C3137" t="str">
            <v>16.7.2.29</v>
          </cell>
          <cell r="D3137" t="str">
            <v>Eletroduto De Pvc Rígido Dn 25Mm L=3M</v>
          </cell>
          <cell r="E3137" t="str">
            <v>un</v>
          </cell>
          <cell r="F3137"/>
          <cell r="G3137">
            <v>14.86</v>
          </cell>
          <cell r="H3137">
            <v>0</v>
          </cell>
        </row>
        <row r="3138">
          <cell r="C3138" t="str">
            <v>16.7.2.30</v>
          </cell>
          <cell r="D3138" t="str">
            <v>Curva 90º Fêmea Dn 2"</v>
          </cell>
          <cell r="E3138" t="str">
            <v>un</v>
          </cell>
          <cell r="F3138"/>
          <cell r="G3138">
            <v>144.13</v>
          </cell>
          <cell r="H3138">
            <v>0</v>
          </cell>
        </row>
        <row r="3139">
          <cell r="C3139" t="str">
            <v>16.7.2.31</v>
          </cell>
          <cell r="D3139" t="str">
            <v>Eletroduto De Pvc Rígido Dn 32Mm L=3M</v>
          </cell>
          <cell r="E3139" t="str">
            <v>un</v>
          </cell>
          <cell r="F3139"/>
          <cell r="G3139">
            <v>22.65</v>
          </cell>
          <cell r="H3139">
            <v>0</v>
          </cell>
        </row>
        <row r="3140">
          <cell r="C3140" t="str">
            <v>16.7.2.32</v>
          </cell>
          <cell r="D3140" t="str">
            <v>Registro De Gaveta Em Bronze Dn 4"</v>
          </cell>
          <cell r="E3140" t="str">
            <v>un</v>
          </cell>
          <cell r="F3140"/>
          <cell r="G3140">
            <v>1080.19</v>
          </cell>
          <cell r="H3140">
            <v>0</v>
          </cell>
        </row>
        <row r="3141">
          <cell r="C3141" t="str">
            <v>16.7.2.33</v>
          </cell>
          <cell r="D3141" t="str">
            <v>Curva De Eletroduto 90° Dn 25Mm</v>
          </cell>
          <cell r="E3141" t="str">
            <v>un</v>
          </cell>
          <cell r="F3141"/>
          <cell r="G3141">
            <v>3.82</v>
          </cell>
          <cell r="H3141">
            <v>0</v>
          </cell>
        </row>
        <row r="3142">
          <cell r="C3142" t="str">
            <v>16.7.2.34</v>
          </cell>
          <cell r="D3142" t="str">
            <v>Cabo De Cobre Múltiplo 2X1,5Mm² Pvc 1Kv</v>
          </cell>
          <cell r="E3142" t="str">
            <v>m</v>
          </cell>
          <cell r="F3142"/>
          <cell r="G3142">
            <v>4.18</v>
          </cell>
          <cell r="H3142">
            <v>0</v>
          </cell>
        </row>
        <row r="3143">
          <cell r="C3143" t="str">
            <v>16.7.2.35</v>
          </cell>
          <cell r="D3143" t="str">
            <v>Válvula Com Bóia Dn 2"</v>
          </cell>
          <cell r="E3143" t="str">
            <v>un</v>
          </cell>
          <cell r="F3143"/>
          <cell r="G3143">
            <v>540.08000000000004</v>
          </cell>
          <cell r="H3143">
            <v>0</v>
          </cell>
        </row>
        <row r="3144">
          <cell r="C3144" t="str">
            <v>16.7.2.36</v>
          </cell>
          <cell r="D3144" t="str">
            <v>Válvula Com Bóia Em Bronze Dn 3"</v>
          </cell>
          <cell r="E3144" t="str">
            <v>un</v>
          </cell>
          <cell r="F3144"/>
          <cell r="G3144">
            <v>810.13</v>
          </cell>
          <cell r="H3144">
            <v>0</v>
          </cell>
        </row>
        <row r="3145">
          <cell r="C3145" t="str">
            <v>16.7.2.37</v>
          </cell>
          <cell r="D3145" t="str">
            <v>Cabo De Cobre Múltiplo 2X2,5Mm² Pvc 1Kv</v>
          </cell>
          <cell r="E3145" t="str">
            <v>m</v>
          </cell>
          <cell r="F3145"/>
          <cell r="G3145">
            <v>6</v>
          </cell>
          <cell r="H3145">
            <v>0</v>
          </cell>
        </row>
        <row r="3146">
          <cell r="C3146" t="str">
            <v>16.7.2.38</v>
          </cell>
          <cell r="D3146" t="str">
            <v>Reservatório Tipo Tanque De Plástico Reforçado C/ Fibra De Vidro V= 20 M³</v>
          </cell>
          <cell r="E3146" t="str">
            <v>un</v>
          </cell>
          <cell r="F3146"/>
          <cell r="G3146">
            <v>14712.39</v>
          </cell>
          <cell r="H3146">
            <v>0</v>
          </cell>
        </row>
        <row r="3147">
          <cell r="C3147" t="str">
            <v>16.7.2.39</v>
          </cell>
          <cell r="D3147" t="str">
            <v>Reservatório Tipo Tanque De Plástico Reforçado C/ Fibra De Vidro V= 50 M³</v>
          </cell>
          <cell r="E3147" t="str">
            <v>un</v>
          </cell>
          <cell r="F3147"/>
          <cell r="G3147">
            <v>33855.82</v>
          </cell>
          <cell r="H3147">
            <v>0</v>
          </cell>
        </row>
        <row r="3148">
          <cell r="C3148" t="str">
            <v>16.7.2.40</v>
          </cell>
          <cell r="D3148" t="str">
            <v>Cabo De Cobre Múltiplo 3X1,5Mm² Pvc 1Kv</v>
          </cell>
          <cell r="E3148" t="str">
            <v>m</v>
          </cell>
          <cell r="F3148"/>
          <cell r="G3148">
            <v>12.62</v>
          </cell>
          <cell r="H3148">
            <v>0</v>
          </cell>
        </row>
        <row r="3149">
          <cell r="C3149" t="str">
            <v>16.7.2.41</v>
          </cell>
          <cell r="D3149" t="str">
            <v>Quadro De Medição Padrão Cemig Com Disjuntor Monopolar De 10A</v>
          </cell>
          <cell r="E3149" t="str">
            <v>un</v>
          </cell>
          <cell r="F3149"/>
          <cell r="G3149">
            <v>1543.44</v>
          </cell>
          <cell r="H3149">
            <v>0</v>
          </cell>
        </row>
        <row r="3150">
          <cell r="C3150" t="str">
            <v>16.7.2.42</v>
          </cell>
          <cell r="D3150" t="str">
            <v>Condulete Dn 25Mm Tipo T</v>
          </cell>
          <cell r="E3150" t="str">
            <v>un</v>
          </cell>
          <cell r="F3150"/>
          <cell r="G3150">
            <v>17.89</v>
          </cell>
          <cell r="H3150">
            <v>0</v>
          </cell>
        </row>
        <row r="3151">
          <cell r="C3151" t="str">
            <v>16.7.2.43</v>
          </cell>
          <cell r="D3151" t="str">
            <v>Condulete Dn 25Mm Tipo Lb</v>
          </cell>
          <cell r="E3151" t="str">
            <v>un</v>
          </cell>
          <cell r="F3151"/>
          <cell r="G3151">
            <v>17.89</v>
          </cell>
          <cell r="H3151">
            <v>0</v>
          </cell>
        </row>
        <row r="3152">
          <cell r="C3152" t="str">
            <v>16.7.2.44</v>
          </cell>
          <cell r="D3152" t="str">
            <v>Conectores Para Haste De Aterramento</v>
          </cell>
          <cell r="E3152" t="str">
            <v>un</v>
          </cell>
          <cell r="F3152"/>
          <cell r="G3152">
            <v>16.010000000000002</v>
          </cell>
          <cell r="H3152">
            <v>0</v>
          </cell>
        </row>
        <row r="3153">
          <cell r="C3153" t="str">
            <v>16.7.2.45</v>
          </cell>
          <cell r="D3153" t="str">
            <v>Haste De Aterramento Cobreada Ø19Mm L=3M</v>
          </cell>
          <cell r="E3153" t="str">
            <v>un</v>
          </cell>
          <cell r="F3153"/>
          <cell r="G3153">
            <v>97.17</v>
          </cell>
          <cell r="H3153">
            <v>0</v>
          </cell>
        </row>
        <row r="3154">
          <cell r="C3154" t="str">
            <v>16.7.2.46</v>
          </cell>
          <cell r="D3154" t="str">
            <v xml:space="preserve">Poste Duplo T 10M De Comprimento 200Dan </v>
          </cell>
          <cell r="E3154" t="str">
            <v>un</v>
          </cell>
          <cell r="F3154"/>
          <cell r="G3154">
            <v>914.63</v>
          </cell>
          <cell r="H3154">
            <v>0</v>
          </cell>
        </row>
        <row r="3155">
          <cell r="C3155" t="str">
            <v>16.7.2.47</v>
          </cell>
          <cell r="D3155" t="str">
            <v>Transmissor/Receptor De Sinal De Rádio</v>
          </cell>
          <cell r="E3155" t="str">
            <v>un</v>
          </cell>
          <cell r="F3155"/>
          <cell r="G3155">
            <v>2858.25</v>
          </cell>
          <cell r="H3155">
            <v>0</v>
          </cell>
        </row>
        <row r="3156">
          <cell r="C3156" t="str">
            <v>16.8</v>
          </cell>
          <cell r="D3156" t="str">
            <v>16.8 - RESERVATÓRIO APOIADO</v>
          </cell>
          <cell r="E3156"/>
          <cell r="F3156"/>
          <cell r="G3156">
            <v>0</v>
          </cell>
          <cell r="H3156">
            <v>0</v>
          </cell>
        </row>
        <row r="3157">
          <cell r="C3157" t="str">
            <v>16.8.1</v>
          </cell>
          <cell r="D3157" t="str">
            <v>OBRAS CIVIS E MONTAGEM</v>
          </cell>
          <cell r="E3157"/>
          <cell r="F3157"/>
          <cell r="G3157">
            <v>0</v>
          </cell>
          <cell r="H3157">
            <v>0</v>
          </cell>
        </row>
        <row r="3158">
          <cell r="C3158" t="str">
            <v>16.8.1.1</v>
          </cell>
          <cell r="D3158" t="str">
            <v>Desmatamento, Destocamento E Limpeza Dd Terreno</v>
          </cell>
          <cell r="E3158" t="str">
            <v>ha</v>
          </cell>
          <cell r="F3158"/>
          <cell r="G3158">
            <v>1660.74</v>
          </cell>
          <cell r="H3158">
            <v>0</v>
          </cell>
        </row>
        <row r="3159">
          <cell r="C3159" t="str">
            <v>16.8.1.2</v>
          </cell>
          <cell r="D3159" t="str">
            <v>Escavações Mecânica Em Material De 1ª Categoria Dmt &lt; 300 M</v>
          </cell>
          <cell r="E3159" t="str">
            <v>m³</v>
          </cell>
          <cell r="F3159"/>
          <cell r="G3159">
            <v>5.54</v>
          </cell>
          <cell r="H3159">
            <v>0</v>
          </cell>
        </row>
        <row r="3160">
          <cell r="C3160" t="str">
            <v>16.8.1.3</v>
          </cell>
          <cell r="D3160" t="str">
            <v>Reaterro Compactado C/ Reaproveitamento Do Material Escavado</v>
          </cell>
          <cell r="E3160" t="str">
            <v>m³</v>
          </cell>
          <cell r="F3160"/>
          <cell r="G3160">
            <v>7.41</v>
          </cell>
          <cell r="H3160">
            <v>0</v>
          </cell>
        </row>
        <row r="3161">
          <cell r="C3161" t="str">
            <v>16.8.1.4</v>
          </cell>
          <cell r="D3161" t="str">
            <v>Preparo, Lançamento E Adensamento De Concreto  (Ca-5 E)</v>
          </cell>
          <cell r="E3161" t="str">
            <v>m³</v>
          </cell>
          <cell r="F3161"/>
          <cell r="G3161">
            <v>271.56</v>
          </cell>
          <cell r="H3161">
            <v>0</v>
          </cell>
        </row>
        <row r="3162">
          <cell r="C3162" t="str">
            <v>16.8.1.5</v>
          </cell>
          <cell r="D3162" t="str">
            <v>Preparo, Lançamento E Adensamento De Concreto  (Ca-4 E)</v>
          </cell>
          <cell r="E3162" t="str">
            <v>m³</v>
          </cell>
          <cell r="F3162"/>
          <cell r="G3162">
            <v>284.41000000000003</v>
          </cell>
          <cell r="H3162">
            <v>0</v>
          </cell>
        </row>
        <row r="3163">
          <cell r="C3163" t="str">
            <v>16.8.1.6</v>
          </cell>
          <cell r="D3163" t="str">
            <v>Preparo, Lançamento E Adensamento De Concreto  (Ca-8 J)</v>
          </cell>
          <cell r="E3163" t="str">
            <v>m³</v>
          </cell>
          <cell r="F3163"/>
          <cell r="G3163">
            <v>222.4</v>
          </cell>
          <cell r="H3163">
            <v>0</v>
          </cell>
        </row>
        <row r="3164">
          <cell r="C3164" t="str">
            <v>16.8.1.7</v>
          </cell>
          <cell r="D3164" t="str">
            <v>Colchão De Brita</v>
          </cell>
          <cell r="E3164" t="str">
            <v>m³</v>
          </cell>
          <cell r="F3164"/>
          <cell r="G3164">
            <v>63.2</v>
          </cell>
          <cell r="H3164">
            <v>0</v>
          </cell>
        </row>
        <row r="3165">
          <cell r="C3165" t="str">
            <v>16.8.1.8</v>
          </cell>
          <cell r="D3165" t="str">
            <v>Armadura P/Concreto Estrutural Aço Ca-50B</v>
          </cell>
          <cell r="E3165" t="str">
            <v>kg</v>
          </cell>
          <cell r="F3165"/>
          <cell r="G3165">
            <v>3.87</v>
          </cell>
          <cell r="H3165">
            <v>0</v>
          </cell>
        </row>
        <row r="3166">
          <cell r="C3166" t="str">
            <v>16.8.1.9</v>
          </cell>
          <cell r="D3166" t="str">
            <v>Formas Curvas Para Concreto</v>
          </cell>
          <cell r="E3166" t="str">
            <v>m²</v>
          </cell>
          <cell r="F3166"/>
          <cell r="G3166">
            <v>90.32</v>
          </cell>
          <cell r="H3166">
            <v>0</v>
          </cell>
        </row>
        <row r="3167">
          <cell r="C3167" t="str">
            <v>16.8.1.10</v>
          </cell>
          <cell r="D3167" t="str">
            <v>Alvenaria De Tijolo Cerâmico 6 X 11 X 20 Cm Espessura 15 Cm</v>
          </cell>
          <cell r="E3167" t="str">
            <v>m²</v>
          </cell>
          <cell r="F3167"/>
          <cell r="G3167">
            <v>46.65</v>
          </cell>
          <cell r="H3167">
            <v>0</v>
          </cell>
        </row>
        <row r="3168">
          <cell r="C3168" t="str">
            <v>16.8.1.11</v>
          </cell>
          <cell r="D3168" t="str">
            <v>Impermeabilização Interna</v>
          </cell>
          <cell r="E3168" t="str">
            <v>kg</v>
          </cell>
          <cell r="F3168"/>
          <cell r="G3168">
            <v>4.4800000000000004</v>
          </cell>
          <cell r="H3168">
            <v>0</v>
          </cell>
        </row>
        <row r="3169">
          <cell r="C3169" t="str">
            <v>16.8.1.12</v>
          </cell>
          <cell r="D3169" t="str">
            <v>Montagem De Tubulação Em Fº Gº, Ø4", Inclusive Acessórios</v>
          </cell>
          <cell r="E3169" t="str">
            <v>m</v>
          </cell>
          <cell r="F3169"/>
          <cell r="G3169">
            <v>16.18</v>
          </cell>
          <cell r="H3169">
            <v>0</v>
          </cell>
        </row>
        <row r="3170">
          <cell r="C3170" t="str">
            <v>16.8.1.13</v>
          </cell>
          <cell r="D3170" t="str">
            <v>Montagem De Tubulação Em Fºgº Ø3", Inclusive Acessórios</v>
          </cell>
          <cell r="E3170" t="str">
            <v>m</v>
          </cell>
          <cell r="F3170"/>
          <cell r="G3170">
            <v>11.19</v>
          </cell>
          <cell r="H3170">
            <v>0</v>
          </cell>
        </row>
        <row r="3171">
          <cell r="C3171" t="str">
            <v>16.8.1.14</v>
          </cell>
          <cell r="D3171" t="str">
            <v>Montagem De Tubulação Em Fºgº Ø5", Inclusive Acessórios</v>
          </cell>
          <cell r="E3171" t="str">
            <v>m</v>
          </cell>
          <cell r="F3171"/>
          <cell r="G3171">
            <v>24.55</v>
          </cell>
          <cell r="H3171">
            <v>0</v>
          </cell>
        </row>
        <row r="3172">
          <cell r="C3172" t="str">
            <v>16.8.2</v>
          </cell>
          <cell r="D3172" t="str">
            <v>FORNECIMENTO (O BDI do item 16.8.2 foi reduzido de 40% para 37,2%)</v>
          </cell>
          <cell r="E3172"/>
          <cell r="F3172"/>
          <cell r="G3172">
            <v>0</v>
          </cell>
          <cell r="H3172">
            <v>0</v>
          </cell>
        </row>
        <row r="3173">
          <cell r="C3173" t="str">
            <v>16.8.2.1</v>
          </cell>
          <cell r="D3173" t="str">
            <v>Tubulações E Conexões Em Ferro Galvanizado:</v>
          </cell>
          <cell r="E3173"/>
          <cell r="F3173"/>
          <cell r="G3173">
            <v>0</v>
          </cell>
          <cell r="H3173">
            <v>0</v>
          </cell>
        </row>
        <row r="3174">
          <cell r="C3174" t="str">
            <v>16.8.2.2</v>
          </cell>
          <cell r="D3174" t="str">
            <v>Curva 90º Fêmea Dn 3"</v>
          </cell>
          <cell r="E3174" t="str">
            <v>un</v>
          </cell>
          <cell r="F3174"/>
          <cell r="G3174">
            <v>87.77</v>
          </cell>
          <cell r="H3174">
            <v>0</v>
          </cell>
        </row>
        <row r="3175">
          <cell r="C3175" t="str">
            <v>16.8.2.3</v>
          </cell>
          <cell r="D3175" t="str">
            <v>Niple Duplo Dn 4"</v>
          </cell>
          <cell r="E3175" t="str">
            <v>un</v>
          </cell>
          <cell r="F3175"/>
          <cell r="G3175">
            <v>37.119999999999997</v>
          </cell>
          <cell r="H3175">
            <v>0</v>
          </cell>
        </row>
        <row r="3176">
          <cell r="C3176" t="str">
            <v>16.8.2.4</v>
          </cell>
          <cell r="D3176" t="str">
            <v>Tê 90º Dn 3"</v>
          </cell>
          <cell r="E3176" t="str">
            <v>un</v>
          </cell>
          <cell r="F3176"/>
          <cell r="G3176">
            <v>46.36</v>
          </cell>
          <cell r="H3176">
            <v>0</v>
          </cell>
        </row>
        <row r="3177">
          <cell r="C3177" t="str">
            <v>16.8.2.5</v>
          </cell>
          <cell r="D3177" t="str">
            <v>Tê 90º Dn 5"</v>
          </cell>
          <cell r="E3177" t="str">
            <v>un</v>
          </cell>
          <cell r="F3177"/>
          <cell r="G3177">
            <v>288.06</v>
          </cell>
          <cell r="H3177">
            <v>0</v>
          </cell>
        </row>
        <row r="3178">
          <cell r="C3178" t="str">
            <v>16.8.2.6</v>
          </cell>
          <cell r="D3178" t="str">
            <v>Bucha De Redução Dn 5" X 4"</v>
          </cell>
          <cell r="E3178" t="str">
            <v>un</v>
          </cell>
          <cell r="F3178"/>
          <cell r="G3178">
            <v>92.02</v>
          </cell>
          <cell r="H3178">
            <v>0</v>
          </cell>
        </row>
        <row r="3179">
          <cell r="C3179" t="str">
            <v>16.8.2.7</v>
          </cell>
          <cell r="D3179" t="str">
            <v>União C/ Assento Cônico De Bronze Dn 4"</v>
          </cell>
          <cell r="E3179" t="str">
            <v>un</v>
          </cell>
          <cell r="F3179"/>
          <cell r="G3179">
            <v>168.88</v>
          </cell>
          <cell r="H3179">
            <v>0</v>
          </cell>
        </row>
        <row r="3180">
          <cell r="C3180" t="str">
            <v>16.8.2.8</v>
          </cell>
          <cell r="D3180" t="str">
            <v>Bucha De Redução Dn 4" X 3"</v>
          </cell>
          <cell r="E3180" t="str">
            <v>un</v>
          </cell>
          <cell r="F3180"/>
          <cell r="G3180">
            <v>31.97</v>
          </cell>
          <cell r="H3180">
            <v>0</v>
          </cell>
        </row>
        <row r="3181">
          <cell r="C3181" t="str">
            <v>16.8.2.9</v>
          </cell>
          <cell r="D3181" t="str">
            <v>Tubo Com Roscas L= 1,90 M   Dn 4"</v>
          </cell>
          <cell r="E3181" t="str">
            <v>un</v>
          </cell>
          <cell r="F3181"/>
          <cell r="G3181">
            <v>172.28</v>
          </cell>
          <cell r="H3181">
            <v>0</v>
          </cell>
        </row>
        <row r="3182">
          <cell r="C3182" t="str">
            <v>16.8.2.10</v>
          </cell>
          <cell r="D3182" t="str">
            <v>Curva 90º Fêmea Dn 4"</v>
          </cell>
          <cell r="E3182" t="str">
            <v>un</v>
          </cell>
          <cell r="F3182"/>
          <cell r="G3182">
            <v>151.36000000000001</v>
          </cell>
          <cell r="H3182">
            <v>0</v>
          </cell>
        </row>
        <row r="3183">
          <cell r="C3183" t="str">
            <v>16.8.2.11</v>
          </cell>
          <cell r="D3183" t="str">
            <v>Tubo Com Roscas L= 0,70 M   Dn 3"</v>
          </cell>
          <cell r="E3183" t="str">
            <v>un</v>
          </cell>
          <cell r="F3183"/>
          <cell r="G3183">
            <v>52.6</v>
          </cell>
          <cell r="H3183">
            <v>0</v>
          </cell>
        </row>
        <row r="3184">
          <cell r="C3184" t="str">
            <v>16.8.2.12</v>
          </cell>
          <cell r="D3184" t="str">
            <v>Tubo Com Roscas L= 1,30 M   Dn 3"</v>
          </cell>
          <cell r="E3184" t="str">
            <v>un</v>
          </cell>
          <cell r="F3184"/>
          <cell r="G3184">
            <v>87.91</v>
          </cell>
          <cell r="H3184">
            <v>0</v>
          </cell>
        </row>
        <row r="3185">
          <cell r="C3185" t="str">
            <v>16.8.2.13</v>
          </cell>
          <cell r="D3185" t="str">
            <v>Tubo Com Roscas L= 0,60 M   Dn 4"</v>
          </cell>
          <cell r="E3185" t="str">
            <v>un</v>
          </cell>
          <cell r="F3185"/>
          <cell r="G3185">
            <v>46.55</v>
          </cell>
          <cell r="H3185">
            <v>0</v>
          </cell>
        </row>
        <row r="3186">
          <cell r="C3186" t="str">
            <v>16.8.2.14</v>
          </cell>
          <cell r="D3186" t="str">
            <v>Tubo Com Roscas L= 0,50 M   Dn 3"</v>
          </cell>
          <cell r="E3186" t="str">
            <v>un</v>
          </cell>
          <cell r="F3186"/>
          <cell r="G3186">
            <v>40.83</v>
          </cell>
          <cell r="H3186">
            <v>0</v>
          </cell>
        </row>
        <row r="3187">
          <cell r="C3187" t="str">
            <v>16.8.2.15</v>
          </cell>
          <cell r="D3187" t="str">
            <v>Válvula Com Bóia Em Bronze Dn 4"</v>
          </cell>
          <cell r="E3187" t="str">
            <v>un</v>
          </cell>
          <cell r="F3187"/>
          <cell r="G3187">
            <v>435.94</v>
          </cell>
          <cell r="H3187">
            <v>0</v>
          </cell>
        </row>
        <row r="3188">
          <cell r="C3188" t="str">
            <v>16.8.2.16</v>
          </cell>
          <cell r="D3188" t="str">
            <v>Tubo Com Roscas L= 0,50 M   Dn 4"</v>
          </cell>
          <cell r="E3188" t="str">
            <v>un</v>
          </cell>
          <cell r="F3188"/>
          <cell r="G3188">
            <v>53.77</v>
          </cell>
          <cell r="H3188">
            <v>0</v>
          </cell>
        </row>
        <row r="3189">
          <cell r="C3189" t="str">
            <v>16.8.2.17</v>
          </cell>
          <cell r="D3189" t="str">
            <v>Registro De Gaveta Em Bronze Dn 4"</v>
          </cell>
          <cell r="E3189" t="str">
            <v>un</v>
          </cell>
          <cell r="F3189"/>
          <cell r="G3189">
            <v>243.5</v>
          </cell>
          <cell r="H3189">
            <v>0</v>
          </cell>
        </row>
        <row r="3190">
          <cell r="C3190" t="str">
            <v>16.8.2.18</v>
          </cell>
          <cell r="D3190" t="str">
            <v>Tubo Com Roscas L= 0,60 M   Dn 3"</v>
          </cell>
          <cell r="E3190" t="str">
            <v>un</v>
          </cell>
          <cell r="F3190"/>
          <cell r="G3190">
            <v>46</v>
          </cell>
          <cell r="H3190">
            <v>0</v>
          </cell>
        </row>
        <row r="3191">
          <cell r="C3191" t="str">
            <v>16.8.2.19</v>
          </cell>
          <cell r="D3191" t="str">
            <v>Tubo Com Roscas L= 0,50 M   Dn 4"</v>
          </cell>
          <cell r="E3191" t="str">
            <v>un</v>
          </cell>
          <cell r="F3191"/>
          <cell r="G3191">
            <v>53.37</v>
          </cell>
          <cell r="H3191">
            <v>0</v>
          </cell>
        </row>
        <row r="3192">
          <cell r="C3192" t="str">
            <v>16.8.2.20</v>
          </cell>
          <cell r="D3192" t="str">
            <v>Válvula Com Bóia Em Bronze Dn 3"</v>
          </cell>
          <cell r="E3192" t="str">
            <v>un</v>
          </cell>
          <cell r="F3192"/>
          <cell r="G3192">
            <v>326.95</v>
          </cell>
          <cell r="H3192">
            <v>0</v>
          </cell>
        </row>
        <row r="3193">
          <cell r="C3193" t="str">
            <v>16.8.2.21</v>
          </cell>
          <cell r="D3193" t="str">
            <v>Registro De Gaveta Em Bronze Dn 3"</v>
          </cell>
          <cell r="E3193" t="str">
            <v>un</v>
          </cell>
          <cell r="F3193"/>
          <cell r="G3193">
            <v>159.03</v>
          </cell>
          <cell r="H3193">
            <v>0</v>
          </cell>
        </row>
        <row r="3194">
          <cell r="C3194" t="str">
            <v>16.9</v>
          </cell>
          <cell r="D3194" t="str">
            <v>16.9 - REDE DE DISTRIBUIÇÃO</v>
          </cell>
          <cell r="E3194"/>
          <cell r="F3194"/>
          <cell r="G3194">
            <v>0</v>
          </cell>
          <cell r="H3194">
            <v>0</v>
          </cell>
        </row>
        <row r="3195">
          <cell r="C3195" t="str">
            <v>16.9.1</v>
          </cell>
          <cell r="D3195" t="str">
            <v>OBRAS CIVIS E MONTAGEM</v>
          </cell>
          <cell r="E3195"/>
          <cell r="F3195"/>
          <cell r="G3195">
            <v>0</v>
          </cell>
          <cell r="H3195">
            <v>0</v>
          </cell>
        </row>
        <row r="3196">
          <cell r="C3196" t="str">
            <v>16.9.1.1</v>
          </cell>
          <cell r="D3196" t="str">
            <v>Escavação Mecânica De Valas Com Dmt &lt;= 300 M</v>
          </cell>
          <cell r="E3196" t="str">
            <v>m³</v>
          </cell>
          <cell r="F3196"/>
          <cell r="G3196">
            <v>2.42</v>
          </cell>
          <cell r="H3196">
            <v>0</v>
          </cell>
        </row>
        <row r="3197">
          <cell r="C3197" t="str">
            <v>16.9.1.2</v>
          </cell>
          <cell r="D3197" t="str">
            <v>Reaterro Manual De Vala Com Reaproveitamento Do Material Escavado</v>
          </cell>
          <cell r="E3197" t="str">
            <v>m³</v>
          </cell>
          <cell r="F3197"/>
          <cell r="G3197">
            <v>7.41</v>
          </cell>
          <cell r="H3197">
            <v>0</v>
          </cell>
        </row>
        <row r="3198">
          <cell r="C3198" t="str">
            <v>16.9.1.3</v>
          </cell>
          <cell r="D3198" t="str">
            <v>Montagem De Tubulação Em Pvc, Inclusive Acessórios :</v>
          </cell>
          <cell r="E3198"/>
          <cell r="F3198"/>
          <cell r="G3198">
            <v>0</v>
          </cell>
          <cell r="H3198">
            <v>0</v>
          </cell>
        </row>
        <row r="3199">
          <cell r="C3199" t="str">
            <v>16.9.1.3.1</v>
          </cell>
          <cell r="D3199" t="str">
            <v>Pvc Pba Junto Elástico Dn 100</v>
          </cell>
          <cell r="E3199" t="str">
            <v>m</v>
          </cell>
          <cell r="F3199"/>
          <cell r="G3199">
            <v>2.37</v>
          </cell>
          <cell r="H3199">
            <v>0</v>
          </cell>
        </row>
        <row r="3200">
          <cell r="C3200" t="str">
            <v>16.9.1.3.2</v>
          </cell>
          <cell r="D3200" t="str">
            <v>Pvc Pba Junta Elástica Dn 75</v>
          </cell>
          <cell r="E3200" t="str">
            <v>m</v>
          </cell>
          <cell r="F3200"/>
          <cell r="G3200">
            <v>1.76</v>
          </cell>
          <cell r="H3200">
            <v>0</v>
          </cell>
        </row>
        <row r="3201">
          <cell r="C3201" t="str">
            <v>16.9.1.3.3</v>
          </cell>
          <cell r="D3201" t="str">
            <v>Pvc Pba Junta Elástica Dn 50</v>
          </cell>
          <cell r="E3201" t="str">
            <v>m</v>
          </cell>
          <cell r="F3201"/>
          <cell r="G3201">
            <v>1.41</v>
          </cell>
          <cell r="H3201">
            <v>0</v>
          </cell>
        </row>
        <row r="3202">
          <cell r="C3202" t="str">
            <v>16.9.1.3.4</v>
          </cell>
          <cell r="D3202" t="str">
            <v>Pvc Rígido Soldável Dn 32</v>
          </cell>
          <cell r="E3202" t="str">
            <v>m</v>
          </cell>
          <cell r="F3202"/>
          <cell r="G3202">
            <v>0.88</v>
          </cell>
          <cell r="H3202">
            <v>0</v>
          </cell>
        </row>
        <row r="3203">
          <cell r="C3203" t="str">
            <v>16.9.1.3.5</v>
          </cell>
          <cell r="D3203" t="str">
            <v>Pvc Rígido Soldável Dn 25</v>
          </cell>
          <cell r="E3203" t="str">
            <v>m</v>
          </cell>
          <cell r="F3203"/>
          <cell r="G3203">
            <v>0.88</v>
          </cell>
          <cell r="H3203">
            <v>0</v>
          </cell>
        </row>
        <row r="3204">
          <cell r="C3204" t="str">
            <v>16.9.1.3.6</v>
          </cell>
          <cell r="D3204" t="str">
            <v>Pvc Rígido Soldável Dn 40</v>
          </cell>
          <cell r="E3204" t="str">
            <v>m</v>
          </cell>
          <cell r="F3204"/>
          <cell r="G3204">
            <v>1.27</v>
          </cell>
          <cell r="H3204">
            <v>0</v>
          </cell>
        </row>
        <row r="3205">
          <cell r="C3205" t="str">
            <v>16.9.1.4</v>
          </cell>
          <cell r="D3205" t="str">
            <v>Montagem De Hidrante Dn 75</v>
          </cell>
          <cell r="E3205" t="str">
            <v>un</v>
          </cell>
          <cell r="F3205"/>
          <cell r="G3205">
            <v>95.36</v>
          </cell>
          <cell r="H3205">
            <v>0</v>
          </cell>
        </row>
        <row r="3206">
          <cell r="C3206" t="str">
            <v>16.9.2</v>
          </cell>
          <cell r="D3206" t="str">
            <v>FORNECIMENTO (O BDI do item 16.9.2 foi reduzido de 40% para 37,2%)</v>
          </cell>
          <cell r="E3206"/>
          <cell r="F3206"/>
          <cell r="G3206">
            <v>0</v>
          </cell>
          <cell r="H3206">
            <v>0</v>
          </cell>
        </row>
        <row r="3207">
          <cell r="C3207" t="str">
            <v>16.9.2.1</v>
          </cell>
          <cell r="D3207" t="str">
            <v>Tubulações E Conexões Em Pvc</v>
          </cell>
          <cell r="E3207"/>
          <cell r="F3207"/>
          <cell r="G3207">
            <v>0</v>
          </cell>
          <cell r="H3207">
            <v>0</v>
          </cell>
        </row>
        <row r="3208">
          <cell r="C3208" t="str">
            <v>16.9.2.1.1</v>
          </cell>
          <cell r="D3208" t="str">
            <v>Tubo Pvc/Pba Je Dn 100</v>
          </cell>
          <cell r="E3208" t="str">
            <v>m</v>
          </cell>
          <cell r="F3208"/>
          <cell r="G3208">
            <v>18.61</v>
          </cell>
          <cell r="H3208">
            <v>0</v>
          </cell>
        </row>
        <row r="3209">
          <cell r="C3209" t="str">
            <v>16.9.2.1.2</v>
          </cell>
          <cell r="D3209" t="str">
            <v>Tubo Pvc/Pba Je Dn 75</v>
          </cell>
          <cell r="E3209" t="str">
            <v>m</v>
          </cell>
          <cell r="F3209"/>
          <cell r="G3209">
            <v>11.54</v>
          </cell>
          <cell r="H3209">
            <v>0</v>
          </cell>
        </row>
        <row r="3210">
          <cell r="C3210" t="str">
            <v>16.9.2.1.3</v>
          </cell>
          <cell r="D3210" t="str">
            <v>Tubo Pvc/Pba Je Dn 50</v>
          </cell>
          <cell r="E3210" t="str">
            <v>m</v>
          </cell>
          <cell r="F3210"/>
          <cell r="G3210">
            <v>5.92</v>
          </cell>
          <cell r="H3210">
            <v>0</v>
          </cell>
        </row>
        <row r="3211">
          <cell r="C3211" t="str">
            <v>16.9.2.1.4</v>
          </cell>
          <cell r="D3211" t="str">
            <v>Tubo Pvc Rígido Soldável Dn 40</v>
          </cell>
          <cell r="E3211" t="str">
            <v>m</v>
          </cell>
          <cell r="F3211"/>
          <cell r="G3211">
            <v>5.09</v>
          </cell>
          <cell r="H3211">
            <v>0</v>
          </cell>
        </row>
        <row r="3212">
          <cell r="C3212" t="str">
            <v>16.9.2.1.5</v>
          </cell>
          <cell r="D3212" t="str">
            <v>Tubo Pvc Rígido Soldável Dn 32</v>
          </cell>
          <cell r="E3212" t="str">
            <v>m</v>
          </cell>
          <cell r="F3212"/>
          <cell r="G3212">
            <v>3.23</v>
          </cell>
          <cell r="H3212">
            <v>0</v>
          </cell>
        </row>
        <row r="3213">
          <cell r="C3213" t="str">
            <v>16.9.2.1.6</v>
          </cell>
          <cell r="D3213" t="str">
            <v>Tubo Pvc Rígido Soldável Dn 25</v>
          </cell>
          <cell r="E3213" t="str">
            <v>m</v>
          </cell>
          <cell r="F3213"/>
          <cell r="G3213">
            <v>2.2799999999999998</v>
          </cell>
          <cell r="H3213">
            <v>0</v>
          </cell>
        </row>
        <row r="3214">
          <cell r="C3214" t="str">
            <v>16.9.2.1.7</v>
          </cell>
          <cell r="D3214" t="str">
            <v>Tê Pvc/Pba Dn 50</v>
          </cell>
          <cell r="E3214" t="str">
            <v>un</v>
          </cell>
          <cell r="F3214"/>
          <cell r="G3214">
            <v>10.32</v>
          </cell>
          <cell r="H3214">
            <v>0</v>
          </cell>
        </row>
        <row r="3215">
          <cell r="C3215" t="str">
            <v>16.9.2.1.8</v>
          </cell>
          <cell r="D3215" t="str">
            <v>Tê De Redução Pvc/Pba Dn 75 X 50</v>
          </cell>
          <cell r="E3215" t="str">
            <v>un</v>
          </cell>
          <cell r="F3215"/>
          <cell r="G3215">
            <v>18.02</v>
          </cell>
          <cell r="H3215">
            <v>0</v>
          </cell>
        </row>
        <row r="3216">
          <cell r="C3216" t="str">
            <v>16.9.2.1.9</v>
          </cell>
          <cell r="D3216" t="str">
            <v>Tê Pvc Soldável Dn 32</v>
          </cell>
          <cell r="E3216" t="str">
            <v>un</v>
          </cell>
          <cell r="F3216"/>
          <cell r="G3216">
            <v>1.19</v>
          </cell>
          <cell r="H3216">
            <v>0</v>
          </cell>
        </row>
        <row r="3217">
          <cell r="C3217" t="str">
            <v>16.9.2.1.10</v>
          </cell>
          <cell r="D3217" t="str">
            <v>Tê Pvc/Pba Dn 100</v>
          </cell>
          <cell r="E3217" t="str">
            <v>un</v>
          </cell>
          <cell r="F3217"/>
          <cell r="G3217">
            <v>46.47</v>
          </cell>
          <cell r="H3217">
            <v>0</v>
          </cell>
        </row>
        <row r="3218">
          <cell r="C3218" t="str">
            <v>16.9.2.1.11</v>
          </cell>
          <cell r="D3218" t="str">
            <v>Tê Pvc/Pba Dn 75</v>
          </cell>
          <cell r="E3218" t="str">
            <v>un</v>
          </cell>
          <cell r="F3218"/>
          <cell r="G3218">
            <v>25.16</v>
          </cell>
          <cell r="H3218">
            <v>0</v>
          </cell>
        </row>
        <row r="3219">
          <cell r="C3219" t="str">
            <v>16.9.2.1.12</v>
          </cell>
          <cell r="D3219" t="str">
            <v>Tê De Redução Pvc Soldável Dn 50 X 25</v>
          </cell>
          <cell r="E3219" t="str">
            <v>un</v>
          </cell>
          <cell r="F3219"/>
          <cell r="G3219">
            <v>3.23</v>
          </cell>
          <cell r="H3219">
            <v>0</v>
          </cell>
        </row>
        <row r="3220">
          <cell r="C3220" t="str">
            <v>16.9.2.1.13</v>
          </cell>
          <cell r="D3220" t="str">
            <v>Tê De Redução Pvc Soldável Dn 50 X 32</v>
          </cell>
          <cell r="E3220" t="str">
            <v>un</v>
          </cell>
          <cell r="F3220"/>
          <cell r="G3220">
            <v>4.92</v>
          </cell>
          <cell r="H3220">
            <v>0</v>
          </cell>
        </row>
        <row r="3221">
          <cell r="C3221" t="str">
            <v>16.9.2.1.14</v>
          </cell>
          <cell r="D3221" t="str">
            <v>Tê De Redução Pvc/Pba Dn 100 X 75</v>
          </cell>
          <cell r="E3221" t="str">
            <v>un</v>
          </cell>
          <cell r="F3221"/>
          <cell r="G3221">
            <v>47.35</v>
          </cell>
          <cell r="H3221">
            <v>0</v>
          </cell>
        </row>
        <row r="3222">
          <cell r="C3222" t="str">
            <v>16.9.2.1.15</v>
          </cell>
          <cell r="D3222" t="str">
            <v>Tê De Redução Pvc Soldável Dn 32 X 25</v>
          </cell>
          <cell r="E3222" t="str">
            <v>un</v>
          </cell>
          <cell r="F3222"/>
          <cell r="G3222">
            <v>3.64</v>
          </cell>
          <cell r="H3222">
            <v>0</v>
          </cell>
        </row>
        <row r="3223">
          <cell r="C3223" t="str">
            <v>16.9.2.1.16</v>
          </cell>
          <cell r="D3223" t="str">
            <v>Tê De Redução Pvc Soldável Dn 50 X 40</v>
          </cell>
          <cell r="E3223" t="str">
            <v>un</v>
          </cell>
          <cell r="F3223"/>
          <cell r="G3223">
            <v>18.16</v>
          </cell>
          <cell r="H3223">
            <v>0</v>
          </cell>
        </row>
        <row r="3224">
          <cell r="C3224" t="str">
            <v>16.9.2.1.17</v>
          </cell>
          <cell r="D3224" t="str">
            <v>Tê Pvc Soldável Dn 25</v>
          </cell>
          <cell r="E3224" t="str">
            <v>un</v>
          </cell>
          <cell r="F3224"/>
          <cell r="G3224">
            <v>0.45</v>
          </cell>
          <cell r="H3224">
            <v>0</v>
          </cell>
        </row>
        <row r="3225">
          <cell r="C3225" t="str">
            <v>16.9.2.1.18</v>
          </cell>
          <cell r="D3225" t="str">
            <v>Tê De Redução Pvc Soldável Dn 50 X 25</v>
          </cell>
          <cell r="E3225" t="str">
            <v>un</v>
          </cell>
          <cell r="F3225"/>
          <cell r="G3225">
            <v>3.23</v>
          </cell>
          <cell r="H3225">
            <v>0</v>
          </cell>
        </row>
        <row r="3226">
          <cell r="C3226" t="str">
            <v>16.9.2.1.19</v>
          </cell>
          <cell r="D3226" t="str">
            <v>Redução Pvc Soldável Longa Dn 50 X 25</v>
          </cell>
          <cell r="E3226" t="str">
            <v>un</v>
          </cell>
          <cell r="F3226"/>
          <cell r="G3226">
            <v>3.64</v>
          </cell>
          <cell r="H3226">
            <v>0</v>
          </cell>
        </row>
        <row r="3227">
          <cell r="C3227" t="str">
            <v>16.9.2.1.20</v>
          </cell>
          <cell r="D3227" t="str">
            <v>Redução Pvc Soldável Longa Dn 40 X 25</v>
          </cell>
          <cell r="E3227" t="str">
            <v>un</v>
          </cell>
          <cell r="F3227"/>
          <cell r="G3227">
            <v>1.81</v>
          </cell>
          <cell r="H3227">
            <v>0</v>
          </cell>
        </row>
        <row r="3228">
          <cell r="C3228" t="str">
            <v>16.9.2.1.21</v>
          </cell>
          <cell r="D3228" t="str">
            <v>Redução Pvc/Pba Dn 100 X 75</v>
          </cell>
          <cell r="E3228" t="str">
            <v>un</v>
          </cell>
          <cell r="F3228"/>
          <cell r="G3228">
            <v>19.64</v>
          </cell>
          <cell r="H3228">
            <v>0</v>
          </cell>
        </row>
        <row r="3229">
          <cell r="C3229" t="str">
            <v>16.9.2.1.22</v>
          </cell>
          <cell r="D3229" t="str">
            <v>Redução Pvc Soldável Longa Dn 50 X 32</v>
          </cell>
          <cell r="E3229" t="str">
            <v>un</v>
          </cell>
          <cell r="F3229"/>
          <cell r="G3229">
            <v>3.64</v>
          </cell>
          <cell r="H3229">
            <v>0</v>
          </cell>
        </row>
        <row r="3230">
          <cell r="C3230" t="str">
            <v>16.9.2.1.23</v>
          </cell>
          <cell r="D3230" t="str">
            <v>Redução Pvc Soldável Dn 50 X 40</v>
          </cell>
          <cell r="E3230" t="str">
            <v>un</v>
          </cell>
          <cell r="F3230"/>
          <cell r="G3230">
            <v>3.64</v>
          </cell>
          <cell r="H3230">
            <v>0</v>
          </cell>
        </row>
        <row r="3231">
          <cell r="C3231" t="str">
            <v>16.9.2.1.24</v>
          </cell>
          <cell r="D3231" t="str">
            <v>Curva 90º Pvc/Pba Dn 75</v>
          </cell>
          <cell r="E3231" t="str">
            <v>un</v>
          </cell>
          <cell r="F3231"/>
          <cell r="G3231">
            <v>21.34</v>
          </cell>
          <cell r="H3231">
            <v>0</v>
          </cell>
        </row>
        <row r="3232">
          <cell r="C3232" t="str">
            <v>16.9.2.1.25</v>
          </cell>
          <cell r="D3232" t="str">
            <v>Redução Pvc Soldável Dn 32 X 25</v>
          </cell>
          <cell r="E3232" t="str">
            <v>un</v>
          </cell>
          <cell r="F3232"/>
          <cell r="G3232">
            <v>1.81</v>
          </cell>
          <cell r="H3232">
            <v>0</v>
          </cell>
        </row>
        <row r="3233">
          <cell r="C3233" t="str">
            <v>16.9.2.1.26</v>
          </cell>
          <cell r="D3233" t="str">
            <v>Redução Pvc Soldável Dn 75 X 50</v>
          </cell>
          <cell r="E3233" t="str">
            <v>un</v>
          </cell>
          <cell r="F3233"/>
          <cell r="G3233">
            <v>16.34</v>
          </cell>
          <cell r="H3233">
            <v>0</v>
          </cell>
        </row>
        <row r="3234">
          <cell r="C3234" t="str">
            <v>16.9.2.1.27</v>
          </cell>
          <cell r="D3234" t="str">
            <v>Curva 90º Pvc Soldável Dn 25</v>
          </cell>
          <cell r="E3234" t="str">
            <v>un</v>
          </cell>
          <cell r="F3234"/>
          <cell r="G3234">
            <v>4.3600000000000003</v>
          </cell>
          <cell r="H3234">
            <v>0</v>
          </cell>
        </row>
        <row r="3235">
          <cell r="C3235" t="str">
            <v>16.9.2.1.28</v>
          </cell>
          <cell r="D3235" t="str">
            <v>Curva 45º Pvc Soldável Dn 50</v>
          </cell>
          <cell r="E3235" t="str">
            <v>un</v>
          </cell>
          <cell r="F3235"/>
          <cell r="G3235">
            <v>6.38</v>
          </cell>
          <cell r="H3235">
            <v>0</v>
          </cell>
        </row>
        <row r="3236">
          <cell r="C3236" t="str">
            <v>16.9.2.1.29</v>
          </cell>
          <cell r="D3236" t="str">
            <v>Curva 90º Pvc Soldável Dn 32</v>
          </cell>
          <cell r="E3236" t="str">
            <v>un</v>
          </cell>
          <cell r="F3236"/>
          <cell r="G3236">
            <v>1.81</v>
          </cell>
          <cell r="H3236">
            <v>0</v>
          </cell>
        </row>
        <row r="3237">
          <cell r="C3237" t="str">
            <v>16.9.2.1.30</v>
          </cell>
          <cell r="D3237" t="str">
            <v>Curva 90º Pvc Soldável Dn 40</v>
          </cell>
          <cell r="E3237" t="str">
            <v>un</v>
          </cell>
          <cell r="F3237"/>
          <cell r="G3237">
            <v>1.81</v>
          </cell>
          <cell r="H3237">
            <v>0</v>
          </cell>
        </row>
        <row r="3238">
          <cell r="C3238" t="str">
            <v>16.9.2.1.31</v>
          </cell>
          <cell r="D3238" t="str">
            <v>Curva 45º Pvc Soldável Dn 25</v>
          </cell>
          <cell r="E3238" t="str">
            <v>un</v>
          </cell>
          <cell r="F3238"/>
          <cell r="G3238">
            <v>0.73</v>
          </cell>
          <cell r="H3238">
            <v>0</v>
          </cell>
        </row>
        <row r="3239">
          <cell r="C3239" t="str">
            <v>16.9.2.1.32</v>
          </cell>
          <cell r="D3239" t="str">
            <v>Curva 45º Pvc Soldável Dn 40</v>
          </cell>
          <cell r="E3239" t="str">
            <v>un</v>
          </cell>
          <cell r="F3239"/>
          <cell r="G3239">
            <v>1.81</v>
          </cell>
          <cell r="H3239">
            <v>0</v>
          </cell>
        </row>
        <row r="3240">
          <cell r="C3240" t="str">
            <v>16.9.2.1.33</v>
          </cell>
          <cell r="D3240" t="str">
            <v>Cap Pvc Soldável Dn 25</v>
          </cell>
          <cell r="E3240" t="str">
            <v>un</v>
          </cell>
          <cell r="F3240"/>
          <cell r="G3240">
            <v>0.35</v>
          </cell>
          <cell r="H3240">
            <v>0</v>
          </cell>
        </row>
        <row r="3241">
          <cell r="C3241" t="str">
            <v>16.9.2.1.34</v>
          </cell>
          <cell r="D3241" t="str">
            <v>Cap Pvc Soldável Dn 50</v>
          </cell>
          <cell r="E3241" t="str">
            <v>un</v>
          </cell>
          <cell r="F3241"/>
          <cell r="G3241">
            <v>1.81</v>
          </cell>
          <cell r="H3241">
            <v>0</v>
          </cell>
        </row>
        <row r="3242">
          <cell r="C3242" t="str">
            <v>16.9.2.1.35</v>
          </cell>
          <cell r="D3242" t="str">
            <v>Registro Pvc Soldável C/ Volante Dn 25</v>
          </cell>
          <cell r="E3242" t="str">
            <v>un</v>
          </cell>
          <cell r="F3242"/>
          <cell r="G3242">
            <v>15.63</v>
          </cell>
          <cell r="H3242">
            <v>0</v>
          </cell>
        </row>
        <row r="3243">
          <cell r="C3243" t="str">
            <v>16.9.2.1.36</v>
          </cell>
          <cell r="D3243" t="str">
            <v>Registro Pvc Soldável Tipo Esfera Dn 32</v>
          </cell>
          <cell r="E3243" t="str">
            <v>un</v>
          </cell>
          <cell r="F3243"/>
          <cell r="G3243">
            <v>21.8</v>
          </cell>
          <cell r="H3243">
            <v>0</v>
          </cell>
        </row>
        <row r="3244">
          <cell r="C3244" t="str">
            <v>16.9.2.1.37</v>
          </cell>
          <cell r="D3244" t="str">
            <v>Registro Pvc Soldável Tipo Esfera Dn 40</v>
          </cell>
          <cell r="E3244" t="str">
            <v>un</v>
          </cell>
          <cell r="F3244"/>
          <cell r="G3244">
            <v>29.07</v>
          </cell>
          <cell r="H3244">
            <v>0</v>
          </cell>
        </row>
        <row r="3245">
          <cell r="C3245" t="str">
            <v>16.9.2.1.38</v>
          </cell>
          <cell r="D3245" t="str">
            <v>Registro Pvc/Pba Dn 50</v>
          </cell>
          <cell r="E3245" t="str">
            <v>un</v>
          </cell>
          <cell r="F3245"/>
          <cell r="G3245">
            <v>281.7</v>
          </cell>
          <cell r="H3245">
            <v>0</v>
          </cell>
        </row>
        <row r="3246">
          <cell r="C3246" t="str">
            <v>16.9.2.1.39</v>
          </cell>
          <cell r="D3246" t="str">
            <v>Registro Pvc/Pba Dn 75</v>
          </cell>
          <cell r="E3246" t="str">
            <v>un</v>
          </cell>
          <cell r="F3246"/>
          <cell r="G3246">
            <v>428.91</v>
          </cell>
          <cell r="H3246">
            <v>0</v>
          </cell>
        </row>
        <row r="3247">
          <cell r="C3247" t="str">
            <v>16.9.2.2</v>
          </cell>
          <cell r="D3247" t="str">
            <v>Hidrante Hskx Dn 75</v>
          </cell>
          <cell r="E3247" t="str">
            <v>un</v>
          </cell>
          <cell r="F3247"/>
          <cell r="G3247">
            <v>1496.86</v>
          </cell>
          <cell r="H3247">
            <v>0</v>
          </cell>
        </row>
        <row r="3248">
          <cell r="C3248" t="str">
            <v>16.10</v>
          </cell>
          <cell r="D3248" t="str">
            <v>16.10 - URBANISMO</v>
          </cell>
          <cell r="E3248"/>
          <cell r="F3248"/>
          <cell r="G3248">
            <v>0</v>
          </cell>
          <cell r="H3248">
            <v>0</v>
          </cell>
        </row>
        <row r="3249">
          <cell r="C3249" t="str">
            <v>16.10.1</v>
          </cell>
          <cell r="D3249" t="str">
            <v>OBRAS CIVIS</v>
          </cell>
          <cell r="E3249"/>
          <cell r="F3249"/>
          <cell r="G3249">
            <v>0</v>
          </cell>
          <cell r="H3249">
            <v>0</v>
          </cell>
        </row>
        <row r="3250">
          <cell r="C3250" t="str">
            <v>16.10.1.1</v>
          </cell>
          <cell r="D3250" t="str">
            <v>Pavimentação Com Saibro</v>
          </cell>
          <cell r="E3250" t="str">
            <v>m²</v>
          </cell>
          <cell r="F3250"/>
          <cell r="G3250">
            <v>1.73</v>
          </cell>
          <cell r="H3250">
            <v>0</v>
          </cell>
        </row>
        <row r="3251">
          <cell r="C3251" t="str">
            <v>16.10.1.2</v>
          </cell>
          <cell r="D3251" t="str">
            <v>Placas De Concreto</v>
          </cell>
          <cell r="E3251" t="str">
            <v>m²</v>
          </cell>
          <cell r="F3251"/>
          <cell r="G3251">
            <v>12.02</v>
          </cell>
          <cell r="H3251">
            <v>0</v>
          </cell>
        </row>
        <row r="3252">
          <cell r="C3252" t="str">
            <v>16.10.1.3</v>
          </cell>
          <cell r="D3252" t="str">
            <v>Plantio De Grama</v>
          </cell>
          <cell r="E3252" t="str">
            <v>m²</v>
          </cell>
          <cell r="F3252"/>
          <cell r="G3252">
            <v>4.79</v>
          </cell>
          <cell r="H3252">
            <v>0</v>
          </cell>
        </row>
        <row r="3253">
          <cell r="C3253" t="str">
            <v>16.10.1.4</v>
          </cell>
          <cell r="D3253" t="str">
            <v>Plantio De Vegetação De Médio Porte</v>
          </cell>
          <cell r="E3253" t="str">
            <v>un</v>
          </cell>
          <cell r="F3253"/>
          <cell r="G3253">
            <v>56.03</v>
          </cell>
          <cell r="H3253">
            <v>0</v>
          </cell>
        </row>
        <row r="3254">
          <cell r="C3254" t="str">
            <v>16.11</v>
          </cell>
          <cell r="D3254" t="str">
            <v>16.11 - REDE VIÁRIA</v>
          </cell>
          <cell r="E3254"/>
          <cell r="F3254"/>
          <cell r="G3254">
            <v>0</v>
          </cell>
          <cell r="H3254">
            <v>0</v>
          </cell>
        </row>
        <row r="3255">
          <cell r="C3255" t="str">
            <v>16.11.1</v>
          </cell>
          <cell r="D3255" t="str">
            <v>OBRAS CIVIS</v>
          </cell>
          <cell r="E3255"/>
          <cell r="F3255"/>
          <cell r="G3255">
            <v>0</v>
          </cell>
          <cell r="H3255">
            <v>0</v>
          </cell>
        </row>
        <row r="3256">
          <cell r="C3256" t="str">
            <v>16.11.1.1</v>
          </cell>
          <cell r="D3256" t="str">
            <v xml:space="preserve">Raspagem E Limpeza Nas Áreas Destinadas À Implantação Das Vias </v>
          </cell>
          <cell r="E3256" t="str">
            <v xml:space="preserve"> m²</v>
          </cell>
          <cell r="F3256"/>
          <cell r="G3256">
            <v>0.55000000000000004</v>
          </cell>
          <cell r="H3256">
            <v>0</v>
          </cell>
        </row>
        <row r="3257">
          <cell r="C3257" t="str">
            <v>16.11.1.2</v>
          </cell>
          <cell r="D3257" t="str">
            <v>Escavação,   Carga,   Transporte,   Descarga   E Espalhamento  Material  1ª  Categoria (Dmt &lt; 300 M).</v>
          </cell>
          <cell r="E3257" t="str">
            <v xml:space="preserve"> m³</v>
          </cell>
          <cell r="F3257"/>
          <cell r="G3257">
            <v>5.54</v>
          </cell>
          <cell r="H3257">
            <v>0</v>
          </cell>
        </row>
        <row r="3258">
          <cell r="C3258" t="str">
            <v>16.11.1.3</v>
          </cell>
          <cell r="D3258" t="str">
            <v xml:space="preserve">Escavação,   Carga,   Transporte  E  Descarga De Material De 1ª Categoria (Bota-Fora: Dmt &lt; 2,00 Km) </v>
          </cell>
          <cell r="E3258" t="str">
            <v xml:space="preserve"> m³</v>
          </cell>
          <cell r="F3258"/>
          <cell r="G3258">
            <v>6.68</v>
          </cell>
          <cell r="H3258">
            <v>0</v>
          </cell>
        </row>
        <row r="3259">
          <cell r="C3259" t="str">
            <v>16.11.1.4</v>
          </cell>
          <cell r="D3259" t="str">
            <v>Compactação De Aterros À 95 % Do Pn.</v>
          </cell>
          <cell r="E3259" t="str">
            <v xml:space="preserve"> m³</v>
          </cell>
          <cell r="F3259"/>
          <cell r="G3259">
            <v>5.56</v>
          </cell>
          <cell r="H3259">
            <v>0</v>
          </cell>
        </row>
        <row r="3260">
          <cell r="C3260" t="str">
            <v>16.11.1.5</v>
          </cell>
          <cell r="D3260" t="str">
            <v>Regularização   E   Compactação  De  Subleito  Nas Pistas De Rolamento</v>
          </cell>
          <cell r="E3260" t="str">
            <v xml:space="preserve"> m²</v>
          </cell>
          <cell r="F3260"/>
          <cell r="G3260">
            <v>0.82</v>
          </cell>
          <cell r="H3260">
            <v>0</v>
          </cell>
        </row>
        <row r="3261">
          <cell r="C3261" t="str">
            <v>16.11.1.6</v>
          </cell>
          <cell r="D3261" t="str">
            <v>Revestimento Das Pistas Com Laterita.</v>
          </cell>
          <cell r="E3261" t="str">
            <v xml:space="preserve"> m³</v>
          </cell>
          <cell r="F3261"/>
          <cell r="G3261">
            <v>11.55</v>
          </cell>
          <cell r="H3261">
            <v>0</v>
          </cell>
        </row>
        <row r="3262">
          <cell r="C3262" t="str">
            <v>16.11.1.7</v>
          </cell>
          <cell r="D3262" t="str">
            <v>Meio-Fio De Concreto Pré-Fabricado.</v>
          </cell>
          <cell r="E3262" t="str">
            <v xml:space="preserve"> m</v>
          </cell>
          <cell r="F3262"/>
          <cell r="G3262">
            <v>17.37</v>
          </cell>
          <cell r="H3262">
            <v>0</v>
          </cell>
        </row>
        <row r="3263">
          <cell r="C3263" t="str">
            <v>16.12</v>
          </cell>
          <cell r="D3263" t="str">
            <v>16.12 - ÁGUAS PLUVIAIS</v>
          </cell>
          <cell r="E3263"/>
          <cell r="F3263"/>
          <cell r="G3263">
            <v>0</v>
          </cell>
          <cell r="H3263">
            <v>0</v>
          </cell>
        </row>
        <row r="3264">
          <cell r="C3264" t="str">
            <v>16.12.1</v>
          </cell>
          <cell r="D3264" t="str">
            <v>OBRAS CIVIS</v>
          </cell>
          <cell r="E3264"/>
          <cell r="F3264"/>
          <cell r="G3264">
            <v>0</v>
          </cell>
          <cell r="H3264">
            <v>0</v>
          </cell>
        </row>
        <row r="3265">
          <cell r="C3265" t="str">
            <v>16.12.1.1</v>
          </cell>
          <cell r="D3265" t="str">
            <v xml:space="preserve">Escavação De Valas Em Solo </v>
          </cell>
          <cell r="E3265" t="str">
            <v xml:space="preserve"> m³</v>
          </cell>
          <cell r="F3265"/>
          <cell r="G3265">
            <v>2.42</v>
          </cell>
          <cell r="H3265">
            <v>0</v>
          </cell>
        </row>
        <row r="3266">
          <cell r="C3266" t="str">
            <v>16.12.1.2</v>
          </cell>
          <cell r="D3266" t="str">
            <v>Reaterro Compactado Com Material Selecionado</v>
          </cell>
          <cell r="E3266" t="str">
            <v xml:space="preserve"> m³</v>
          </cell>
          <cell r="F3266"/>
          <cell r="G3266">
            <v>11.55</v>
          </cell>
          <cell r="H3266">
            <v>0</v>
          </cell>
        </row>
        <row r="3267">
          <cell r="C3267" t="str">
            <v>16.12.1.3</v>
          </cell>
          <cell r="D3267" t="str">
            <v>Remoção E Transporte Do Excedente De Escavação</v>
          </cell>
          <cell r="E3267" t="str">
            <v xml:space="preserve"> m³</v>
          </cell>
          <cell r="F3267"/>
          <cell r="G3267">
            <v>3.56</v>
          </cell>
          <cell r="H3267">
            <v>0</v>
          </cell>
        </row>
        <row r="3268">
          <cell r="C3268" t="str">
            <v>16.12.1.4</v>
          </cell>
          <cell r="D3268" t="str">
            <v>Fornecimento E Assentamento De Tubos De Concreto Classe C-2,  Ø300 Mm</v>
          </cell>
          <cell r="E3268" t="str">
            <v xml:space="preserve"> m</v>
          </cell>
          <cell r="F3268"/>
          <cell r="G3268">
            <v>53.61</v>
          </cell>
          <cell r="H3268">
            <v>0</v>
          </cell>
        </row>
        <row r="3269">
          <cell r="C3269" t="str">
            <v>16.12.1.5</v>
          </cell>
          <cell r="D3269" t="str">
            <v>Fornecimento E Assentamento De Tubos De Concreto Classe C-2,  Ø400 Mm</v>
          </cell>
          <cell r="E3269" t="str">
            <v xml:space="preserve"> m</v>
          </cell>
          <cell r="F3269"/>
          <cell r="G3269">
            <v>66.7</v>
          </cell>
          <cell r="H3269">
            <v>0</v>
          </cell>
        </row>
        <row r="3270">
          <cell r="C3270" t="str">
            <v>16.12.1.6</v>
          </cell>
          <cell r="D3270" t="str">
            <v>Fornecimento E Assentamento De Tubos De Concreto Classe C-2,  Ø500 Mm</v>
          </cell>
          <cell r="E3270" t="str">
            <v xml:space="preserve"> m</v>
          </cell>
          <cell r="F3270"/>
          <cell r="G3270">
            <v>93.3</v>
          </cell>
          <cell r="H3270">
            <v>0</v>
          </cell>
        </row>
        <row r="3271">
          <cell r="C3271" t="str">
            <v>16.12.1.7</v>
          </cell>
          <cell r="D3271" t="str">
            <v>Fornecimento E Assentamento De Tubos De Concreto Classe C-2,  Ø600 Mm</v>
          </cell>
          <cell r="E3271" t="str">
            <v xml:space="preserve"> m</v>
          </cell>
          <cell r="F3271"/>
          <cell r="G3271">
            <v>120.95</v>
          </cell>
          <cell r="H3271">
            <v>0</v>
          </cell>
        </row>
        <row r="3272">
          <cell r="C3272" t="str">
            <v>16.12.1.8</v>
          </cell>
          <cell r="D3272" t="str">
            <v>Fornecimento E Assentamento De Tubos De Concreto Classe Ca-2,  Ø800 Mm</v>
          </cell>
          <cell r="E3272" t="str">
            <v xml:space="preserve"> m</v>
          </cell>
          <cell r="F3272"/>
          <cell r="G3272">
            <v>215.36</v>
          </cell>
          <cell r="H3272">
            <v>0</v>
          </cell>
        </row>
        <row r="3273">
          <cell r="C3273" t="str">
            <v>16.12.1.9</v>
          </cell>
          <cell r="D3273" t="str">
            <v>Fornecimento E Assentamento De Tubos De Concreto Classe Ca-2,  Ø1000 Mm</v>
          </cell>
          <cell r="E3273" t="str">
            <v xml:space="preserve"> m</v>
          </cell>
          <cell r="F3273"/>
          <cell r="G3273">
            <v>295.63</v>
          </cell>
          <cell r="H3273">
            <v>0</v>
          </cell>
        </row>
        <row r="3274">
          <cell r="C3274" t="str">
            <v>16.12.1.10</v>
          </cell>
          <cell r="D3274" t="str">
            <v>Fornecimento E Execução De Poços De Visita Para Rede Pluvial, Ø&lt;= 60 Cm - Prof. 1,01 A 1,50 M</v>
          </cell>
          <cell r="E3274" t="str">
            <v>un</v>
          </cell>
          <cell r="F3274"/>
          <cell r="G3274">
            <v>649.97</v>
          </cell>
          <cell r="H3274">
            <v>0</v>
          </cell>
        </row>
        <row r="3275">
          <cell r="C3275" t="str">
            <v>16.12.1.11</v>
          </cell>
          <cell r="D3275" t="str">
            <v>Fornecimento E Execução De Poços De Visita Para Rede Pluvial, Ø&lt;= 60 Cm - Prof. 1,51 A 2,00 M</v>
          </cell>
          <cell r="E3275" t="str">
            <v>un</v>
          </cell>
          <cell r="F3275"/>
          <cell r="G3275">
            <v>716.4</v>
          </cell>
          <cell r="H3275">
            <v>0</v>
          </cell>
        </row>
        <row r="3276">
          <cell r="C3276" t="str">
            <v>16.12.1.12</v>
          </cell>
          <cell r="D3276" t="str">
            <v>Fornecimento E Execução De Poços De Visita Para Rede Pluvial, Ø&gt;= 80 Cm - Prof. 1,51 A 2,00 M</v>
          </cell>
          <cell r="E3276" t="str">
            <v>un</v>
          </cell>
          <cell r="F3276"/>
          <cell r="G3276">
            <v>1163.93</v>
          </cell>
          <cell r="H3276">
            <v>0</v>
          </cell>
        </row>
        <row r="3277">
          <cell r="C3277" t="str">
            <v>16.12.1.13</v>
          </cell>
          <cell r="D3277" t="str">
            <v>Fornecimento E Execução De Poços De Visita Para Rede Pluvial, Ø&gt;= 80 Cm - Prof. 2,01 A 2,50 M</v>
          </cell>
          <cell r="E3277" t="str">
            <v>un</v>
          </cell>
          <cell r="F3277"/>
          <cell r="G3277">
            <v>1279.9100000000001</v>
          </cell>
          <cell r="H3277">
            <v>0</v>
          </cell>
        </row>
        <row r="3278">
          <cell r="C3278" t="str">
            <v>16.12.1.14</v>
          </cell>
          <cell r="D3278" t="str">
            <v>Fornecimento E Execução De Bocas De Lobo Simples</v>
          </cell>
          <cell r="E3278" t="str">
            <v>un</v>
          </cell>
          <cell r="F3278"/>
          <cell r="G3278">
            <v>737.26</v>
          </cell>
          <cell r="H3278">
            <v>0</v>
          </cell>
        </row>
        <row r="3279">
          <cell r="C3279" t="str">
            <v>16.12.1.15</v>
          </cell>
          <cell r="D3279" t="str">
            <v>Fornecimento E Execução De Ligações De Bocas De Lobo Com Tubo De Concreto Ø300 Mm</v>
          </cell>
          <cell r="E3279" t="str">
            <v>m</v>
          </cell>
          <cell r="F3279"/>
          <cell r="G3279">
            <v>28.64</v>
          </cell>
          <cell r="H3279">
            <v>0</v>
          </cell>
        </row>
        <row r="3280">
          <cell r="C3280" t="str">
            <v>16.12.1.16</v>
          </cell>
          <cell r="D3280" t="str">
            <v>Fornecimento E Instalação De Ligações De Bocas De Bueiros, Ø400 Mm</v>
          </cell>
          <cell r="E3280" t="str">
            <v>un</v>
          </cell>
          <cell r="F3280"/>
          <cell r="G3280">
            <v>328.82</v>
          </cell>
          <cell r="H3280">
            <v>0</v>
          </cell>
        </row>
        <row r="3281">
          <cell r="C3281" t="str">
            <v>16.12.1.17</v>
          </cell>
          <cell r="D3281" t="str">
            <v>Fornecimento E Instalação De Ligações De Bocas De Bueiros, Ø300 Mm</v>
          </cell>
          <cell r="E3281" t="str">
            <v>un</v>
          </cell>
          <cell r="F3281"/>
          <cell r="G3281">
            <v>302.88</v>
          </cell>
          <cell r="H3281">
            <v>0</v>
          </cell>
        </row>
        <row r="3282">
          <cell r="C3282" t="str">
            <v>16.12.1.18</v>
          </cell>
          <cell r="D3282" t="str">
            <v>Fornecimento E Instalação De Ligações De Bocas De Bueiros, Ø500 Mm</v>
          </cell>
          <cell r="E3282" t="str">
            <v>un</v>
          </cell>
          <cell r="F3282"/>
          <cell r="G3282">
            <v>392.87</v>
          </cell>
          <cell r="H3282">
            <v>0</v>
          </cell>
        </row>
        <row r="3283">
          <cell r="C3283" t="str">
            <v>16.12.1.19</v>
          </cell>
          <cell r="D3283" t="str">
            <v>Fornecimento E Instalação De Ligações De Bocas De Bueiros, Ø600 Mm</v>
          </cell>
          <cell r="E3283" t="str">
            <v>un</v>
          </cell>
          <cell r="F3283"/>
          <cell r="G3283">
            <v>458.62</v>
          </cell>
          <cell r="H3283">
            <v>0</v>
          </cell>
        </row>
        <row r="3284">
          <cell r="C3284" t="str">
            <v>16.12.1.20</v>
          </cell>
          <cell r="D3284" t="str">
            <v>Fornecimento E Instalação De Ligações De Bocas De Bueiros, Ø800 Mm</v>
          </cell>
          <cell r="E3284" t="str">
            <v>un</v>
          </cell>
          <cell r="F3284"/>
          <cell r="G3284">
            <v>527.86</v>
          </cell>
          <cell r="H3284">
            <v>0</v>
          </cell>
        </row>
        <row r="3285">
          <cell r="C3285" t="str">
            <v>16.12.1.21</v>
          </cell>
          <cell r="D3285" t="str">
            <v>Fornecimento E Instalação De Ligações De Bocas De Bueiros, Ø1000 Mm</v>
          </cell>
          <cell r="E3285" t="str">
            <v>un</v>
          </cell>
          <cell r="F3285"/>
          <cell r="G3285">
            <v>661.13</v>
          </cell>
          <cell r="H3285">
            <v>0</v>
          </cell>
        </row>
        <row r="3286">
          <cell r="C3286" t="str">
            <v>17.</v>
          </cell>
          <cell r="D3286" t="str">
            <v>17 - TERRACEAMENTO</v>
          </cell>
          <cell r="E3286"/>
          <cell r="F3286"/>
          <cell r="G3286"/>
          <cell r="H3286">
            <v>0</v>
          </cell>
        </row>
        <row r="3287">
          <cell r="C3287" t="str">
            <v>17.1</v>
          </cell>
          <cell r="D3287" t="str">
            <v>OBRAS CIVIS (ANOS I, II e III)</v>
          </cell>
          <cell r="E3287"/>
          <cell r="F3287"/>
          <cell r="G3287">
            <v>0</v>
          </cell>
          <cell r="H3287"/>
        </row>
        <row r="3288">
          <cell r="C3288" t="str">
            <v>17.1.13</v>
          </cell>
          <cell r="D3288" t="str">
            <v>Locação,  Construção E Acabamento De Camalhões</v>
          </cell>
          <cell r="E3288" t="str">
            <v>m</v>
          </cell>
          <cell r="F3288"/>
          <cell r="G3288">
            <v>0.34</v>
          </cell>
          <cell r="H3288">
            <v>0</v>
          </cell>
        </row>
        <row r="3289">
          <cell r="C3289" t="str">
            <v>18.</v>
          </cell>
          <cell r="D3289" t="str">
            <v>18 - DESMOBILIZAÇÃO</v>
          </cell>
          <cell r="E3289"/>
          <cell r="F3289"/>
          <cell r="G3289"/>
          <cell r="H3289">
            <v>0</v>
          </cell>
        </row>
        <row r="3290">
          <cell r="C3290" t="str">
            <v>18.1</v>
          </cell>
          <cell r="D3290" t="str">
            <v>Desmobilização De Equipamento</v>
          </cell>
          <cell r="E3290" t="str">
            <v>%</v>
          </cell>
          <cell r="F3290"/>
          <cell r="G3290">
            <v>397386.34565000003</v>
          </cell>
          <cell r="H3290">
            <v>0</v>
          </cell>
        </row>
        <row r="3291">
          <cell r="C3291" t="str">
            <v>18.2</v>
          </cell>
          <cell r="D3291" t="str">
            <v>Desmobilização De Pessoal</v>
          </cell>
          <cell r="E3291" t="str">
            <v>%</v>
          </cell>
          <cell r="F3291"/>
          <cell r="G3291">
            <v>170308.43385</v>
          </cell>
          <cell r="H3291">
            <v>0</v>
          </cell>
        </row>
        <row r="3292">
          <cell r="C3292" t="str">
            <v>19</v>
          </cell>
          <cell r="D3292" t="str">
            <v>19 - SUBESTAÇÃO</v>
          </cell>
          <cell r="E3292"/>
          <cell r="F3292"/>
          <cell r="G3292"/>
          <cell r="H3292">
            <v>0</v>
          </cell>
        </row>
        <row r="3293">
          <cell r="C3293" t="str">
            <v>19.1</v>
          </cell>
          <cell r="D3293" t="str">
            <v>BAY DE ENTRADA</v>
          </cell>
          <cell r="E3293"/>
          <cell r="F3293"/>
          <cell r="G3293"/>
          <cell r="H3293">
            <v>0</v>
          </cell>
        </row>
        <row r="3294">
          <cell r="C3294" t="str">
            <v>19.1.1</v>
          </cell>
          <cell r="D3294" t="str">
            <v>MONTAGEM</v>
          </cell>
          <cell r="E3294"/>
          <cell r="F3294"/>
          <cell r="G3294"/>
          <cell r="H3294">
            <v>0</v>
          </cell>
        </row>
        <row r="3295">
          <cell r="C3295" t="str">
            <v>19.1.1.1</v>
          </cell>
          <cell r="D3295" t="str">
            <v>Para-Raios Em Óxido De  Zinco (Zno), Tipo Estação, Tensão Nominal 72 Kv, 60 Hz, Corrente Nominal De Descarga 10 Ka, Nbi 350 Kv, Fornecido  Com Os Seguintes Acessórios:Conector Terminal, Em Bronze Estanhado, 4 Furos Nema, Para Cabo 6 Awg A 750 Mcm; Conector De Aterramento Para Cabo De Cobre 70 A 120 Mm²; Base Isolada E Base De Fixação Com Quatro Rasgos 18X50 Mm, Espaçados De (250 A 350) X (250 A 350) Mm, Em Diagonal.</v>
          </cell>
          <cell r="E3295" t="str">
            <v>un</v>
          </cell>
          <cell r="F3295"/>
          <cell r="G3295">
            <v>300.69</v>
          </cell>
          <cell r="H3295">
            <v>0</v>
          </cell>
        </row>
        <row r="3296">
          <cell r="C3296" t="str">
            <v>19.1.1.2</v>
          </cell>
          <cell r="D3296" t="str">
            <v>Disjuntor Tripolar À Sf6, Tensão Nominal 72,5 Kv, 60 Hz, Corrente Nominal 1600 A,  Corrente De  Interrupção Nominal Em Curto-Circuito Simétrico 20 Ka, Nbi 350 Kv, Seqüência De Operações 0-0,3S-Co-180S-Co, Mecanismo De Operação Motorizado, Fornecido Com Os Seguintes Acessórios: Tensões De Alimentação: Auxiliares 220 V, 60 Hz, 1Ø E Circuitos De Abertura, Fechamento E Motor 125 Vcc; Estrutura Metálica Suporte; Conector De Aterramento Para Cabo De Cobre 70 A 120 Mm²; Conector Terminal, Em Bronze Estanhado, 4 Furos Nema, Para Cabo 6 Awg A 750 Mcm.</v>
          </cell>
          <cell r="E3296" t="str">
            <v>un</v>
          </cell>
          <cell r="F3296"/>
          <cell r="G3296">
            <v>3700.27</v>
          </cell>
          <cell r="H3296">
            <v>0</v>
          </cell>
        </row>
        <row r="3297">
          <cell r="C3297" t="str">
            <v>19.1.1.3</v>
          </cell>
          <cell r="D3297" t="str">
            <v>Transformador De Corrente, Tensão Nominal 69 Kv, 60 Hz, Polaridade Subtrativa, Nbi 350 Kv, Corrente Nominal Secundária 5A, Fator Térmico 1.2, Com 1  (Um) Enrolamento Secundário Para Medição Com Classe De Exatidão 0,3C50, Fabricado Com Os Seguintes Acessórios: Conector Terminal, Em Bronze Estanhado, 4 Furos Nema, Para Cabo 6 Awg A 750 Mcm; Conector De Aterramento Para Cabo De Cobre 70 A 120 Mm²; Caixa De Terminais Secundários Com Entradas Rosqueadas Para Eletroduto Ø 38 Mm (1 1/2”); Fixação Pela Base Através De Quatro Rasgos Ø 18X50 Mm, Espaçados De (350 A 550) Mm X (350 A 550) Mm Em Diagonal.</v>
          </cell>
          <cell r="E3297" t="str">
            <v>un</v>
          </cell>
          <cell r="F3297"/>
          <cell r="G3297">
            <v>689.49</v>
          </cell>
          <cell r="H3297">
            <v>0</v>
          </cell>
        </row>
        <row r="3298">
          <cell r="C3298" t="str">
            <v>19.1.1.4</v>
          </cell>
          <cell r="D3298" t="str">
            <v>Transformador De Corrente, Tensão Nominal 69 Kv, 60 Hz, Polaridade Subtrativa, Nbi 350 Kv, Corrente Nominal Secundária 5A, Fator Térmico 1.2, Com 1  (Um) Enrolamento Secundário Para Proteção 10B200, Relação 1100/150X200/300-5A, Fabricado Com Os Seguintes Acessórios: Conector Terminal, Em Bronze Estanhado, 4 Furos Nema, Para Cabo 6 Awg A 750 Mcm; Conector De Aterramento Para Cabo De Cobre 70 A 120 Mm²; Caixa De Terminais Secundários Com Entradas Rosqueadas Para Eletroduto Ø 38 Mm (1 1/2”); Fixação Pela Base Através De Quatro Rasgos Ø 18X50 Mm, Espaçados De (350 A 550) Mm X (350 A 550) Mm Em Diagonal.</v>
          </cell>
          <cell r="E3298" t="str">
            <v>un</v>
          </cell>
          <cell r="F3298"/>
          <cell r="G3298">
            <v>601.38</v>
          </cell>
          <cell r="H3298">
            <v>0</v>
          </cell>
        </row>
        <row r="3299">
          <cell r="C3299" t="str">
            <v>19.1.1.5</v>
          </cell>
          <cell r="D3299" t="str">
            <v>Transformador De Potencial, Tensão Nominal 69Kv, 60Hz, Polaridade Subtrativa, Nbi 350 Kv, Com Dois Enrolamentos Secundários, Classe De Exatidão 0,6P200, Potência Térmica 500Va, Relação De Transformação 69.000:√3-115:√3-115 V, Fornecido Com Os Seguintes Acessórios: Conector Terminal, Em Bronze Estanhado, 4 Furos Nema, Para Cabo 6 Awg A 750 Mcm; Conector Terminal De Neutro, Saída 90º Para Cabo De Cobre 70 A 120 Mm²; Conector De Aterramento Para Cabo De Cobre 70 A 120 Mm²; Caixa De Terminais Secundários Com Entradas Rosqueadas Para Eletroduto Ø 38 Mm (1 1/2”); Fixação Pela Base Através De Quatro Rasgos Ø 18X50 Mm, Espaçados De (350 A 550) Mm X (350 A 550) Mm Em Diagonal.</v>
          </cell>
          <cell r="E3299" t="str">
            <v>un</v>
          </cell>
          <cell r="F3299"/>
          <cell r="G3299">
            <v>1052.4100000000001</v>
          </cell>
          <cell r="H3299">
            <v>0</v>
          </cell>
        </row>
        <row r="3300">
          <cell r="C3300" t="str">
            <v>19.1.1.6</v>
          </cell>
          <cell r="D3300" t="str">
            <v>Chave Seccionadora Tripolar, Operação Manual, Com Lâmina De Terra E Restritor De Arco, Tensão Nominal 72,5 Kv, Corrente Nominal 630 A, Corrente Suportável De Curta Duração 25 Ka, Nbi 350 Kv, Abertura Lateral, Horizontal Alta, Fornecida Com Os Seguintes Acessórios: Com Mecanismo De Manobra; Conector Terminal, Em Bronze Estanhado, 4 Furos Nema, Para Cabo 6 Awg A 750 Mcm; Conector De Aterramento Para Cabo De Cobre 70 A 120 Mm²; Caixa De Contatos Auxiliares Com 6Na + 6Nf + 2Naa + 2Nbb; Pino Magnético Com Bobina Para 125Vcc, Em Ambos Os Mecanismos (Lâmina Principal E De Terra) Com Saída Para Eletroduto Ø 38 Mm (1.1/2"); Cordoalha De Aterramento Do Mecanismo De Manobra (Lâmina Principal E De Terra); Ferragens Para Fixação Do Equipamento E Acessórios Nas Estruturas; Base De Pólos E Mancal Auxiliar Com Dois Furos Ø 18 Mm E Dois Rasgos Ø 18X50 Mm, Espaçados De 1400 X 76 Mm</v>
          </cell>
          <cell r="E3300" t="str">
            <v>un</v>
          </cell>
          <cell r="F3300"/>
          <cell r="G3300">
            <v>1292.1600000000001</v>
          </cell>
          <cell r="H3300">
            <v>0</v>
          </cell>
        </row>
        <row r="3301">
          <cell r="C3301" t="str">
            <v>19.1.1.7</v>
          </cell>
          <cell r="D3301" t="str">
            <v>Comissionamento do Bay de Entrada</v>
          </cell>
          <cell r="E3301" t="str">
            <v>vb</v>
          </cell>
          <cell r="F3301"/>
          <cell r="G3301">
            <v>13795.29113017738</v>
          </cell>
          <cell r="H3301">
            <v>0</v>
          </cell>
        </row>
        <row r="3302">
          <cell r="C3302" t="str">
            <v>19.1.2</v>
          </cell>
          <cell r="D3302" t="str">
            <v>FORNECIMENTO</v>
          </cell>
          <cell r="E3302"/>
          <cell r="F3302"/>
          <cell r="G3302"/>
          <cell r="H3302">
            <v>0</v>
          </cell>
        </row>
        <row r="3303">
          <cell r="C3303" t="str">
            <v>19.1.2.1</v>
          </cell>
          <cell r="D3303" t="str">
            <v>Para-Raios Em Óxido De  Zinco (Zno), Tipo Estação, Tensão Nominal 72 Kv, 60 Hz, Corrente Nominal De Descarga 10 Ka, Nbi 350 Kv, Fornecido  Com Os Seguintes Acessórios:Conector Terminal, Em Bronze Estanhado, 4 Furos Nema, Para Cabo 6 Awg A 750 Mcm; Conector De Aterramento Para Cabo De Cobre 70 A 120 Mm²; Base Isolada E Base De Fixação Com Quatro Rasgos 18X50 Mm, Espaçados De (250 A 350) X (250 A 350) Mm, Em Diagonal.</v>
          </cell>
          <cell r="E3303" t="str">
            <v>un</v>
          </cell>
          <cell r="F3303"/>
          <cell r="G3303">
            <v>1621.5</v>
          </cell>
          <cell r="H3303">
            <v>0</v>
          </cell>
        </row>
        <row r="3304">
          <cell r="C3304" t="str">
            <v>19.1.2.2</v>
          </cell>
          <cell r="D3304" t="str">
            <v>Disjuntor Tripolar À Sf6, Tensão Nominal 72,5 Kv, 60 Hz, Corrente Nominal 1600 A,  Corrente De  Interrupção Nominal Em Curto-Circuito Simétrico 20 Ka, Nbi 350 Kv, Seqüência De Operações 0-0,3S-Co-180S-Co, Mecanismo De Operação Motorizado, Fornecido Com Os Seguintes Acessórios: Tensões De Alimentação: Auxiliares 220 V, 60 Hz, 1Ø E Circuitos De Abertura, Fechamento E Motor 125 Vcc; Estrutura Metálica Suporte; Conector De Aterramento Para Cabo De Cobre 70 A 120 Mm²; Conector Terminal, Em Bronze Estanhado, 4 Furos Nema, Para Cabo 6 Awg A 750 Mcm.</v>
          </cell>
          <cell r="E3304" t="str">
            <v>un</v>
          </cell>
          <cell r="F3304"/>
          <cell r="G3304">
            <v>37752.6</v>
          </cell>
          <cell r="H3304">
            <v>0</v>
          </cell>
        </row>
        <row r="3305">
          <cell r="C3305" t="str">
            <v>19.1.2.3</v>
          </cell>
          <cell r="D3305" t="str">
            <v>Transformador De Corrente, Tensão Nominal 69 Kv, 60 Hz, Polaridade Subtrativa, Nbi 350 Kv, Corrente Nominal Secundária 5A, Fator Térmico 1.2, Com 1  (Um) Enrolamento Secundário Para Medição Com Classe De Exatidão 0,3C50, Fabricado Com Os Seguintes Acessórios: Conector Terminal, Em Bronze Estanhado, 4 Furos Nema, Para Cabo 6 Awg A 750 Mcm; Conector De Aterramento Para Cabo De Cobre 70 A 120 Mm²; Caixa De Terminais Secundários Com Entradas Rosqueadas Para Eletroduto Ø 38 Mm (1 1/2”); Fixação Pela Base Através De Quatro Rasgos Ø 18X50 Mm, Espaçados De (350 A 550) Mm X (350 A 550) Mm Em Diagonal.</v>
          </cell>
          <cell r="E3305" t="str">
            <v>un</v>
          </cell>
          <cell r="F3305"/>
          <cell r="G3305">
            <v>9348.6</v>
          </cell>
          <cell r="H3305">
            <v>0</v>
          </cell>
        </row>
        <row r="3306">
          <cell r="C3306" t="str">
            <v>19.1.2.4</v>
          </cell>
          <cell r="D3306" t="str">
            <v>Transformador De Corrente, Tensão Nominal 69 Kv, 60 Hz, Polaridade Subtrativa, Nbi 350 Kv, Corrente Nominal Secundária 5A, Fator Térmico 1.2, Com 1  (Um) Enrolamento Secundário Para Proteção 10B200, Relação 1100/150X200/300-5A, Fabricado Com Os Seguintes Acessórios: Conector Terminal, Em Bronze Estanhado, 4 Furos Nema, Para Cabo 6 Awg A 750 Mcm; Conector De Aterramento Para Cabo De Cobre 70 A 120 Mm²; Caixa De Terminais Secundários Com Entradas Rosqueadas Para Eletroduto Ø 38 Mm (1 1/2”); Fixação Pela Base Através De Quatro Rasgos Ø 18X50 Mm, Espaçados De (350 A 550) Mm X (350 A 550) Mm Em Diagonal.</v>
          </cell>
          <cell r="E3306" t="str">
            <v>un</v>
          </cell>
          <cell r="F3306"/>
          <cell r="G3306">
            <v>9348.6</v>
          </cell>
          <cell r="H3306">
            <v>0</v>
          </cell>
        </row>
        <row r="3307">
          <cell r="C3307" t="str">
            <v>19.1.2.5</v>
          </cell>
          <cell r="D3307" t="str">
            <v>Transformador De Potencial, Tensão Nominal 69Kv, 60Hz, Polaridade Subtrativa, Nbi 350 Kv, Com Dois Enrolamentos Secundários, Classe De Exatidão 0,6P200, Potência Térmica 500Va, Relação De Transformação 69.000:√3-115:√3-115 V, Fornecido Com Os Seguintes Acessórios: Conector Terminal, Em Bronze Estanhado, 4 Furos Nema, Para Cabo 6 Awg A 750 Mcm; Conector Terminal De Neutro, Saída 90º Para Cabo De Cobre 70 A 120 Mm²; Conector De Aterramento Para Cabo De Cobre 70 A 120 Mm²; Caixa De Terminais Secundários Com Entradas Rosqueadas Para Eletroduto Ø 38 Mm (1 1/2”); Fixação Pela Base Através De Quatro Rasgos Ø 18X50 Mm, Espaçados De (350 A 550) Mm X (350 A 550) Mm Em Diagonal.</v>
          </cell>
          <cell r="E3307" t="str">
            <v>un</v>
          </cell>
          <cell r="F3307"/>
          <cell r="G3307">
            <v>8721.18</v>
          </cell>
          <cell r="H3307">
            <v>0</v>
          </cell>
        </row>
        <row r="3308">
          <cell r="C3308" t="str">
            <v>19.1.2.6</v>
          </cell>
          <cell r="D3308" t="str">
            <v>Chave Seccionadora Tripolar, Operação Manual, Com Lâmina De Terra E Restritor De Arco, Tensão Nominal 72,5 Kv, Corrente Nominal 630 A, Corrente Suportável De Curta Duração 25 Ka, Nbi 350 Kv, Abertura Lateral, Horizontal Alta, Fornecida Com Os Seguintes Acessórios: Com Mecanismo De Manobra; Conector Terminal, Em Bronze Estanhado, 4 Furos Nema, Para Cabo 6 Awg A 750 Mcm; Conector De Aterramento Para Cabo De Cobre 70 A 120 Mm²; Caixa De Contatos Auxiliares Com 6Na + 6Nf + 2Naa + 2Nbb; Pino Magnético Com Bobina Para 125Vcc, Em Ambos Os Mecanismos (Lâmina Principal E De Terra) Com Saída Para Eletroduto Ø 38 Mm (1.1/2"); Cordoalha De Aterramento Do Mecanismo De Manobra (Lâmina Principal E De Terra); Ferragens Para Fixação Do Equipamento E Acessórios Nas Estruturas; Base De Pólos E Mancal Auxiliar Com Dois Furos Ø 18 Mm E Dois Rasgos Ø 18X50 Mm, Espaçados De 1400 X 76 Mm</v>
          </cell>
          <cell r="E3308" t="str">
            <v>un</v>
          </cell>
          <cell r="F3308"/>
          <cell r="G3308">
            <v>14134.13</v>
          </cell>
          <cell r="H3308">
            <v>0</v>
          </cell>
        </row>
        <row r="3309">
          <cell r="C3309" t="str">
            <v>19.2</v>
          </cell>
          <cell r="D3309" t="str">
            <v>BAY DE TRANSFORMAÇÃO</v>
          </cell>
          <cell r="E3309"/>
          <cell r="F3309"/>
          <cell r="G3309">
            <v>0</v>
          </cell>
          <cell r="H3309">
            <v>0</v>
          </cell>
        </row>
        <row r="3310">
          <cell r="C3310" t="str">
            <v>19.2.1</v>
          </cell>
          <cell r="D3310" t="str">
            <v>MONTAGEM</v>
          </cell>
          <cell r="E3310"/>
          <cell r="F3310"/>
          <cell r="G3310">
            <v>0</v>
          </cell>
          <cell r="H3310">
            <v>0</v>
          </cell>
        </row>
        <row r="3311">
          <cell r="C3311" t="str">
            <v>19.2.1.1</v>
          </cell>
          <cell r="D3311" t="str">
            <v>Chave Seccionadora Tripolar, Operação Manual, Com Restritor De Arco, Tensão Nominal 72,5 Kv, Corrente Nominal 630 A, Corrente Suportável De Curta Duração 25 Ka, Nbi 350 Kv, Abertura Lateral, Vertical, Fornecida Com Os Seguintes Acessórios: Com Mecanismo De Manobra; Conector Terminal, Em Bronze Estanhado, 4 Furos Nema, Para Cabo 6 Awg A 750 Mcm; Conector De Aterramento Para Cabo De Cobre 70 A 120 Mm²; Caixa De Contatos Auxiliares Com 6Na + 6Nf + 2Naa + 2Nbb, Com Saída Para Eletroduto Ø38 Mm (1.1/2"); Cordoalha De Aterramento Do Mecanismo De Manobra; Ferragens Para Fixação Do Equipamento E Acessórios Nas Estruturas; Base De Pólos E Mancal Auxiliar Com Dois Furos Ø 18 Mm E Dois Rasgos Ø 18X50 Mm, Espaçados De 1400 X 76 Mm</v>
          </cell>
          <cell r="E3311" t="str">
            <v>un</v>
          </cell>
          <cell r="F3311"/>
          <cell r="G3311">
            <v>1894.19</v>
          </cell>
          <cell r="H3311">
            <v>0</v>
          </cell>
        </row>
        <row r="3312">
          <cell r="C3312" t="str">
            <v>19.2.1.2</v>
          </cell>
          <cell r="D3312" t="str">
            <v>Transformador De Potência Trifásico, 60 Hz, Tensão Primária Nominal 69Kv, Ligação Em Delta, Tensão Secundária Nominal 4,16 Kv, Ligação Em Estrela, Com Neutro Acessível, Comutador Em Vazio No Lado Primário E Comutador Sobcarga No Lado Secundário De 32 Degraus, Nbi 350 Kv (Primário) E 110 Kv (Secundário E Neutro), Potência Nominal 3,5/4,375 Mva, Fornecido Com Os Seguintes Acessórios: Transformador De Corrente Nas Buchas H1, H2, H3, X1, X2, X3 E X0, Relação 800/1000/1200-5A E Classe De Exatidão 10B200; Conectores Terminais Saída Reta Ou 90º Para Cabo De Aluminio Caa 312,8 Mcm-Butte Nas Buchas H1, H2, E H3; Conectores Terminais Saída Reta Ou 90º Para Cabo De Cobre 185 Mm² Nas Buchas X1, X2, E X3; Conector Terminal Saída 90º Para Cabo De Cobre 70 A 95 Mm² Na Bucha X0; Conector De Aterramento Para Cabo De Cobre 70 A 120 Mm²; Alimentação Para Vf E Auxiliares Em 380/220 V, 60 Hz, E 125 Vcc Para Controle E Sinalização.</v>
          </cell>
          <cell r="E3312" t="str">
            <v>un</v>
          </cell>
          <cell r="F3312"/>
          <cell r="G3312">
            <v>13098.1</v>
          </cell>
          <cell r="H3312">
            <v>0</v>
          </cell>
        </row>
        <row r="3313">
          <cell r="C3313" t="str">
            <v>19.2.1.3</v>
          </cell>
          <cell r="D3313" t="str">
            <v>Para-Raios Em Óxido De  Zinco (Zno), Tipo Distribuição Tensão Nominal 4,5 Kv, 60 Hz, Corrente Nominal De Descarga 10 Ka, Nbi 110 Kv, Fornecido Com Os Seguintes Acessórios: Conector Terminal, Saída 90º, Para Cabo De Cobre 35 A 95 Mm²; Conector De Aterramento Para Cabo De Cobre 70 A 120 Mm²; Fixação Com Braçadeira.</v>
          </cell>
          <cell r="E3313" t="str">
            <v>un</v>
          </cell>
          <cell r="F3313"/>
          <cell r="G3313">
            <v>70.2</v>
          </cell>
          <cell r="H3313">
            <v>0</v>
          </cell>
        </row>
        <row r="3314">
          <cell r="C3314" t="str">
            <v>19.2.1.4</v>
          </cell>
          <cell r="D3314" t="str">
            <v>Transformador De Potência Trifásico, 60 Hz, Tensão Primária Nominal 69Kv, Ligação Em Delta, Tensão Secundária Nominal 34,5 Kv, Ligação Em Estrela, Com Neutro Acessível,  Nbi 350 Kv (Primário) E 110 Kv (Secundário E Neutro), Potência Nominal 2,0/2,5 Mva, Fornecido Com Os Seguintes Acessórios: Transformador De Corrente Nas Buchas H1, H2, H3, X1, X2, X3 E X0, Relação 800/1000/1200-5A E Classe De Exatidão 10B200; Conectores Terminais Saída Reta Ou 90º Para Cabo De Aluminio Caa 312,8 Mcm-Butte Nas Buchas H1, H2, E H3; Conectores Terminais Saída Reta Ou 90º Para Cabo De Cobre 35 Mm² Nas Buchas X1, X2, E X3; Conector Terminal Saída 90º Para Cabo De Cobre 35 Mm² Na Bucha X0; Conector De Aterramento Para Cabo De Cobre 70 A 120 Mm²; Alimentação Para Vf E Auxiliares Em 380/220 V, 60 Hz, E 125 Vcc Para Controle E Sinalização.</v>
          </cell>
          <cell r="E3314" t="str">
            <v>un</v>
          </cell>
          <cell r="F3314"/>
          <cell r="G3314">
            <v>16721.330000000002</v>
          </cell>
          <cell r="H3314">
            <v>0</v>
          </cell>
        </row>
        <row r="3315">
          <cell r="C3315" t="str">
            <v>19.2.1.5</v>
          </cell>
          <cell r="D3315" t="str">
            <v>Comissionamento do Bay de Transformação</v>
          </cell>
          <cell r="E3315" t="str">
            <v>vb</v>
          </cell>
          <cell r="F3315"/>
          <cell r="G3315">
            <v>27655.046237598577</v>
          </cell>
          <cell r="H3315">
            <v>0</v>
          </cell>
        </row>
        <row r="3316">
          <cell r="C3316" t="str">
            <v>19.2.2</v>
          </cell>
          <cell r="D3316" t="str">
            <v>FORNECIMENTO</v>
          </cell>
          <cell r="E3316"/>
          <cell r="F3316"/>
          <cell r="G3316">
            <v>0</v>
          </cell>
          <cell r="H3316">
            <v>0</v>
          </cell>
        </row>
        <row r="3317">
          <cell r="C3317" t="str">
            <v>19.2.2.1</v>
          </cell>
          <cell r="D3317" t="str">
            <v>Chave Seccionadora Tripolar, Operação Manual, Com Restritor De Arco, Tensão Nominal 72,5 Kv, Corrente Nominal 630 A, Corrente Suportável De Curta Duração 25 Ka, Nbi 350 Kv, Abertura Lateral, Vertical, Fornecida Com Os Seguintes Acessórios: Com Mecanismo De Manobra; Conector Terminal, Em Bronze Estanhado, 4 Furos Nema, Para Cabo 6 Awg A 750 Mcm; Conector De Aterramento Para Cabo De Cobre 70 A 120 Mm²; Caixa De Contatos Auxiliares Com 6Na + 6Nf + 2Naa + 2Nbb, Com Saída Para Eletroduto Ø38 Mm (1.1/2"); Cordoalha De Aterramento Do Mecanismo De Manobra; Ferragens Para Fixação Do Equipamento E Acessórios Nas Estruturas; Base De Pólos E Mancal Auxiliar Com Dois Furos Ø 18 Mm E Dois Rasgos Ø 18X50 Mm, Espaçados De 1400 X 76 Mm</v>
          </cell>
          <cell r="E3317" t="str">
            <v>un</v>
          </cell>
          <cell r="F3317"/>
          <cell r="G3317">
            <v>11439.06</v>
          </cell>
          <cell r="H3317">
            <v>0</v>
          </cell>
        </row>
        <row r="3318">
          <cell r="C3318" t="str">
            <v>19.2.2.2</v>
          </cell>
          <cell r="D3318" t="str">
            <v>Transformador De Potência Trifásico, 60 Hz, Tensão Primária Nominal 69Kv, Ligação Em Delta, Tensão Secundária Nominal 4,16 Kv, Ligação Em Estrela, Com Neutro Acessível, Comutador Em Vazio No Lado Primário E Comutador Sobcarga No Lado Secundário De 32 Degraus, Nbi 350 Kv (Primário) E 110 Kv (Secundário E Neutro), Potência Nominal 3,5/4,375 Mva, Fornecido Com Os Seguintes Acessórios: Transformador De Corrente Nas Buchas H1, H2, H3, X1, X2, X3 E X0, Relação 800/1000/1200-5A E Classe De Exatidão 10B200; Conectores Terminais Saída Reta Ou 90º Para Cabo De Aluminio Caa 312,8 Mcm-Butte Nas Buchas H1, H2, E H3; Conectores Terminais Saída Reta Ou 90º Para Cabo De Cobre 185 Mm² Nas Buchas X1, X2, E X3; Conector Terminal Saída 90º Para Cabo De Cobre 70 A 95 Mm² Na Bucha X0; Conector De Aterramento Para Cabo De Cobre 70 A 120 Mm²; Alimentação Para Vf E Auxiliares Em 380/220 V, 60 Hz, E 125 Vcc Para Controle E Sinalização.</v>
          </cell>
          <cell r="E3318" t="str">
            <v>un</v>
          </cell>
          <cell r="F3318"/>
          <cell r="G3318">
            <v>278746.84999999998</v>
          </cell>
          <cell r="H3318">
            <v>0</v>
          </cell>
        </row>
        <row r="3319">
          <cell r="C3319" t="str">
            <v>19.2.2.3</v>
          </cell>
          <cell r="D3319" t="str">
            <v>Para-Raios Em Óxido De  Zinco (Zno), Tipo Distribuição Tensão Nominal 4,5 Kv, 60 Hz, Corrente Nominal De Descarga 10 Ka, Nbi 110 Kv, Fornecido Com Os Seguintes Acessórios: Conector Terminal, Saída 90º, Para Cabo De Cobre 35 A 95 Mm²; Conector De Aterramento Para Cabo De Cobre 70 A 120 Mm²; Fixação Com Braçadeira.</v>
          </cell>
          <cell r="E3319" t="str">
            <v>un</v>
          </cell>
          <cell r="F3319"/>
          <cell r="G3319">
            <v>52.41</v>
          </cell>
          <cell r="H3319">
            <v>0</v>
          </cell>
        </row>
        <row r="3320">
          <cell r="C3320" t="str">
            <v>19.2.2.4</v>
          </cell>
          <cell r="D3320" t="str">
            <v>Transformador De Potência Trifásico, 60 Hz, Tensão Primária Nominal 69Kv, Ligação Em Delta, Tensão Secundária Nominal 34,5 Kv, Ligação Em Estrela, Com Neutro Acessível,  Nbi 350 Kv (Primário) E 110 Kv (Secundário E Neutro), Potência Nominal 2,0/2,5 Mva, Fornecido Com Os Seguintes Acessórios: Transformador De Corrente Nas Buchas H1, H2, H3, X1, X2, X3 E X0, Relação 800/1000/1200-5A E Classe De Exatidão 10B200; Conectores Terminais Saída Reta Ou 90º Para Cabo De Aluminio Caa 312,8 Mcm-Butte Nas Buchas H1, H2, E H3; Conectores Terminais Saída Reta Ou 90º Para Cabo De Cobre 35 Mm² Nas Buchas X1, X2, E X3; Conector Terminal Saída 90º Para Cabo De Cobre 35 Mm² Na Bucha X0; Conector De Aterramento Para Cabo De Cobre 70 A 120 Mm²; Alimentação Para Vf E Auxiliares Em 380/220 V, 60 Hz, E 125 Vcc Para Controle E Sinalização.</v>
          </cell>
          <cell r="E3320" t="str">
            <v>un</v>
          </cell>
          <cell r="F3320"/>
          <cell r="G3320">
            <v>313294.12494580133</v>
          </cell>
          <cell r="H3320">
            <v>0</v>
          </cell>
        </row>
        <row r="3321">
          <cell r="C3321" t="str">
            <v>19.4</v>
          </cell>
          <cell r="D3321" t="str">
            <v>ESTRUTURAS</v>
          </cell>
          <cell r="E3321"/>
          <cell r="F3321"/>
          <cell r="G3321"/>
          <cell r="H3321">
            <v>0</v>
          </cell>
        </row>
        <row r="3322">
          <cell r="C3322" t="str">
            <v>19.4.1</v>
          </cell>
          <cell r="D3322" t="str">
            <v>MONTAGEM</v>
          </cell>
          <cell r="E3322"/>
          <cell r="F3322"/>
          <cell r="G3322"/>
          <cell r="H3322">
            <v>0</v>
          </cell>
        </row>
        <row r="3323">
          <cell r="C3323" t="str">
            <v>19.4.1.1</v>
          </cell>
          <cell r="D3323" t="str">
            <v>Abraçadeira Tipo Unha Em Ferro Zincado À Quente, Para Cabo De Cobre Nú 70 Mm²</v>
          </cell>
          <cell r="E3323" t="str">
            <v>pç</v>
          </cell>
          <cell r="F3323"/>
          <cell r="G3323">
            <v>0.52</v>
          </cell>
          <cell r="H3323">
            <v>0</v>
          </cell>
        </row>
        <row r="3324">
          <cell r="C3324" t="str">
            <v>19.4.1.2</v>
          </cell>
          <cell r="D3324" t="str">
            <v>Alça Preformada Para Cabo De Aluminio Caa 266,8 Mcm - Partridge</v>
          </cell>
          <cell r="E3324" t="str">
            <v>pç</v>
          </cell>
          <cell r="F3324"/>
          <cell r="G3324">
            <v>1.75</v>
          </cell>
          <cell r="H3324">
            <v>0</v>
          </cell>
        </row>
        <row r="3325">
          <cell r="C3325" t="str">
            <v>19.4.1.3</v>
          </cell>
          <cell r="D3325" t="str">
            <v>Anel De Concreto Armado Pré-Moldado, Tipo Triplo (B-3), Para Fixação De Viga Duplo “T” Ou Retangular, Em Poste De Concreto</v>
          </cell>
          <cell r="E3325" t="str">
            <v>pç</v>
          </cell>
          <cell r="F3325"/>
          <cell r="G3325">
            <v>79.63</v>
          </cell>
          <cell r="H3325">
            <v>0</v>
          </cell>
        </row>
        <row r="3326">
          <cell r="C3326" t="str">
            <v>19.4.1.4</v>
          </cell>
          <cell r="D3326" t="str">
            <v>Arruela De Pressão, Fabricada Em Aço Zincado, Diametro Interno 13,5 Mm, E Externo 18 Mm, Espessura 3 Mm</v>
          </cell>
          <cell r="E3326" t="str">
            <v>pç</v>
          </cell>
          <cell r="F3326"/>
          <cell r="G3326">
            <v>0.14000000000000001</v>
          </cell>
          <cell r="H3326">
            <v>0</v>
          </cell>
        </row>
        <row r="3327">
          <cell r="C3327" t="str">
            <v>19.4.1.5</v>
          </cell>
          <cell r="D3327" t="str">
            <v>Arruela De Pressão, Fabricada Em Aço Zincado, Diametro Interno 17,5 Mm, E Externo 24 Mm, Espessura 4 Mm</v>
          </cell>
          <cell r="E3327" t="str">
            <v>pç</v>
          </cell>
          <cell r="F3327"/>
          <cell r="G3327">
            <v>0.14000000000000001</v>
          </cell>
          <cell r="H3327">
            <v>0</v>
          </cell>
        </row>
        <row r="3328">
          <cell r="C3328" t="str">
            <v>19.4.1.6</v>
          </cell>
          <cell r="D3328" t="str">
            <v>Arruela Quadrada Fabricada Em Aço Zincado, Diametro Do Furo 12 Mm, Dimensões 38X3 Mm</v>
          </cell>
          <cell r="E3328" t="str">
            <v>pç</v>
          </cell>
          <cell r="F3328"/>
          <cell r="G3328">
            <v>0.35</v>
          </cell>
          <cell r="H3328">
            <v>0</v>
          </cell>
        </row>
        <row r="3329">
          <cell r="C3329" t="str">
            <v>19.4.1.7</v>
          </cell>
          <cell r="D3329" t="str">
            <v>Arruela Quadrada Fabricada Em Aço Zincado, Diametro Do Furo 14 Mm, Dimensões 38X3 Mm</v>
          </cell>
          <cell r="E3329" t="str">
            <v>pç</v>
          </cell>
          <cell r="F3329"/>
          <cell r="G3329">
            <v>0.35</v>
          </cell>
          <cell r="H3329">
            <v>0</v>
          </cell>
        </row>
        <row r="3330">
          <cell r="C3330" t="str">
            <v>19.4.1.8</v>
          </cell>
          <cell r="D3330" t="str">
            <v>Arruela Quadrada Fabricada Em Aço Zincado, Diametro Do Furo 14 Mm, Dimensões 45X3 Mm</v>
          </cell>
          <cell r="E3330" t="str">
            <v>pç</v>
          </cell>
          <cell r="F3330"/>
          <cell r="G3330">
            <v>0.35</v>
          </cell>
          <cell r="H3330">
            <v>0</v>
          </cell>
        </row>
        <row r="3331">
          <cell r="C3331" t="str">
            <v>19.4.1.9</v>
          </cell>
          <cell r="D3331" t="str">
            <v>Arruela Quadrada Fabricada Em Aço Zincado, Diametro Do Furo 18 Mm, Dimensões 50X3 Mm</v>
          </cell>
          <cell r="E3331" t="str">
            <v>pç</v>
          </cell>
          <cell r="F3331"/>
          <cell r="G3331">
            <v>0.35</v>
          </cell>
          <cell r="H3331">
            <v>0</v>
          </cell>
        </row>
        <row r="3332">
          <cell r="C3332" t="str">
            <v>19.4.1.10</v>
          </cell>
          <cell r="D3332" t="str">
            <v>Arruela Quadrada Fabricada Em Aço Zincado, Diametro Do Furo 22 Mm, Dimensões 50X5 Mm</v>
          </cell>
          <cell r="E3332" t="str">
            <v>pç</v>
          </cell>
          <cell r="F3332"/>
          <cell r="G3332">
            <v>0.35</v>
          </cell>
          <cell r="H3332">
            <v>0</v>
          </cell>
        </row>
        <row r="3333">
          <cell r="C3333" t="str">
            <v>19.4.1.11</v>
          </cell>
          <cell r="D3333" t="str">
            <v>Arruela Redonda, Fabricada Em Aço Zincado, Diametro Do Furo Interno 12 Mm E Externo 22, Espessura 2 Mm</v>
          </cell>
          <cell r="E3333" t="str">
            <v>pç</v>
          </cell>
          <cell r="F3333"/>
          <cell r="G3333">
            <v>0.14000000000000001</v>
          </cell>
          <cell r="H3333">
            <v>0</v>
          </cell>
        </row>
        <row r="3334">
          <cell r="C3334" t="str">
            <v>19.4.1.12</v>
          </cell>
          <cell r="D3334" t="str">
            <v>Arruela Redonda, Fabricada Em Aço Zincado, Diametro Do Furo Interno 14 Mm E Externo 28, Espessura 3 Mm</v>
          </cell>
          <cell r="E3334" t="str">
            <v>pç</v>
          </cell>
          <cell r="F3334"/>
          <cell r="G3334">
            <v>0.14000000000000001</v>
          </cell>
          <cell r="H3334">
            <v>0</v>
          </cell>
        </row>
        <row r="3335">
          <cell r="C3335" t="str">
            <v>19.4.1.13</v>
          </cell>
          <cell r="D3335" t="str">
            <v>Arruela Redonda, Fabricada Em Aço Zincado, Diametro Do Furo Interno 18 Mm E Externo 36, Espessura 3 Mm</v>
          </cell>
          <cell r="E3335" t="str">
            <v>pç</v>
          </cell>
          <cell r="F3335"/>
          <cell r="G3335">
            <v>0.14000000000000001</v>
          </cell>
          <cell r="H3335">
            <v>0</v>
          </cell>
        </row>
        <row r="3336">
          <cell r="C3336" t="str">
            <v>19.4.1.14</v>
          </cell>
          <cell r="D3336" t="str">
            <v>Arruela Redonda, Fabricada Em Aço Zincado, Diametro Do Furo Interno 22 Mm E Externo 44, Espessura 5 Mm</v>
          </cell>
          <cell r="E3336" t="str">
            <v>pç</v>
          </cell>
          <cell r="F3336"/>
          <cell r="G3336">
            <v>0.14000000000000001</v>
          </cell>
          <cell r="H3336">
            <v>0</v>
          </cell>
        </row>
        <row r="3337">
          <cell r="C3337" t="str">
            <v>19.4.1.15</v>
          </cell>
          <cell r="D3337" t="str">
            <v>Arruela Redonda, Fabricada Em Aço Zincado, Diametro Do Furo Interno 6 Mm E Externo 16, Espessura 1 Mm</v>
          </cell>
          <cell r="E3337" t="str">
            <v>pç</v>
          </cell>
          <cell r="F3337"/>
          <cell r="G3337">
            <v>0.16</v>
          </cell>
          <cell r="H3337">
            <v>0</v>
          </cell>
        </row>
        <row r="3338">
          <cell r="C3338" t="str">
            <v>19.4.1.16</v>
          </cell>
          <cell r="D3338" t="str">
            <v>Arruela Redonda, Fabricada Em Aço Zincado, Diametro Do Furo Interno 8 Mm E Externo 18, Espessura 1 Mm</v>
          </cell>
          <cell r="E3338" t="str">
            <v>pç</v>
          </cell>
          <cell r="F3338"/>
          <cell r="G3338">
            <v>0.14000000000000001</v>
          </cell>
          <cell r="H3338">
            <v>0</v>
          </cell>
        </row>
        <row r="3339">
          <cell r="C3339" t="str">
            <v>19.4.1.17</v>
          </cell>
          <cell r="D3339" t="str">
            <v>Bucha De Nylon S-10, Tipo Fixa Para Parafuso Rosca Soberba 6,4 X 50.8 Mm</v>
          </cell>
          <cell r="E3339" t="str">
            <v>pç</v>
          </cell>
          <cell r="F3339"/>
          <cell r="G3339">
            <v>0.16</v>
          </cell>
          <cell r="H3339">
            <v>0</v>
          </cell>
        </row>
        <row r="3340">
          <cell r="C3340" t="str">
            <v>19.4.1.18</v>
          </cell>
          <cell r="D3340" t="str">
            <v>Bucha De Nylon S-8, Tipo Fixa Para Parafuso Rosca Soberba 4,8 X 50 Mm</v>
          </cell>
          <cell r="E3340" t="str">
            <v>pç</v>
          </cell>
          <cell r="F3340"/>
          <cell r="G3340">
            <v>0.14000000000000001</v>
          </cell>
          <cell r="H3340">
            <v>0</v>
          </cell>
        </row>
        <row r="3341">
          <cell r="C3341" t="str">
            <v>19.4.1.19</v>
          </cell>
          <cell r="D3341" t="str">
            <v>Cabo De Aluminio Com Alma De Aço - Caa 266,8 Mcm 26/7 Fios - Partridge</v>
          </cell>
          <cell r="E3341" t="str">
            <v>m</v>
          </cell>
          <cell r="F3341"/>
          <cell r="G3341">
            <v>21.05</v>
          </cell>
          <cell r="H3341">
            <v>0</v>
          </cell>
        </row>
        <row r="3342">
          <cell r="C3342" t="str">
            <v>19.4.1.20</v>
          </cell>
          <cell r="D3342" t="str">
            <v>Cabo De Cobre Blindado Para Controle, Isolamento 750 V, Composto De 2 Condutores De Cobre Seção 2X6 Mm², Têmpera Mole, Encordoamento Classe 5, Blindagem Em Fita De Cobre Nú Com Espessura Minima De 0,08 Mm, Isolamento E Capa Em Pvc, Com Caracteristicas De Não Propagação E Auto-Extinção Do Fogo, Conforme Norma Nbr 7289</v>
          </cell>
          <cell r="E3342" t="str">
            <v>m</v>
          </cell>
          <cell r="F3342"/>
          <cell r="G3342">
            <v>1.46</v>
          </cell>
          <cell r="H3342">
            <v>0</v>
          </cell>
        </row>
        <row r="3343">
          <cell r="C3343" t="str">
            <v>19.4.1.21</v>
          </cell>
          <cell r="D3343" t="str">
            <v>Cabo De Potência, Isolamento 3,6/6 Kv, Composto Por Um Condutor De Cobre Seção 300 Mm², Têmpera Mole, Classe De Encordoamento 2, Blindagem Do Condutor Constituída Por Uma Camada De Composto Termofixo Semicondutor, Isolamento Em Composto Termofixo De Borrcha Etileno-Propileno (Epr), Blindagem Da Isolação Constituída Por Uma Camada De Composto Termofixo Semicondutor E Fios De Cobre Nú, Capa Externa De Composto Tremoplástico À Base De Cloreto De Polivinila (Pvc) Na Cor Preta.</v>
          </cell>
          <cell r="E3343" t="str">
            <v>m</v>
          </cell>
          <cell r="F3343"/>
          <cell r="G3343">
            <v>16.87</v>
          </cell>
          <cell r="H3343">
            <v>0</v>
          </cell>
        </row>
        <row r="3344">
          <cell r="C3344" t="str">
            <v>19.4.1.22</v>
          </cell>
          <cell r="D3344" t="str">
            <v>Caixa De Aluminio Fundido, Sem Furação, Uso Ao Tempo, 342X275X134 Mm, Com Chassis, Removivel E Tampa Plana</v>
          </cell>
          <cell r="E3344" t="str">
            <v>pç</v>
          </cell>
          <cell r="F3344"/>
          <cell r="G3344">
            <v>5.24</v>
          </cell>
          <cell r="H3344">
            <v>0</v>
          </cell>
        </row>
        <row r="3345">
          <cell r="C3345" t="str">
            <v>19.4.1.23</v>
          </cell>
          <cell r="D3345" t="str">
            <v>Cartucho De Metal De Solda Para Conexão De Cabos De Cobre Nú, Pelo Processo Exotérmico, Fornec. Em Embalagem Apropriada Com Pó De Ignição No Fundo, Tamanho 200</v>
          </cell>
          <cell r="E3345" t="str">
            <v>pç</v>
          </cell>
          <cell r="F3345"/>
          <cell r="G3345">
            <v>0.35</v>
          </cell>
          <cell r="H3345">
            <v>0</v>
          </cell>
        </row>
        <row r="3346">
          <cell r="C3346" t="str">
            <v>19.4.1.24</v>
          </cell>
          <cell r="D3346" t="str">
            <v>Conector De Aterramento Em Bronze Estanhado, Para Um Cabo De Cobre De 16 A 70 Mm2, Com O Corpo Constitído Por Duas Peças, Fixação A Chapa De Aço De Espessura Até 10 Mm, Com Parafuso, Porca E Arruela De Pressão Em Bronze Silício</v>
          </cell>
          <cell r="E3346" t="str">
            <v>pç</v>
          </cell>
          <cell r="F3346"/>
          <cell r="G3346">
            <v>1.05</v>
          </cell>
          <cell r="H3346">
            <v>0</v>
          </cell>
        </row>
        <row r="3347">
          <cell r="C3347" t="str">
            <v>19.4.1.25</v>
          </cell>
          <cell r="D3347" t="str">
            <v>Conector Derivação "T" Em Liga De Aluminio, Para Cabos De Aluminio Liga 160 Mm², Na Reta E Na Derivação, Com Parafusos, Porcas E Arruelas Em Aço Inoxidável</v>
          </cell>
          <cell r="E3347" t="str">
            <v>pç</v>
          </cell>
          <cell r="F3347"/>
          <cell r="G3347">
            <v>17.48</v>
          </cell>
          <cell r="H3347">
            <v>0</v>
          </cell>
        </row>
        <row r="3348">
          <cell r="C3348" t="str">
            <v>19.4.1.26</v>
          </cell>
          <cell r="D3348" t="str">
            <v>Conector Terminal Em Bronze Para Fixação De Cabo De Cobre 300 Mm² A Barra Chata Com Quatro Furos Nema</v>
          </cell>
          <cell r="E3348" t="str">
            <v>pç</v>
          </cell>
          <cell r="F3348"/>
          <cell r="G3348">
            <v>1.45</v>
          </cell>
          <cell r="H3348">
            <v>0</v>
          </cell>
        </row>
        <row r="3349">
          <cell r="C3349" t="str">
            <v>19.4.1.27</v>
          </cell>
          <cell r="D3349" t="str">
            <v>Eletroduto Rígido De Pvc, Diametro Nominal 4", Em Varas Com 3,0 M De Comprimento, Rosca Externa Nas Duas Extremidades, Com Uma Luva Por Vara, Tipo Pesado</v>
          </cell>
          <cell r="E3349" t="str">
            <v>pç</v>
          </cell>
          <cell r="F3349"/>
          <cell r="G3349">
            <v>31.46</v>
          </cell>
          <cell r="H3349">
            <v>0</v>
          </cell>
        </row>
        <row r="3350">
          <cell r="C3350" t="str">
            <v>19.4.1.28</v>
          </cell>
          <cell r="D3350" t="str">
            <v>Engate Gancho-Bola Em Aço Carbono Zincado A Quente, Carga De Ruptura 12000 Dan</v>
          </cell>
          <cell r="E3350" t="str">
            <v>pç</v>
          </cell>
          <cell r="F3350"/>
          <cell r="G3350">
            <v>3.5</v>
          </cell>
          <cell r="H3350">
            <v>0</v>
          </cell>
        </row>
        <row r="3351">
          <cell r="C3351" t="str">
            <v>19.4.1.29</v>
          </cell>
          <cell r="D3351" t="str">
            <v>Grampo De Ancoragem Passante Em Liga De Alumínio, Para Cabo De Alumínio Liga 160 Mm², Com Parafusos Porcas E Arruelas Em Aço Inoxidável</v>
          </cell>
          <cell r="E3351" t="str">
            <v>pç</v>
          </cell>
          <cell r="F3351"/>
          <cell r="G3351">
            <v>1.4</v>
          </cell>
          <cell r="H3351">
            <v>0</v>
          </cell>
        </row>
        <row r="3352">
          <cell r="C3352" t="str">
            <v>19.4.1.30</v>
          </cell>
          <cell r="D3352" t="str">
            <v>Haste Para-Raios 3/4" X 2500 Mm, Em Aço Zincado A Quente</v>
          </cell>
          <cell r="E3352" t="str">
            <v>pç</v>
          </cell>
          <cell r="F3352"/>
          <cell r="G3352">
            <v>21.06</v>
          </cell>
          <cell r="H3352">
            <v>0</v>
          </cell>
        </row>
        <row r="3353">
          <cell r="C3353" t="str">
            <v>19.4.1.31</v>
          </cell>
          <cell r="D3353" t="str">
            <v>Haste De Aterramento Com Núcleo De Aço Carbono, Revestido Em Cobre Pelo Processo De Deposição Eletroilítico, Diâmetro De 19Mm (3/4"), Comprimento 3.000Mm</v>
          </cell>
          <cell r="E3353" t="str">
            <v>pç</v>
          </cell>
          <cell r="F3353"/>
          <cell r="G3353">
            <v>24.57</v>
          </cell>
          <cell r="H3353">
            <v>0</v>
          </cell>
        </row>
        <row r="3354">
          <cell r="C3354" t="str">
            <v>19.4.1.32</v>
          </cell>
          <cell r="D3354" t="str">
            <v>Isolador De Suspensão, De Vidro Temperado, Tipo Linha De Distribuição Classe Iec 305 (V-50C), Engate Tipo Concha Bola, De Acordo Com Iec 471-14 C, Diâmetro De Disco 254 Mm</v>
          </cell>
          <cell r="E3354" t="str">
            <v>pç</v>
          </cell>
          <cell r="F3354"/>
          <cell r="G3354">
            <v>5.24</v>
          </cell>
          <cell r="H3354">
            <v>0</v>
          </cell>
        </row>
        <row r="3355">
          <cell r="C3355" t="str">
            <v>19.4.1.33</v>
          </cell>
          <cell r="D3355" t="str">
            <v>Manilha Em Aço Zincado A Quente, Carga De Ruptura 12000 Dan, Diametro Nominal 16 Mm, Com Pino</v>
          </cell>
          <cell r="E3355" t="str">
            <v>pç</v>
          </cell>
          <cell r="F3355"/>
          <cell r="G3355">
            <v>1.75</v>
          </cell>
          <cell r="H3355">
            <v>0</v>
          </cell>
        </row>
        <row r="3356">
          <cell r="C3356" t="str">
            <v>19.4.1.34</v>
          </cell>
          <cell r="D3356" t="str">
            <v>Manilha Sapatilha Em Aço Zincado A Quente</v>
          </cell>
          <cell r="E3356" t="str">
            <v>pç</v>
          </cell>
          <cell r="F3356"/>
          <cell r="G3356">
            <v>1.05</v>
          </cell>
          <cell r="H3356">
            <v>0</v>
          </cell>
        </row>
        <row r="3357">
          <cell r="C3357" t="str">
            <v>19.4.1.35</v>
          </cell>
          <cell r="D3357" t="str">
            <v>Molde Para Conexão Exotérmica De Cabo 70 Mm²</v>
          </cell>
          <cell r="E3357" t="str">
            <v>pç</v>
          </cell>
          <cell r="F3357"/>
          <cell r="G3357">
            <v>4.1900000000000004</v>
          </cell>
          <cell r="H3357">
            <v>0</v>
          </cell>
        </row>
        <row r="3358">
          <cell r="C3358" t="str">
            <v>19.4.1.36</v>
          </cell>
          <cell r="D3358" t="str">
            <v>Olhal Para Parafuso M16 Em Aço Zincado A Quente, Carga De Ruptura 5000 Dan</v>
          </cell>
          <cell r="E3358" t="str">
            <v>pç</v>
          </cell>
          <cell r="F3358"/>
          <cell r="G3358">
            <v>0.52</v>
          </cell>
          <cell r="H3358">
            <v>0</v>
          </cell>
        </row>
        <row r="3359">
          <cell r="C3359" t="str">
            <v>19.4.1.37</v>
          </cell>
          <cell r="D3359" t="str">
            <v>Olhal Para Parafuso M20 Em Aço Zincado A Quente, Carga De Ruptura 12000 Dan</v>
          </cell>
          <cell r="E3359" t="str">
            <v>pç</v>
          </cell>
          <cell r="F3359"/>
          <cell r="G3359">
            <v>0.52</v>
          </cell>
          <cell r="H3359">
            <v>0</v>
          </cell>
        </row>
        <row r="3360">
          <cell r="C3360" t="str">
            <v>19.4.1.38</v>
          </cell>
          <cell r="D3360" t="str">
            <v>Parafuso Auto-Atarrachante, Cabeça Cilindrica 4,8X50 Mm</v>
          </cell>
          <cell r="E3360" t="str">
            <v>pç</v>
          </cell>
          <cell r="F3360"/>
          <cell r="G3360">
            <v>0.28000000000000003</v>
          </cell>
          <cell r="H3360">
            <v>0</v>
          </cell>
        </row>
        <row r="3361">
          <cell r="C3361" t="str">
            <v>19.4.1.39</v>
          </cell>
          <cell r="D3361" t="str">
            <v>Parafuso Auto-Atarrachante, Cabeça Cilindrica 6,4X50,8 Mm</v>
          </cell>
          <cell r="E3361" t="str">
            <v>pç</v>
          </cell>
          <cell r="F3361"/>
          <cell r="G3361">
            <v>0.28000000000000003</v>
          </cell>
          <cell r="H3361">
            <v>0</v>
          </cell>
        </row>
        <row r="3362">
          <cell r="C3362" t="str">
            <v>19.4.1.40</v>
          </cell>
          <cell r="D3362" t="str">
            <v>Parafuso De Bronze M6X20, Com Porca, Arruela Lisa E De Pressão</v>
          </cell>
          <cell r="E3362" t="str">
            <v>pç</v>
          </cell>
          <cell r="F3362"/>
          <cell r="G3362">
            <v>0.35</v>
          </cell>
          <cell r="H3362">
            <v>0</v>
          </cell>
        </row>
        <row r="3363">
          <cell r="C3363" t="str">
            <v>19.4.1.41</v>
          </cell>
          <cell r="D3363" t="str">
            <v>Parafuso De Máquina, Cabeça Quadrada, Em Aço Zincado, Rosca M10 X 1,25, Comprimento Total A = 50, Parte Rosqueada B = 35 Mm, Completo Com Duas Porcas Quadrada</v>
          </cell>
          <cell r="E3363" t="str">
            <v>pç</v>
          </cell>
          <cell r="F3363"/>
          <cell r="G3363">
            <v>1.75</v>
          </cell>
          <cell r="H3363">
            <v>0</v>
          </cell>
        </row>
        <row r="3364">
          <cell r="C3364" t="str">
            <v>19.4.1.42</v>
          </cell>
          <cell r="D3364" t="str">
            <v>Parafuso De Máquina, Cabeça Quadrada, Em Aço Zincado, Rosca M12 X 1,5, Comprimento Total A = 100, Parte Rosqueada B = 50 Mm, Completo Com Duas Porcas Quadrada</v>
          </cell>
          <cell r="E3364" t="str">
            <v>pç</v>
          </cell>
          <cell r="F3364"/>
          <cell r="G3364">
            <v>1.75</v>
          </cell>
          <cell r="H3364">
            <v>0</v>
          </cell>
        </row>
        <row r="3365">
          <cell r="C3365" t="str">
            <v>19.4.1.43</v>
          </cell>
          <cell r="D3365" t="str">
            <v>Parafuso De Máquina, Cabeça Quadrada, Em Aço Zincado, Rosca M12 X 1,5, Comprimento Total A = 200, Parte Rosqueada B = 120 Mm, Completo Com Duas Porcas Quadrada</v>
          </cell>
          <cell r="E3365" t="str">
            <v>pç</v>
          </cell>
          <cell r="F3365"/>
          <cell r="G3365">
            <v>1.75</v>
          </cell>
          <cell r="H3365">
            <v>0</v>
          </cell>
        </row>
        <row r="3366">
          <cell r="C3366" t="str">
            <v>19.4.1.44</v>
          </cell>
          <cell r="D3366" t="str">
            <v>Parafuso De Máquina, Cabeça Quadrada, Em Aço Zincado, Rosca M12 X 1,5, Comprimento Total A = 250, Parte Rosqueada B = 170 Mm, Completo Com Duas Porcas Quadrada</v>
          </cell>
          <cell r="E3366" t="str">
            <v>pç</v>
          </cell>
          <cell r="F3366"/>
          <cell r="G3366">
            <v>2.1</v>
          </cell>
          <cell r="H3366">
            <v>0</v>
          </cell>
        </row>
        <row r="3367">
          <cell r="C3367" t="str">
            <v>19.4.1.45</v>
          </cell>
          <cell r="D3367" t="str">
            <v>Parafuso De Máquina, Cabeça Quadrada, Em Aço Zincado, Rosca M12 X 1,5, Comprimento Total A = 300, Parte Rosqueada B = 220 Mm, Completo Com Duas Porcas Quadrada</v>
          </cell>
          <cell r="E3367" t="str">
            <v>pç</v>
          </cell>
          <cell r="F3367"/>
          <cell r="G3367">
            <v>2.1</v>
          </cell>
          <cell r="H3367">
            <v>0</v>
          </cell>
        </row>
        <row r="3368">
          <cell r="C3368" t="str">
            <v>19.4.1.46</v>
          </cell>
          <cell r="D3368" t="str">
            <v>Parafuso De Máquina, Cabeça Quadrada, Em Aço Zincado, Rosca M16 X 2, Comprimento Total A = 200, Parte Rosqueada B = 120 Mm, Completo Com Duas Porcas Quadrada.</v>
          </cell>
          <cell r="E3368" t="str">
            <v>pç</v>
          </cell>
          <cell r="F3368"/>
          <cell r="G3368">
            <v>2.1</v>
          </cell>
          <cell r="H3368">
            <v>0</v>
          </cell>
        </row>
        <row r="3369">
          <cell r="C3369" t="str">
            <v>19.4.1.47</v>
          </cell>
          <cell r="D3369" t="str">
            <v>Parafuso De Máquina, Cabeça Quadrada, Em Aço Zincado, Rosca M16 X 2, Comprimento Total A = 250, Parte Rosqueada B = 170 Mm, Completo Com Duas Porcas Quadrada</v>
          </cell>
          <cell r="E3369" t="str">
            <v>pç</v>
          </cell>
          <cell r="F3369"/>
          <cell r="G3369">
            <v>2.4500000000000002</v>
          </cell>
          <cell r="H3369">
            <v>0</v>
          </cell>
        </row>
        <row r="3370">
          <cell r="C3370" t="str">
            <v>19.4.1.48</v>
          </cell>
          <cell r="D3370" t="str">
            <v>Parafuso De Máquina, Cabeça Quadrada, Em Aço Zincado, Rosca M16 X 2, Comprimento Total A = 300, Parte Rosqueada B = 220 Mm, Completo Com Duas Porcas Quadrada</v>
          </cell>
          <cell r="E3370" t="str">
            <v>pç</v>
          </cell>
          <cell r="F3370"/>
          <cell r="G3370">
            <v>2.4500000000000002</v>
          </cell>
          <cell r="H3370">
            <v>0</v>
          </cell>
        </row>
        <row r="3371">
          <cell r="C3371" t="str">
            <v>19.4.1.49</v>
          </cell>
          <cell r="D3371" t="str">
            <v>Parafuso De Máquina, Cabeça Quadrada, Em Aço Zincado, Rosca M16 X 2, Comprimento Total A = 350, Parte Rosqueada B = 270 Mm, Completo Com Duas Porcas Quadrada</v>
          </cell>
          <cell r="E3371" t="str">
            <v>pç</v>
          </cell>
          <cell r="F3371"/>
          <cell r="G3371">
            <v>2.8</v>
          </cell>
          <cell r="H3371">
            <v>0</v>
          </cell>
        </row>
        <row r="3372">
          <cell r="C3372" t="str">
            <v>19.4.1.50</v>
          </cell>
          <cell r="D3372" t="str">
            <v>Parafuso De Máquina, Cabeça Quadrada, Em Aço Zincado, Rosca M16 X 2, Comprimento Total A = 400, Parte Rosqueada B = 320 Mm, Completo Com Duas Porcas Quadrada</v>
          </cell>
          <cell r="E3372" t="str">
            <v>pç</v>
          </cell>
          <cell r="F3372"/>
          <cell r="G3372">
            <v>2.8</v>
          </cell>
          <cell r="H3372">
            <v>0</v>
          </cell>
        </row>
        <row r="3373">
          <cell r="C3373" t="str">
            <v>19.4.1.51</v>
          </cell>
          <cell r="D3373" t="str">
            <v>Parafuso De Máquina, Cabeça Quadrada, Em Aço Zincado, Rosca M16 X 2, Comprimento Total A = 450, Parte Rosqueada B = 370 Mm, Completo Com Duas Porcas Quadrada</v>
          </cell>
          <cell r="E3373" t="str">
            <v>pç</v>
          </cell>
          <cell r="F3373"/>
          <cell r="G3373">
            <v>3.15</v>
          </cell>
          <cell r="H3373">
            <v>0</v>
          </cell>
        </row>
        <row r="3374">
          <cell r="C3374" t="str">
            <v>19.4.1.52</v>
          </cell>
          <cell r="D3374" t="str">
            <v>Parafuso De Máquina, Cabeça Quadrada, Em Aço Zincado, Rosca M20 X 2,5, Comprimento Total A = 300, Parte Rosqueada B = 220 Mm, Completo Com Duas Porcas Quadrada</v>
          </cell>
          <cell r="E3374" t="str">
            <v>pç</v>
          </cell>
          <cell r="F3374"/>
          <cell r="G3374">
            <v>2.4500000000000002</v>
          </cell>
          <cell r="H3374">
            <v>0</v>
          </cell>
        </row>
        <row r="3375">
          <cell r="C3375" t="str">
            <v>19.4.1.53</v>
          </cell>
          <cell r="D3375" t="str">
            <v>Parafuso De Máquina, Cabeça Quadrada, Em Aço Zincado, Rosca M20 X 2,5, Comprimento Total A = 350, Parte Rosqueada B = 270 Mm, Completo Com Duas Porcas Quadrada</v>
          </cell>
          <cell r="E3375" t="str">
            <v>pç</v>
          </cell>
          <cell r="F3375"/>
          <cell r="G3375">
            <v>2.8</v>
          </cell>
          <cell r="H3375">
            <v>0</v>
          </cell>
        </row>
        <row r="3376">
          <cell r="C3376" t="str">
            <v>19.4.1.54</v>
          </cell>
          <cell r="D3376" t="str">
            <v>Parafuso De Máquina, Cabeça Quadrada, Em Aço Zincado, Rosca M20 X 2,5, Comprimento Total A = 400, Parte Rosqueada B = 320 Mm, Completo Com Duas Porcas Quadrada</v>
          </cell>
          <cell r="E3376" t="str">
            <v>pç</v>
          </cell>
          <cell r="F3376"/>
          <cell r="G3376">
            <v>2.8</v>
          </cell>
          <cell r="H3376">
            <v>0</v>
          </cell>
        </row>
        <row r="3377">
          <cell r="C3377" t="str">
            <v>19.4.1.55</v>
          </cell>
          <cell r="D3377" t="str">
            <v>Parafuso De Máquina, Cabeça Quadrada, Em Aço Zincado, Rosca M20 X 2,5, Comprimento Total A = 450, Parte Rosqueada B = 370 Mm, Completo Com Duas Porcas Quadrada</v>
          </cell>
          <cell r="E3377" t="str">
            <v>pç</v>
          </cell>
          <cell r="F3377"/>
          <cell r="G3377">
            <v>3.15</v>
          </cell>
          <cell r="H3377">
            <v>0</v>
          </cell>
        </row>
        <row r="3378">
          <cell r="C3378" t="str">
            <v>19.4.1.56</v>
          </cell>
          <cell r="D3378" t="str">
            <v>Parafuso De Máquina, Cabeça Quadrada, Em Aço Zincado, Rosca M20 X 2,5, Comprimento Total A = 500, Parte Rosqueada B = 420 Mm, Completo Com Duas Porcas Quadrada</v>
          </cell>
          <cell r="E3378" t="str">
            <v>pç</v>
          </cell>
          <cell r="F3378"/>
          <cell r="G3378">
            <v>3.15</v>
          </cell>
          <cell r="H3378">
            <v>0</v>
          </cell>
        </row>
        <row r="3379">
          <cell r="C3379" t="str">
            <v>19.4.1.57</v>
          </cell>
          <cell r="D3379" t="str">
            <v>Parafuso De Máquina, Cabeça Quadrada, Em Aço Zincado, Rosca M20 X 2,5, Comprimento Total A = 550, Parte Rosqueada B = 470 Mm, Completo Com Duas Porcas Quadrada</v>
          </cell>
          <cell r="E3379" t="str">
            <v>pç</v>
          </cell>
          <cell r="F3379"/>
          <cell r="G3379">
            <v>3.5</v>
          </cell>
          <cell r="H3379">
            <v>0</v>
          </cell>
        </row>
        <row r="3380">
          <cell r="C3380" t="str">
            <v>19.4.1.58</v>
          </cell>
          <cell r="D3380" t="str">
            <v>Parafuso Rosca Dupla, Em Aço Zincado, Fornecido Com Quatro Porcas Quadradas, Rosca M12X1,5, Comprimento Total L=200 Mm, Comprimento Da Parte Rosqueada B=75 Mm</v>
          </cell>
          <cell r="E3380" t="str">
            <v>pç</v>
          </cell>
          <cell r="F3380"/>
          <cell r="G3380">
            <v>2.4500000000000002</v>
          </cell>
          <cell r="H3380">
            <v>0</v>
          </cell>
        </row>
        <row r="3381">
          <cell r="C3381" t="str">
            <v>19.4.1.59</v>
          </cell>
          <cell r="D3381" t="str">
            <v>Parafuso Rosca Dupla, Em Aço Zincado, Fornecido Com Quatro Porcas Quadradas, Rosca M12X1,5, Comprimento Total L=300 Mm, Comprimento Da Parte Rosqueada B=125 Mm</v>
          </cell>
          <cell r="E3381" t="str">
            <v>pç</v>
          </cell>
          <cell r="F3381"/>
          <cell r="G3381">
            <v>2.8</v>
          </cell>
          <cell r="H3381">
            <v>0</v>
          </cell>
        </row>
        <row r="3382">
          <cell r="C3382" t="str">
            <v>19.4.1.60</v>
          </cell>
          <cell r="D3382" t="str">
            <v>Parafuso Rosca Dupla, Em Aço Zincado, Fornecido Com Quatro Porcas Quadradas, Rosca M12X1,5, Comprimento Total L=450 Mm, Comprimento Da Parte Rosqueada B=200 Mm</v>
          </cell>
          <cell r="E3382" t="str">
            <v>pç</v>
          </cell>
          <cell r="F3382"/>
          <cell r="G3382">
            <v>3.5</v>
          </cell>
          <cell r="H3382">
            <v>0</v>
          </cell>
        </row>
        <row r="3383">
          <cell r="C3383" t="str">
            <v>19.4.1.61</v>
          </cell>
          <cell r="D3383" t="str">
            <v>Parafuso Rosca Dupla, Em Aço Zincado, Fornecido Com Quatro Porcas Quadradas, Rosca M16X2, Comprimento Total L=450 Mm, Comprimento Da Parte Rosqueada B=200 Mm</v>
          </cell>
          <cell r="E3383" t="str">
            <v>pç</v>
          </cell>
          <cell r="F3383"/>
          <cell r="G3383">
            <v>3.5</v>
          </cell>
          <cell r="H3383">
            <v>0</v>
          </cell>
        </row>
        <row r="3384">
          <cell r="C3384" t="str">
            <v>19.4.1.62</v>
          </cell>
          <cell r="D3384" t="str">
            <v>Parafuso Rosca Dupla, Em Aço Zincado, Fornecido Com Quatro Porcas Quadradas, Rosca M16X2, Comprimento Total L=600 Mm, Comprimento Da Parte Rosqueada B=275 Mm</v>
          </cell>
          <cell r="E3384" t="str">
            <v>pç</v>
          </cell>
          <cell r="F3384"/>
          <cell r="G3384">
            <v>4.1900000000000004</v>
          </cell>
          <cell r="H3384">
            <v>0</v>
          </cell>
        </row>
        <row r="3385">
          <cell r="C3385" t="str">
            <v>19.4.1.63</v>
          </cell>
          <cell r="D3385" t="str">
            <v>Parafuso Sextavada, Em Aço Zincado, M6X1, Comprimento 15 Mm, Completo Com Duas Porcas Sextavadas</v>
          </cell>
          <cell r="E3385" t="str">
            <v>pç</v>
          </cell>
          <cell r="F3385"/>
          <cell r="G3385">
            <v>0.42</v>
          </cell>
          <cell r="H3385">
            <v>0</v>
          </cell>
        </row>
        <row r="3386">
          <cell r="C3386" t="str">
            <v>19.4.1.64</v>
          </cell>
          <cell r="D3386" t="str">
            <v>Parafuso Sextavada, Em Aço Zincado, M10X1,25, Comprimento 50 Mm, Completo Com Duas Porcas Sextavadas</v>
          </cell>
          <cell r="E3386" t="str">
            <v>pç</v>
          </cell>
          <cell r="F3386"/>
          <cell r="G3386">
            <v>0.42</v>
          </cell>
          <cell r="H3386">
            <v>0</v>
          </cell>
        </row>
        <row r="3387">
          <cell r="C3387" t="str">
            <v>19.4.1.65</v>
          </cell>
          <cell r="D3387" t="str">
            <v>Parafuso Sextavada, Em Aço Zincado, M12X1,5, Comprimento 60 Mm, Completo Com Duas Porcas Sextavadas</v>
          </cell>
          <cell r="E3387" t="str">
            <v>pç</v>
          </cell>
          <cell r="F3387"/>
          <cell r="G3387">
            <v>0.42</v>
          </cell>
          <cell r="H3387">
            <v>0</v>
          </cell>
        </row>
        <row r="3388">
          <cell r="C3388" t="str">
            <v>19.4.1.66</v>
          </cell>
          <cell r="D3388" t="str">
            <v>Porca Quadrada, Fabricada Em Aço Zincado. Rosca M16 X 2</v>
          </cell>
          <cell r="E3388" t="str">
            <v>pç</v>
          </cell>
          <cell r="F3388"/>
          <cell r="G3388">
            <v>0.17</v>
          </cell>
          <cell r="H3388">
            <v>0</v>
          </cell>
        </row>
        <row r="3389">
          <cell r="C3389" t="str">
            <v>19.4.1.67</v>
          </cell>
          <cell r="D3389" t="str">
            <v>Regua De Bornes Terminais 600 V, 100 A, 5 Pólos Base Em Baquelite, Contatos, Parafusos E Arruelas Em Bronze Estanhado, Para Ligações Através De Terminais Tipo Olhal</v>
          </cell>
          <cell r="E3389" t="str">
            <v>pç</v>
          </cell>
          <cell r="F3389"/>
          <cell r="G3389">
            <v>10.53</v>
          </cell>
          <cell r="H3389">
            <v>0</v>
          </cell>
        </row>
        <row r="3390">
          <cell r="C3390" t="str">
            <v>19.4.1.68</v>
          </cell>
          <cell r="D3390" t="str">
            <v>Secionador Praformado Para Cerca, D-3,25 - 4,11 Mm</v>
          </cell>
          <cell r="E3390" t="str">
            <v>pç</v>
          </cell>
          <cell r="F3390"/>
          <cell r="G3390">
            <v>1.75</v>
          </cell>
          <cell r="H3390">
            <v>0</v>
          </cell>
        </row>
        <row r="3391">
          <cell r="C3391" t="str">
            <v>19.4.1.69</v>
          </cell>
          <cell r="D3391" t="str">
            <v>Suporte Capitel De Concreto Armado Para Fixação De "Tc" E "Tp" 72,5 Kv</v>
          </cell>
          <cell r="E3391" t="str">
            <v>pç</v>
          </cell>
          <cell r="F3391"/>
          <cell r="G3391">
            <v>265.44</v>
          </cell>
          <cell r="H3391">
            <v>0</v>
          </cell>
        </row>
        <row r="3392">
          <cell r="C3392" t="str">
            <v>19.4.1.70</v>
          </cell>
          <cell r="D3392" t="str">
            <v>Suporte Capitel De Concreto Armado Para Pára-Raio 72,5 Kv</v>
          </cell>
          <cell r="E3392" t="str">
            <v>pç</v>
          </cell>
          <cell r="F3392"/>
          <cell r="G3392">
            <v>265.44</v>
          </cell>
          <cell r="H3392">
            <v>0</v>
          </cell>
        </row>
        <row r="3393">
          <cell r="C3393" t="str">
            <v>19.4.1.71</v>
          </cell>
          <cell r="D3393" t="str">
            <v>Suporte Aço Zincado Para Fixação De Equipamentos</v>
          </cell>
          <cell r="E3393" t="str">
            <v>pç</v>
          </cell>
          <cell r="F3393"/>
          <cell r="G3393">
            <v>435.37</v>
          </cell>
          <cell r="H3393">
            <v>0</v>
          </cell>
        </row>
        <row r="3394">
          <cell r="C3394" t="str">
            <v>19.4.1.72</v>
          </cell>
          <cell r="D3394" t="str">
            <v>Suporte Metálico Para Cabos Isolados Em Canaletas</v>
          </cell>
          <cell r="E3394" t="str">
            <v>pç</v>
          </cell>
          <cell r="F3394"/>
          <cell r="G3394">
            <v>355.64</v>
          </cell>
          <cell r="H3394">
            <v>0</v>
          </cell>
        </row>
        <row r="3395">
          <cell r="C3395" t="str">
            <v>19.4.1.73</v>
          </cell>
          <cell r="D3395" t="str">
            <v>Terminal Isolado Para Cabo De Cobre Isolado 20/35 Kv, 35 Mm²</v>
          </cell>
          <cell r="E3395" t="str">
            <v>pç</v>
          </cell>
          <cell r="F3395"/>
          <cell r="G3395">
            <v>18.28</v>
          </cell>
          <cell r="H3395">
            <v>0</v>
          </cell>
        </row>
        <row r="3396">
          <cell r="C3396" t="str">
            <v>19.4.1.74</v>
          </cell>
          <cell r="D3396" t="str">
            <v>Terminal Isolado Para Cabo De Cobre Isolado 3,6/6 Kv, 300 Mm²</v>
          </cell>
          <cell r="E3396" t="str">
            <v>pç</v>
          </cell>
          <cell r="F3396"/>
          <cell r="G3396">
            <v>55.71</v>
          </cell>
          <cell r="H3396">
            <v>0</v>
          </cell>
        </row>
        <row r="3397">
          <cell r="C3397" t="str">
            <v>19.4.1.75</v>
          </cell>
          <cell r="D3397" t="str">
            <v>Viga De Concreto Armado, Seção Duplo "T", 310 X 230 Mm, Comprimento 7100 Mm, Na Posição Vertical E Horizontal</v>
          </cell>
          <cell r="E3397" t="str">
            <v>pç</v>
          </cell>
          <cell r="F3397"/>
          <cell r="G3397">
            <v>398.17</v>
          </cell>
          <cell r="H3397">
            <v>0</v>
          </cell>
        </row>
        <row r="3398">
          <cell r="C3398" t="str">
            <v>19.4.1.76</v>
          </cell>
          <cell r="D3398" t="str">
            <v>Poste De Concreto Armado, Seção Duplo "T", 12 / 1500</v>
          </cell>
          <cell r="E3398" t="str">
            <v>un</v>
          </cell>
          <cell r="F3398"/>
          <cell r="G3398">
            <v>477.8</v>
          </cell>
          <cell r="H3398">
            <v>0</v>
          </cell>
        </row>
        <row r="3399">
          <cell r="C3399" t="str">
            <v>19.4.1.77</v>
          </cell>
          <cell r="D3399" t="str">
            <v>Poste De Concreto Armado, Seção Duplo "T", 12 / 1000</v>
          </cell>
          <cell r="E3399" t="str">
            <v>un</v>
          </cell>
          <cell r="F3399"/>
          <cell r="G3399">
            <v>477.8</v>
          </cell>
          <cell r="H3399">
            <v>0</v>
          </cell>
        </row>
        <row r="3400">
          <cell r="C3400" t="str">
            <v>19.4.1.78</v>
          </cell>
          <cell r="D3400" t="str">
            <v>Viga de Concreto Armado, Seção Duplo “T”, 310x230mm, comprimento 6640mm</v>
          </cell>
          <cell r="E3400" t="str">
            <v>un</v>
          </cell>
          <cell r="F3400"/>
          <cell r="G3400">
            <v>288.78357437941884</v>
          </cell>
          <cell r="H3400">
            <v>0</v>
          </cell>
        </row>
        <row r="3401">
          <cell r="C3401" t="str">
            <v>19.4.1.79</v>
          </cell>
          <cell r="D3401" t="str">
            <v>Viga de Concreto Armado, Seção Duplo “T”, 310x230mm, comprimento 4500mm</v>
          </cell>
          <cell r="E3401" t="str">
            <v>un</v>
          </cell>
          <cell r="F3401"/>
          <cell r="G3401">
            <v>272.74004246945111</v>
          </cell>
          <cell r="H3401">
            <v>0</v>
          </cell>
        </row>
        <row r="3402">
          <cell r="C3402" t="str">
            <v>19.4.1.80</v>
          </cell>
          <cell r="D3402" t="str">
            <v>Suporte jabaquara simples com 1,58m</v>
          </cell>
          <cell r="E3402" t="str">
            <v>un</v>
          </cell>
          <cell r="F3402"/>
          <cell r="G3402">
            <v>248.67474460449958</v>
          </cell>
          <cell r="H3402">
            <v>0</v>
          </cell>
        </row>
        <row r="3403">
          <cell r="C3403" t="str">
            <v>19.4.1.81</v>
          </cell>
          <cell r="D3403" t="str">
            <v>Coluna B-2/400/3,5m</v>
          </cell>
          <cell r="E3403" t="str">
            <v>un</v>
          </cell>
          <cell r="F3403"/>
          <cell r="G3403">
            <v>240.65297864951575</v>
          </cell>
          <cell r="H3403">
            <v>0</v>
          </cell>
        </row>
        <row r="3404">
          <cell r="C3404" t="str">
            <v>19.4.1.82</v>
          </cell>
          <cell r="D3404" t="str">
            <v>Coluna B-3/1000/4,0m</v>
          </cell>
          <cell r="E3404" t="str">
            <v>un</v>
          </cell>
          <cell r="F3404"/>
          <cell r="G3404">
            <v>256.69651055948344</v>
          </cell>
          <cell r="H3404">
            <v>0</v>
          </cell>
        </row>
        <row r="3405">
          <cell r="C3405" t="str">
            <v>19.4.1.83</v>
          </cell>
          <cell r="D3405" t="str">
            <v>Mastro Simples De Ferro Galvanizado P/ Para-Raios H=3,00M Incluindo Base - E Instalacao</v>
          </cell>
          <cell r="E3405" t="str">
            <v>un</v>
          </cell>
          <cell r="F3405"/>
          <cell r="G3405">
            <v>132.41999999999999</v>
          </cell>
          <cell r="H3405">
            <v>0</v>
          </cell>
        </row>
        <row r="3406">
          <cell r="C3406" t="str">
            <v>19.4.1.84</v>
          </cell>
          <cell r="D3406" t="str">
            <v>Para-Raios Tipo Franklin</v>
          </cell>
          <cell r="E3406" t="str">
            <v>un</v>
          </cell>
          <cell r="F3406"/>
          <cell r="G3406">
            <v>7.02</v>
          </cell>
          <cell r="H3406">
            <v>0</v>
          </cell>
        </row>
        <row r="3407">
          <cell r="C3407" t="str">
            <v>19.4.1.85</v>
          </cell>
          <cell r="D3407" t="str">
            <v>Abraçadeira Guia Reforçada em aço galvanizado a fogo Para Mastros 2"</v>
          </cell>
          <cell r="E3407" t="str">
            <v>un</v>
          </cell>
          <cell r="F3407"/>
          <cell r="G3407">
            <v>0.62</v>
          </cell>
          <cell r="H3407">
            <v>0</v>
          </cell>
        </row>
        <row r="3408">
          <cell r="C3408" t="str">
            <v>19.4.1.86</v>
          </cell>
          <cell r="D3408" t="str">
            <v>Terminal Ou Conector De Pressão Para Cabo De 35Mm2</v>
          </cell>
          <cell r="E3408" t="str">
            <v>un</v>
          </cell>
          <cell r="F3408"/>
          <cell r="G3408">
            <v>0.56000000000000005</v>
          </cell>
          <cell r="H3408">
            <v>0</v>
          </cell>
        </row>
        <row r="3409">
          <cell r="C3409" t="str">
            <v>19.4.1.87</v>
          </cell>
          <cell r="D3409" t="str">
            <v>Abraçadeira Guia Simples em aço galvanizado a fogo Para Mastros 2"</v>
          </cell>
          <cell r="E3409" t="str">
            <v>un</v>
          </cell>
          <cell r="F3409"/>
          <cell r="G3409">
            <v>0.62</v>
          </cell>
          <cell r="H3409">
            <v>0</v>
          </cell>
        </row>
        <row r="3410">
          <cell r="C3410" t="str">
            <v>19.4.1.88</v>
          </cell>
          <cell r="D3410" t="str">
            <v>Abraçadeira Tipo Porta Bandeira Simples em aço galvanizado a fogo Para Mastros 2" .</v>
          </cell>
          <cell r="E3410" t="str">
            <v>un</v>
          </cell>
          <cell r="F3410"/>
          <cell r="G3410">
            <v>0.62</v>
          </cell>
          <cell r="H3410">
            <v>0</v>
          </cell>
        </row>
        <row r="3411">
          <cell r="C3411" t="str">
            <v>19.4.2</v>
          </cell>
          <cell r="D3411" t="str">
            <v>FORNECIMENTO</v>
          </cell>
          <cell r="E3411"/>
          <cell r="F3411"/>
          <cell r="G3411"/>
          <cell r="H3411">
            <v>0</v>
          </cell>
        </row>
        <row r="3412">
          <cell r="C3412" t="str">
            <v>19.4.2.1</v>
          </cell>
          <cell r="D3412" t="str">
            <v>Abraçadeira Tipo Unha Em Ferro Zincado À Quente, Para Cabo De Cobre Nú 70 Mm²</v>
          </cell>
          <cell r="E3412" t="str">
            <v>pç</v>
          </cell>
          <cell r="F3412"/>
          <cell r="G3412">
            <v>4.75</v>
          </cell>
          <cell r="H3412">
            <v>0</v>
          </cell>
        </row>
        <row r="3413">
          <cell r="C3413" t="str">
            <v>19.4.2.2</v>
          </cell>
          <cell r="D3413" t="str">
            <v>Alça Preformada Para Cabo De Aluminio Caa 266,8 Mcm - Partridge</v>
          </cell>
          <cell r="E3413" t="str">
            <v>pç</v>
          </cell>
          <cell r="F3413"/>
          <cell r="G3413">
            <v>0</v>
          </cell>
          <cell r="H3413">
            <v>0</v>
          </cell>
        </row>
        <row r="3414">
          <cell r="C3414" t="str">
            <v>19.4.2.3</v>
          </cell>
          <cell r="D3414" t="str">
            <v>Anel De Concreto Armado Pré-Moldado, Tipo Triplo (B-3), Para Fixação De Viga Duplo “T” Ou Retangular, Em Poste De Concreto</v>
          </cell>
          <cell r="E3414" t="str">
            <v>pç</v>
          </cell>
          <cell r="F3414"/>
          <cell r="G3414">
            <v>247.18</v>
          </cell>
          <cell r="H3414">
            <v>0</v>
          </cell>
        </row>
        <row r="3415">
          <cell r="C3415" t="str">
            <v>19.4.2.4</v>
          </cell>
          <cell r="D3415" t="str">
            <v>Arruela De Pressão, Fabricada Em Aço Zincado, Diametro Interno 13,5 Mm, E Externo 18 Mm, Espessura 3 Mm</v>
          </cell>
          <cell r="E3415" t="str">
            <v>pç</v>
          </cell>
          <cell r="F3415"/>
          <cell r="G3415">
            <v>0</v>
          </cell>
          <cell r="H3415">
            <v>0</v>
          </cell>
        </row>
        <row r="3416">
          <cell r="C3416" t="str">
            <v>19.4.2.5</v>
          </cell>
          <cell r="D3416" t="str">
            <v>Arruela De Pressão, Fabricada Em Aço Zincado, Diametro Interno 17,5 Mm, E Externo 24 Mm, Espessura 4 Mm</v>
          </cell>
          <cell r="E3416" t="str">
            <v>pç</v>
          </cell>
          <cell r="F3416"/>
          <cell r="G3416">
            <v>0</v>
          </cell>
          <cell r="H3416">
            <v>0</v>
          </cell>
        </row>
        <row r="3417">
          <cell r="C3417" t="str">
            <v>19.4.2.6</v>
          </cell>
          <cell r="D3417" t="str">
            <v>Arruela Quadrada Fabricada Em Aço Zincado, Diametro Do Furo 12 Mm, Dimensões 38X3 Mm</v>
          </cell>
          <cell r="E3417" t="str">
            <v>pç</v>
          </cell>
          <cell r="F3417"/>
          <cell r="G3417">
            <v>0</v>
          </cell>
          <cell r="H3417">
            <v>0</v>
          </cell>
        </row>
        <row r="3418">
          <cell r="C3418" t="str">
            <v>19.4.2.7</v>
          </cell>
          <cell r="D3418" t="str">
            <v>Arruela Quadrada Fabricada Em Aço Zincado, Diametro Do Furo 14 Mm, Dimensões 38X3 Mm</v>
          </cell>
          <cell r="E3418" t="str">
            <v>pç</v>
          </cell>
          <cell r="F3418"/>
          <cell r="G3418">
            <v>0</v>
          </cell>
          <cell r="H3418">
            <v>0</v>
          </cell>
        </row>
        <row r="3419">
          <cell r="C3419" t="str">
            <v>19.4.2.8</v>
          </cell>
          <cell r="D3419" t="str">
            <v>Arruela Quadrada Fabricada Em Aço Zincado, Diametro Do Furo 14 Mm, Dimensões 45X3 Mm</v>
          </cell>
          <cell r="E3419" t="str">
            <v>pç</v>
          </cell>
          <cell r="F3419"/>
          <cell r="G3419">
            <v>0</v>
          </cell>
          <cell r="H3419">
            <v>0</v>
          </cell>
        </row>
        <row r="3420">
          <cell r="C3420" t="str">
            <v>19.4.2.9</v>
          </cell>
          <cell r="D3420" t="str">
            <v>Arruela Quadrada Fabricada Em Aço Zincado, Diametro Do Furo 18 Mm, Dimensões 50X3 Mm</v>
          </cell>
          <cell r="E3420" t="str">
            <v>pç</v>
          </cell>
          <cell r="F3420"/>
          <cell r="G3420">
            <v>0.48</v>
          </cell>
          <cell r="H3420">
            <v>0</v>
          </cell>
        </row>
        <row r="3421">
          <cell r="C3421" t="str">
            <v>19.4.2.10</v>
          </cell>
          <cell r="D3421" t="str">
            <v>Arruela Quadrada Fabricada Em Aço Zincado, Diametro Do Furo 22 Mm, Dimensões 50X5 Mm</v>
          </cell>
          <cell r="E3421" t="str">
            <v>pç</v>
          </cell>
          <cell r="F3421"/>
          <cell r="G3421">
            <v>0.67</v>
          </cell>
          <cell r="H3421">
            <v>0</v>
          </cell>
        </row>
        <row r="3422">
          <cell r="C3422" t="str">
            <v>19.4.2.11</v>
          </cell>
          <cell r="D3422" t="str">
            <v>Arruela Redonda, Fabricada Em Aço Zincado, Diametro Do Furo Interno 12 Mm E Externo 22, Espessura 2 Mm</v>
          </cell>
          <cell r="E3422" t="str">
            <v>pç</v>
          </cell>
          <cell r="F3422"/>
          <cell r="G3422">
            <v>0</v>
          </cell>
          <cell r="H3422">
            <v>0</v>
          </cell>
        </row>
        <row r="3423">
          <cell r="C3423" t="str">
            <v>19.4.2.12</v>
          </cell>
          <cell r="D3423" t="str">
            <v>Arruela Redonda, Fabricada Em Aço Zincado, Diametro Do Furo Interno 14 Mm E Externo 28, Espessura 3 Mm</v>
          </cell>
          <cell r="E3423" t="str">
            <v>pç</v>
          </cell>
          <cell r="F3423"/>
          <cell r="G3423">
            <v>0</v>
          </cell>
          <cell r="H3423">
            <v>0</v>
          </cell>
        </row>
        <row r="3424">
          <cell r="C3424" t="str">
            <v>19.4.2.13</v>
          </cell>
          <cell r="D3424" t="str">
            <v>Arruela Redonda, Fabricada Em Aço Zincado, Diametro Do Furo Interno 18 Mm E Externo 36, Espessura 3 Mm</v>
          </cell>
          <cell r="E3424" t="str">
            <v>pç</v>
          </cell>
          <cell r="F3424"/>
          <cell r="G3424">
            <v>0</v>
          </cell>
          <cell r="H3424">
            <v>0</v>
          </cell>
        </row>
        <row r="3425">
          <cell r="C3425" t="str">
            <v>19.4.2.14</v>
          </cell>
          <cell r="D3425" t="str">
            <v>Arruela Redonda, Fabricada Em Aço Zincado, Diametro Do Furo Interno 22 Mm E Externo 44, Espessura 5 Mm</v>
          </cell>
          <cell r="E3425" t="str">
            <v>pç</v>
          </cell>
          <cell r="F3425"/>
          <cell r="G3425">
            <v>0</v>
          </cell>
          <cell r="H3425">
            <v>0</v>
          </cell>
        </row>
        <row r="3426">
          <cell r="C3426" t="str">
            <v>19.4.2.15</v>
          </cell>
          <cell r="D3426" t="str">
            <v>Arruela Redonda, Fabricada Em Aço Zincado, Diametro Do Furo Interno 6 Mm E Externo 16, Espessura 1 Mm</v>
          </cell>
          <cell r="E3426" t="str">
            <v>pç</v>
          </cell>
          <cell r="F3426"/>
          <cell r="G3426">
            <v>0</v>
          </cell>
          <cell r="H3426">
            <v>0</v>
          </cell>
        </row>
        <row r="3427">
          <cell r="C3427" t="str">
            <v>19.4.2.16</v>
          </cell>
          <cell r="D3427" t="str">
            <v>Arruela Redonda, Fabricada Em Aço Zincado, Diametro Do Furo Interno 8 Mm E Externo 18, Espessura 1 Mm</v>
          </cell>
          <cell r="E3427" t="str">
            <v>pç</v>
          </cell>
          <cell r="F3427"/>
          <cell r="G3427">
            <v>0</v>
          </cell>
          <cell r="H3427">
            <v>0</v>
          </cell>
        </row>
        <row r="3428">
          <cell r="C3428" t="str">
            <v>19.4.2.17</v>
          </cell>
          <cell r="D3428" t="str">
            <v>Bucha De Nylon S-10, Tipo Fixa Para Parafuso Rosca Soberba 6,4 X 50.8 Mm</v>
          </cell>
          <cell r="E3428" t="str">
            <v>pç</v>
          </cell>
          <cell r="F3428"/>
          <cell r="G3428">
            <v>0.18</v>
          </cell>
          <cell r="H3428">
            <v>0</v>
          </cell>
        </row>
        <row r="3429">
          <cell r="C3429" t="str">
            <v>19.4.2.18</v>
          </cell>
          <cell r="D3429" t="str">
            <v>Bucha De Nylon S-8, Tipo Fixa Para Parafuso Rosca Soberba 4,8 X 50 Mm</v>
          </cell>
          <cell r="E3429" t="str">
            <v>pç</v>
          </cell>
          <cell r="F3429"/>
          <cell r="G3429">
            <v>0.13</v>
          </cell>
          <cell r="H3429">
            <v>0</v>
          </cell>
        </row>
        <row r="3430">
          <cell r="C3430" t="str">
            <v>19.4.2.19</v>
          </cell>
          <cell r="D3430" t="str">
            <v>Cabo De Aluminio Com Alma De Aço - Caa 266,8 Mcm 26/7 Fios - Partridge</v>
          </cell>
          <cell r="E3430" t="str">
            <v>m</v>
          </cell>
          <cell r="F3430"/>
          <cell r="G3430">
            <v>5.93</v>
          </cell>
          <cell r="H3430">
            <v>0</v>
          </cell>
        </row>
        <row r="3431">
          <cell r="C3431" t="str">
            <v>19.4.2.20</v>
          </cell>
          <cell r="D3431" t="str">
            <v>Cabo De Cobre Blindado Para Controle, Isolamento 750 V, Composto De 2 Condutores De Cobre Seção 2X6 Mm², Têmpera Mole, Encordoamento Classe 5, Blindagem Em Fita De Cobre Nú Com Espessura Minima De 0,08 Mm, Isolamento E Capa Em Pvc, Com Caracteristicas De Não Propagação E Auto-Extinção Do Fogo, Conforme Norma Nbr 7289</v>
          </cell>
          <cell r="E3431" t="str">
            <v>m</v>
          </cell>
          <cell r="F3431"/>
          <cell r="G3431">
            <v>3.92</v>
          </cell>
          <cell r="H3431">
            <v>0</v>
          </cell>
        </row>
        <row r="3432">
          <cell r="C3432" t="str">
            <v>19.4.2.21</v>
          </cell>
          <cell r="D3432" t="str">
            <v>Cabo De Potência, Isolamento 3,6/6 Kv, Composto Por Um Condutor De Cobre Seção 300 Mm², Têmpera Mole, Classe De Encordoamento 2, Blindagem Do Condutor Constituída Por Uma Camada De Composto Termofixo Semicondutor, Isolamento Em Composto Termofixo De Borrcha Etileno-Propileno (Epr), Blindagem Da Isolação Constituída Por Uma Camada De Composto Termofixo Semicondutor E Fios De Cobre Nú, Capa Externa De Composto Tremoplástico À Base De Cloreto De Polivinila (Pvc) Na Cor Preta.</v>
          </cell>
          <cell r="E3432" t="str">
            <v>m</v>
          </cell>
          <cell r="F3432"/>
          <cell r="G3432">
            <v>79</v>
          </cell>
          <cell r="H3432">
            <v>0</v>
          </cell>
        </row>
        <row r="3433">
          <cell r="C3433" t="str">
            <v>19.4.2.22</v>
          </cell>
          <cell r="D3433" t="str">
            <v>Caixa De Aluminio Fundido, Sem Furação, Uso Ao Tempo, 342X275X134 Mm, Com Chassis, Removivel E Tampa Plana</v>
          </cell>
          <cell r="E3433" t="str">
            <v>pç</v>
          </cell>
          <cell r="F3433"/>
          <cell r="G3433">
            <v>149.6</v>
          </cell>
          <cell r="H3433">
            <v>0</v>
          </cell>
        </row>
        <row r="3434">
          <cell r="C3434" t="str">
            <v>19.4.2.23</v>
          </cell>
          <cell r="D3434" t="str">
            <v>Cartucho De Metal De Solda Para Conexão De Cabos De Cobre Nú, Pelo Processo Exotérmico, Fornec. Em Embalagem Apropriada Com Pó De Ignição No Fundo, Tamanho 200</v>
          </cell>
          <cell r="E3434" t="str">
            <v>pç</v>
          </cell>
          <cell r="F3434"/>
          <cell r="G3434">
            <v>5.5</v>
          </cell>
          <cell r="H3434">
            <v>0</v>
          </cell>
        </row>
        <row r="3435">
          <cell r="C3435" t="str">
            <v>19.4.2.24</v>
          </cell>
          <cell r="D3435" t="str">
            <v>Conector De Aterramento Em Bronze Estanhado, Para Um Cabo De Cobre De 16 A 70 Mm2, Com O Corpo Constitído Por Duas Peças, Fixação A Chapa De Aço De Espessura Até 10 Mm, Com Parafuso, Porca E Arruela De Pressão Em Bronze Silício</v>
          </cell>
          <cell r="E3435" t="str">
            <v>pç</v>
          </cell>
          <cell r="F3435"/>
          <cell r="G3435">
            <v>18.09</v>
          </cell>
          <cell r="H3435">
            <v>0</v>
          </cell>
        </row>
        <row r="3436">
          <cell r="C3436" t="str">
            <v>19.4.2.25</v>
          </cell>
          <cell r="D3436" t="str">
            <v>Conector Derivação "T" Em Liga De Aluminio, Para Cabos De Aluminio Liga 160 Mm², Na Reta E Na Derivação, Com Paarfusos, Porcas E Arruelas Em Aço Inoxidável</v>
          </cell>
          <cell r="E3436" t="str">
            <v>pç</v>
          </cell>
          <cell r="F3436"/>
          <cell r="G3436">
            <v>49.86</v>
          </cell>
          <cell r="H3436">
            <v>0</v>
          </cell>
        </row>
        <row r="3437">
          <cell r="C3437" t="str">
            <v>19.4.2.26</v>
          </cell>
          <cell r="D3437" t="str">
            <v>Conector Terminal Em Bronze Para Fixação De Cabo De Cobre 300 Mm² A Barra Chata Com Quatro Furos Nema</v>
          </cell>
          <cell r="E3437" t="str">
            <v>pç</v>
          </cell>
          <cell r="F3437"/>
          <cell r="G3437">
            <v>55.65</v>
          </cell>
          <cell r="H3437">
            <v>0</v>
          </cell>
        </row>
        <row r="3438">
          <cell r="C3438" t="str">
            <v>19.4.2.27</v>
          </cell>
          <cell r="D3438" t="str">
            <v>Eletroduto Rígido De Pvc, Diametro Nominal 4", Em Varas Com 3,0 M De Comprimento, Rosca Externa Nas Duas Extremidades, Com Uma Luva Por Vara, Tipo Pesado</v>
          </cell>
          <cell r="E3438" t="str">
            <v>pç</v>
          </cell>
          <cell r="F3438"/>
          <cell r="G3438">
            <v>13.64</v>
          </cell>
          <cell r="H3438">
            <v>0</v>
          </cell>
        </row>
        <row r="3439">
          <cell r="C3439" t="str">
            <v>19.4.2.28</v>
          </cell>
          <cell r="D3439" t="str">
            <v>Engate Gancho-Bola Em Aço Carbono Zincado A Quente, Carga De Ruptura 12000 Dan</v>
          </cell>
          <cell r="E3439" t="str">
            <v>pç</v>
          </cell>
          <cell r="F3439"/>
          <cell r="G3439">
            <v>0</v>
          </cell>
          <cell r="H3439">
            <v>0</v>
          </cell>
        </row>
        <row r="3440">
          <cell r="C3440" t="str">
            <v>19.4.2.29</v>
          </cell>
          <cell r="D3440" t="str">
            <v>Grampo De Ancoragem Passante Em Liga De Alumínio, Para Cabo De Alumínio Liga 160 Mm², Com Parafusos Porcas E Arruelas Em Aço Inoxidável</v>
          </cell>
          <cell r="E3440" t="str">
            <v>pç</v>
          </cell>
          <cell r="F3440"/>
          <cell r="G3440">
            <v>89.65</v>
          </cell>
          <cell r="H3440">
            <v>0</v>
          </cell>
        </row>
        <row r="3441">
          <cell r="C3441" t="str">
            <v>19.4.2.30</v>
          </cell>
          <cell r="D3441" t="str">
            <v>Haste Para-Raios 3/4" X 2500 Mm, Em Aço Zincado A Quente</v>
          </cell>
          <cell r="E3441" t="str">
            <v>pç</v>
          </cell>
          <cell r="F3441"/>
          <cell r="G3441">
            <v>22.83</v>
          </cell>
          <cell r="H3441">
            <v>0</v>
          </cell>
        </row>
        <row r="3442">
          <cell r="C3442" t="str">
            <v>19.4.2.31</v>
          </cell>
          <cell r="D3442" t="str">
            <v>Haste De Aterramento Com Núcleo De Aço Carbono, Revestido Em Cobre Pelo Processo De Deposição Eletroilítico, Diâmetro (5/8"), Comprimento 3.000Mm</v>
          </cell>
          <cell r="E3442" t="str">
            <v>pç</v>
          </cell>
          <cell r="F3442"/>
          <cell r="G3442">
            <v>20.25</v>
          </cell>
          <cell r="H3442">
            <v>0</v>
          </cell>
        </row>
        <row r="3443">
          <cell r="C3443" t="str">
            <v>19.4.2.32</v>
          </cell>
          <cell r="D3443" t="str">
            <v>Isolador De Suspensão, De Vidro Temperado, Tipo Linha De Distribuição Classe Iec 305 (V-50C), Engate Tipo Concha Bola, De Acordo Com Iec 471-14 C, Diâmetro De Disco 254 Mm</v>
          </cell>
          <cell r="E3443" t="str">
            <v>pç</v>
          </cell>
          <cell r="F3443"/>
          <cell r="G3443">
            <v>45.59</v>
          </cell>
          <cell r="H3443">
            <v>0</v>
          </cell>
        </row>
        <row r="3444">
          <cell r="C3444" t="str">
            <v>19.4.2.33</v>
          </cell>
          <cell r="D3444" t="str">
            <v>Manilha Em Aço Zincado A Quente, Carga De Ruptura 12000 Dan, Diametro Nominal 16 Mm, Com Pino</v>
          </cell>
          <cell r="E3444" t="str">
            <v>pç</v>
          </cell>
          <cell r="F3444"/>
          <cell r="G3444">
            <v>27.28</v>
          </cell>
          <cell r="H3444">
            <v>0</v>
          </cell>
        </row>
        <row r="3445">
          <cell r="C3445" t="str">
            <v>19.4.2.34</v>
          </cell>
          <cell r="D3445" t="str">
            <v>Manilha Sapatilha Em Aço Zincado A Quente</v>
          </cell>
          <cell r="E3445" t="str">
            <v>pç</v>
          </cell>
          <cell r="F3445"/>
          <cell r="G3445">
            <v>4.24</v>
          </cell>
          <cell r="H3445">
            <v>0</v>
          </cell>
        </row>
        <row r="3446">
          <cell r="C3446" t="str">
            <v>19.4.2.35</v>
          </cell>
          <cell r="D3446" t="str">
            <v>Molde De Grafite, Tipo Padrão Para Conexão Soldada Em "T" De  Cabos De Cobre Nú 70 Mm2 Na Passagem E Derivação. (Pos 51) Ref.: Cadweld Cat. Nº Tac  Y4Y4 Ou Similar.</v>
          </cell>
          <cell r="E3446" t="str">
            <v>pç</v>
          </cell>
          <cell r="F3446"/>
          <cell r="G3446">
            <v>158.59</v>
          </cell>
          <cell r="H3446">
            <v>0</v>
          </cell>
        </row>
        <row r="3447">
          <cell r="C3447" t="str">
            <v>19.4.2.36</v>
          </cell>
          <cell r="D3447" t="str">
            <v>Olhal Para Parafuso M16 Em Aço Zincado A Quente, Carga De Ruptura 5000 Dan</v>
          </cell>
          <cell r="E3447" t="str">
            <v>pç</v>
          </cell>
          <cell r="F3447"/>
          <cell r="G3447">
            <v>3.68</v>
          </cell>
          <cell r="H3447">
            <v>0</v>
          </cell>
        </row>
        <row r="3448">
          <cell r="C3448" t="str">
            <v>19.4.2.37</v>
          </cell>
          <cell r="D3448" t="str">
            <v>Olhal Para Parafuso M20 Em Aço Zincado A Quente, Carga De Ruptura 12000 Dan</v>
          </cell>
          <cell r="E3448" t="str">
            <v>pç</v>
          </cell>
          <cell r="F3448"/>
          <cell r="G3448">
            <v>0</v>
          </cell>
          <cell r="H3448">
            <v>0</v>
          </cell>
        </row>
        <row r="3449">
          <cell r="C3449" t="str">
            <v>19.4.2.38</v>
          </cell>
          <cell r="D3449" t="str">
            <v>Parafuso Auto-Atarrachante, Cabeça Cilindrica 4,8X50 Mm</v>
          </cell>
          <cell r="E3449" t="str">
            <v>pç</v>
          </cell>
          <cell r="F3449"/>
          <cell r="G3449">
            <v>0.08</v>
          </cell>
          <cell r="H3449">
            <v>0</v>
          </cell>
        </row>
        <row r="3450">
          <cell r="C3450" t="str">
            <v>19.4.2.39</v>
          </cell>
          <cell r="D3450" t="str">
            <v>Parafuso Auto-Atarrachante, Cabeça Cilindrica 6,4X50,8 Mm</v>
          </cell>
          <cell r="E3450" t="str">
            <v>pç</v>
          </cell>
          <cell r="F3450"/>
          <cell r="G3450">
            <v>0.14000000000000001</v>
          </cell>
          <cell r="H3450">
            <v>0</v>
          </cell>
        </row>
        <row r="3451">
          <cell r="C3451" t="str">
            <v>19.4.2.40</v>
          </cell>
          <cell r="D3451" t="str">
            <v>Parafuso De Bronze M6X20, Com Porca, Arruela Lisa E De Pressão</v>
          </cell>
          <cell r="E3451" t="str">
            <v>pç</v>
          </cell>
          <cell r="F3451"/>
          <cell r="G3451">
            <v>0</v>
          </cell>
          <cell r="H3451">
            <v>0</v>
          </cell>
        </row>
        <row r="3452">
          <cell r="C3452" t="str">
            <v>19.4.2.41</v>
          </cell>
          <cell r="D3452" t="str">
            <v>Parafuso De Máquina, Cabeça Quadrada, Em Aço Zincado, Rosca M10 X 1,25, Comprimento Total A = 50, Parte Rosqueada B = 35 Mm, Completo Com Duas Porcas Quadrada</v>
          </cell>
          <cell r="E3452" t="str">
            <v>pç</v>
          </cell>
          <cell r="F3452"/>
          <cell r="G3452">
            <v>0</v>
          </cell>
          <cell r="H3452">
            <v>0</v>
          </cell>
        </row>
        <row r="3453">
          <cell r="C3453" t="str">
            <v>19.4.2.42</v>
          </cell>
          <cell r="D3453" t="str">
            <v>Parafuso De Máquina, Cabeça Quadrada, Em Aço Zincado, Rosca M12 X 1,5, Comprimento Total A = 100, Parte Rosqueada B = 50 Mm, Completo Com Duas Porcas Quadrada</v>
          </cell>
          <cell r="E3453" t="str">
            <v>pç</v>
          </cell>
          <cell r="F3453"/>
          <cell r="G3453">
            <v>0</v>
          </cell>
          <cell r="H3453">
            <v>0</v>
          </cell>
        </row>
        <row r="3454">
          <cell r="C3454" t="str">
            <v>19.4.2.43</v>
          </cell>
          <cell r="D3454" t="str">
            <v>Parafuso De Máquina, Cabeça Quadrada, Em Aço Zincado, Rosca M12 X 1,5, Comprimento Total A = 200, Parte Rosqueada B = 120 Mm, Completo Com Duas Porcas Quadrada</v>
          </cell>
          <cell r="E3454" t="str">
            <v>pç</v>
          </cell>
          <cell r="F3454"/>
          <cell r="G3454">
            <v>0</v>
          </cell>
          <cell r="H3454">
            <v>0</v>
          </cell>
        </row>
        <row r="3455">
          <cell r="C3455" t="str">
            <v>19.4.2.44</v>
          </cell>
          <cell r="D3455" t="str">
            <v>Parafuso De Máquina, Cabeça Quadrada, Em Aço Zincado, Rosca M12 X 1,5, Comprimento Total A = 250, Parte Rosqueada B = 170 Mm, Completo Com Duas Porcas Quadrada</v>
          </cell>
          <cell r="E3455" t="str">
            <v>pç</v>
          </cell>
          <cell r="F3455"/>
          <cell r="G3455">
            <v>0</v>
          </cell>
          <cell r="H3455">
            <v>0</v>
          </cell>
        </row>
        <row r="3456">
          <cell r="C3456" t="str">
            <v>19.4.2.45</v>
          </cell>
          <cell r="D3456" t="str">
            <v>Parafuso De Máquina, Cabeça Quadrada, Em Aço Zincado, Rosca M12 X 1,5, Comprimento Total A = 300, Parte Rosqueada B = 220 Mm, Completo Com Duas Porcas Quadrada</v>
          </cell>
          <cell r="E3456" t="str">
            <v>pç</v>
          </cell>
          <cell r="F3456"/>
          <cell r="G3456">
            <v>0</v>
          </cell>
          <cell r="H3456">
            <v>0</v>
          </cell>
        </row>
        <row r="3457">
          <cell r="C3457" t="str">
            <v>19.4.2.46</v>
          </cell>
          <cell r="D3457" t="str">
            <v>Parafuso De Máquina, Cabeça Quadrada, Em Aço Zincado, Rosca M16 X 2, Comprimento Total A = 200, Parte Rosqueada B = 120 Mm, Completo Com Duas Porcas Quadrada.</v>
          </cell>
          <cell r="E3457" t="str">
            <v>pç</v>
          </cell>
          <cell r="F3457"/>
          <cell r="G3457">
            <v>2.23</v>
          </cell>
          <cell r="H3457">
            <v>0</v>
          </cell>
        </row>
        <row r="3458">
          <cell r="C3458" t="str">
            <v>19.4.2.47</v>
          </cell>
          <cell r="D3458" t="str">
            <v>Parafuso De Máquina, Cabeça Quadrada, Em Aço Zincado, Rosca M16 X 2, Comprimento Total A = 250, Parte Rosqueada B = 170 Mm, Completo Com Duas Porcas Quadrada</v>
          </cell>
          <cell r="E3458" t="str">
            <v>pç</v>
          </cell>
          <cell r="F3458"/>
          <cell r="G3458">
            <v>2.81</v>
          </cell>
          <cell r="H3458">
            <v>0</v>
          </cell>
        </row>
        <row r="3459">
          <cell r="C3459" t="str">
            <v>19.4.2.48</v>
          </cell>
          <cell r="D3459" t="str">
            <v>Parafuso De Máquina, Cabeça Quadrada, Em Aço Zincado, Rosca M16 X 2, Comprimento Total A = 300, Parte Rosqueada B = 220 Mm, Completo Com Duas Porcas Quadrada</v>
          </cell>
          <cell r="E3459" t="str">
            <v>pç</v>
          </cell>
          <cell r="F3459"/>
          <cell r="G3459">
            <v>2.88</v>
          </cell>
          <cell r="H3459">
            <v>0</v>
          </cell>
        </row>
        <row r="3460">
          <cell r="C3460" t="str">
            <v>19.4.2.49</v>
          </cell>
          <cell r="D3460" t="str">
            <v>Parafuso De Máquina, Cabeça Quadrada, Em Aço Zincado, Rosca M16 X 2, Comprimento Total A = 350, Parte Rosqueada B = 270 Mm, Completo Com Duas Porcas Quadrada</v>
          </cell>
          <cell r="E3460" t="str">
            <v>pç</v>
          </cell>
          <cell r="F3460"/>
          <cell r="G3460">
            <v>3.21</v>
          </cell>
          <cell r="H3460">
            <v>0</v>
          </cell>
        </row>
        <row r="3461">
          <cell r="C3461" t="str">
            <v>19.4.2.50</v>
          </cell>
          <cell r="D3461" t="str">
            <v>Parafuso De Máquina, Cabeça Quadrada, Em Aço Zincado, Rosca M16 X 2, Comprimento Total A = 400, Parte Rosqueada B = 320 Mm, Completo Com Duas Porcas Quadrada</v>
          </cell>
          <cell r="E3461" t="str">
            <v>pç</v>
          </cell>
          <cell r="F3461"/>
          <cell r="G3461">
            <v>3.52</v>
          </cell>
          <cell r="H3461">
            <v>0</v>
          </cell>
        </row>
        <row r="3462">
          <cell r="C3462" t="str">
            <v>19.4.2.51</v>
          </cell>
          <cell r="D3462" t="str">
            <v>Parafuso De Máquina, Cabeça Quadrada, Em Aço Zincado, Rosca M16 X 2, Comprimento Total A = 450, Parte Rosqueada B = 370 Mm, Completo Com Duas Porcas Quadrada</v>
          </cell>
          <cell r="E3462" t="str">
            <v>pç</v>
          </cell>
          <cell r="F3462"/>
          <cell r="G3462">
            <v>3.84</v>
          </cell>
          <cell r="H3462">
            <v>0</v>
          </cell>
        </row>
        <row r="3463">
          <cell r="C3463" t="str">
            <v>19.4.2.52</v>
          </cell>
          <cell r="D3463" t="str">
            <v>Parafuso De Máquina, Cabeça Quadrada, Em Aço Zincado, Rosca M20 X 2,5, Comprimento Total A = 300, Parte Rosqueada B = 220 Mm, Completo Com Duas Porcas Quadrada</v>
          </cell>
          <cell r="E3463" t="str">
            <v>pç</v>
          </cell>
          <cell r="F3463"/>
          <cell r="G3463">
            <v>4.45</v>
          </cell>
          <cell r="H3463">
            <v>0</v>
          </cell>
        </row>
        <row r="3464">
          <cell r="C3464" t="str">
            <v>19.4.2.53</v>
          </cell>
          <cell r="D3464" t="str">
            <v>Parafuso De Máquina, Cabeça Quadrada, Em Aço Zincado, Rosca M20 X 2,5, Comprimento Total A = 350, Parte Rosqueada B = 270 Mm, Completo Com Duas Porcas Quadrada</v>
          </cell>
          <cell r="E3464" t="str">
            <v>pç</v>
          </cell>
          <cell r="F3464"/>
          <cell r="G3464">
            <v>5.65</v>
          </cell>
          <cell r="H3464">
            <v>0</v>
          </cell>
        </row>
        <row r="3465">
          <cell r="C3465" t="str">
            <v>19.4.2.54</v>
          </cell>
          <cell r="D3465" t="str">
            <v>Parafuso De Máquina, Cabeça Quadrada, Em Aço Zincado, Rosca M20 X 2,5, Comprimento Total A = 400, Parte Rosqueada B = 320 Mm, Completo Com Duas Porcas Quadrada</v>
          </cell>
          <cell r="E3465" t="str">
            <v>pç</v>
          </cell>
          <cell r="F3465"/>
          <cell r="G3465">
            <v>7.87</v>
          </cell>
          <cell r="H3465">
            <v>0</v>
          </cell>
        </row>
        <row r="3466">
          <cell r="C3466" t="str">
            <v>19.4.2.55</v>
          </cell>
          <cell r="D3466" t="str">
            <v>Parafuso De Máquina, Cabeça Quadrada, Em Aço Zincado, Rosca M20 X 2,5, Comprimento Total A = 450, Parte Rosqueada B = 370 Mm, Completo Com Duas Porcas Quadrada</v>
          </cell>
          <cell r="E3466" t="str">
            <v>pç</v>
          </cell>
          <cell r="F3466"/>
          <cell r="G3466">
            <v>8.85</v>
          </cell>
          <cell r="H3466">
            <v>0</v>
          </cell>
        </row>
        <row r="3467">
          <cell r="C3467" t="str">
            <v>19.4.2.56</v>
          </cell>
          <cell r="D3467" t="str">
            <v>Parafuso De Máquina, Cabeça Quadrada, Em Aço Zincado, Rosca M20 X 2,5, Comprimento Total A = 500, Parte Rosqueada B = 420 Mm, Completo Com Duas Porcas Quadrada</v>
          </cell>
          <cell r="E3467" t="str">
            <v>pç</v>
          </cell>
          <cell r="F3467"/>
          <cell r="G3467">
            <v>9.8000000000000007</v>
          </cell>
          <cell r="H3467">
            <v>0</v>
          </cell>
        </row>
        <row r="3468">
          <cell r="C3468" t="str">
            <v>19.4.2.57</v>
          </cell>
          <cell r="D3468" t="str">
            <v>Parafuso De Máquina, Cabeça Quadrada, Em Aço Zincado, Rosca M20 X 2,5, Comprimento Total A = 550, Parte Rosqueada B = 470 Mm, Completo Com Duas Porcas Quadrada</v>
          </cell>
          <cell r="E3468" t="str">
            <v>pç</v>
          </cell>
          <cell r="F3468"/>
          <cell r="G3468">
            <v>10.84</v>
          </cell>
          <cell r="H3468">
            <v>0</v>
          </cell>
        </row>
        <row r="3469">
          <cell r="C3469" t="str">
            <v>19.4.2.58</v>
          </cell>
          <cell r="D3469" t="str">
            <v>Parafuso Rosca Dupla, Em Aço Zincado, Fornecido Com Quatro Porcas Quadradas, Rosca M12X1,5, Comprimento Total L=200 Mm, Comprimento Da Parte Rosqueada B=75 Mm</v>
          </cell>
          <cell r="E3469" t="str">
            <v>pç</v>
          </cell>
          <cell r="F3469"/>
          <cell r="G3469">
            <v>3.37</v>
          </cell>
          <cell r="H3469">
            <v>0</v>
          </cell>
        </row>
        <row r="3470">
          <cell r="C3470" t="str">
            <v>19.4.2.59</v>
          </cell>
          <cell r="D3470" t="str">
            <v>Parafuso Rosca Dupla, Em Aço Zincado, Fornecido Com Quatro Porcas Quadradas, Rosca M12X1,5, Comprimento Total L=300 Mm, Comprimento Da Parte Rosqueada B=125 Mm</v>
          </cell>
          <cell r="E3470" t="str">
            <v>pç</v>
          </cell>
          <cell r="F3470"/>
          <cell r="G3470">
            <v>4.28</v>
          </cell>
          <cell r="H3470">
            <v>0</v>
          </cell>
        </row>
        <row r="3471">
          <cell r="C3471" t="str">
            <v>19.4.2.60</v>
          </cell>
          <cell r="D3471" t="str">
            <v>Parafuso Rosca Dupla, Em Aço Zincado, Fornecido Com Quatro Porcas Quadradas, Rosca M12X1,5, Comprimento Total L=450 Mm, Comprimento Da Parte Rosqueada B=200 Mm</v>
          </cell>
          <cell r="E3471" t="str">
            <v>pç</v>
          </cell>
          <cell r="F3471"/>
          <cell r="G3471">
            <v>4.71</v>
          </cell>
          <cell r="H3471">
            <v>0</v>
          </cell>
        </row>
        <row r="3472">
          <cell r="C3472" t="str">
            <v>19.4.2.61</v>
          </cell>
          <cell r="D3472" t="str">
            <v>Parafuso Rosca Dupla, Em Aço Zincado, Fornecido Com Quatro Porcas Quadradas, Rosca M16X2, Comprimento Total L=450 Mm, Comprimento Da Parte Rosqueada B=200 Mm</v>
          </cell>
          <cell r="E3472" t="str">
            <v>pç</v>
          </cell>
          <cell r="F3472"/>
          <cell r="G3472">
            <v>4.7699999999999996</v>
          </cell>
          <cell r="H3472">
            <v>0</v>
          </cell>
        </row>
        <row r="3473">
          <cell r="C3473" t="str">
            <v>19.4.2.62</v>
          </cell>
          <cell r="D3473" t="str">
            <v>Parafuso Rosca Dupla, Em Aço Zincado, Fornecido Com Quatro Porcas Quadradas, Rosca M16X2, Comprimento Total L=600 Mm, Comprimento Da Parte Rosqueada B=275 Mm</v>
          </cell>
          <cell r="E3473" t="str">
            <v>pç</v>
          </cell>
          <cell r="F3473"/>
          <cell r="G3473">
            <v>7.27</v>
          </cell>
          <cell r="H3473">
            <v>0</v>
          </cell>
        </row>
        <row r="3474">
          <cell r="C3474" t="str">
            <v>19.4.2.63</v>
          </cell>
          <cell r="D3474" t="str">
            <v>Parafuso Sextavada, Em Aço Zincado, M6X1, Comprimento 15 Mm, Completo Com Duas Porcas Sextavadas</v>
          </cell>
          <cell r="E3474" t="str">
            <v>pç</v>
          </cell>
          <cell r="F3474"/>
          <cell r="G3474">
            <v>0.09</v>
          </cell>
          <cell r="H3474">
            <v>0</v>
          </cell>
        </row>
        <row r="3475">
          <cell r="C3475" t="str">
            <v>19.4.2.64</v>
          </cell>
          <cell r="D3475" t="str">
            <v>Parafuso Sextavada, Em Aço Zincado, M10X1,25, Comprimento 50 Mm, Completo Com Duas Porcas Sextavadas</v>
          </cell>
          <cell r="E3475" t="str">
            <v>pç</v>
          </cell>
          <cell r="F3475"/>
          <cell r="G3475">
            <v>0.51</v>
          </cell>
          <cell r="H3475">
            <v>0</v>
          </cell>
        </row>
        <row r="3476">
          <cell r="C3476" t="str">
            <v>19.4.2.65</v>
          </cell>
          <cell r="D3476" t="str">
            <v>Parafuso Sextavada, Em Aço Zincado, M12X1,5, Comprimento 60 Mm, Completo Com Duas Porcas Sextavadas</v>
          </cell>
          <cell r="E3476" t="str">
            <v>pç</v>
          </cell>
          <cell r="F3476"/>
          <cell r="G3476">
            <v>0.91</v>
          </cell>
          <cell r="H3476">
            <v>0</v>
          </cell>
        </row>
        <row r="3477">
          <cell r="C3477" t="str">
            <v>19.4.2.66</v>
          </cell>
          <cell r="D3477" t="str">
            <v>Porca Quadrada, Fabricada Em Aço Zincado. Rosca M16 X 2</v>
          </cell>
          <cell r="E3477" t="str">
            <v>pç</v>
          </cell>
          <cell r="F3477"/>
          <cell r="G3477">
            <v>0.45</v>
          </cell>
          <cell r="H3477">
            <v>0</v>
          </cell>
        </row>
        <row r="3478">
          <cell r="C3478" t="str">
            <v>19.4.2.67</v>
          </cell>
          <cell r="D3478" t="str">
            <v>Regua De Bornes Terminais 600 V, 100 A, 5 Pólos Base Em Baquelite, Contatos, Parafusos E Arruelas Em Bronze Estanhado, Para Ligações Através De Terminais Tipo Olhal</v>
          </cell>
          <cell r="E3478" t="str">
            <v>pç</v>
          </cell>
          <cell r="F3478"/>
          <cell r="G3478">
            <v>0</v>
          </cell>
          <cell r="H3478">
            <v>0</v>
          </cell>
        </row>
        <row r="3479">
          <cell r="C3479" t="str">
            <v>19.4.2.68</v>
          </cell>
          <cell r="D3479" t="str">
            <v>Secionador Praformado Para Cerca, D-3,25 - 4,11 Mm</v>
          </cell>
          <cell r="E3479" t="str">
            <v>pç</v>
          </cell>
          <cell r="F3479"/>
          <cell r="G3479">
            <v>2.2400000000000002</v>
          </cell>
          <cell r="H3479">
            <v>0</v>
          </cell>
        </row>
        <row r="3480">
          <cell r="C3480" t="str">
            <v>19.4.2.69</v>
          </cell>
          <cell r="D3480" t="str">
            <v>Suporte Capitel De Concreto Armado Para Fixação De "Tc" E "Tp" 72,5 Kv</v>
          </cell>
          <cell r="E3480" t="str">
            <v>pç</v>
          </cell>
          <cell r="F3480"/>
          <cell r="G3480">
            <v>274.55</v>
          </cell>
          <cell r="H3480">
            <v>0</v>
          </cell>
        </row>
        <row r="3481">
          <cell r="C3481" t="str">
            <v>19.4.2.70</v>
          </cell>
          <cell r="D3481" t="str">
            <v>Suporte Capitel De Concreto Armado Para Pára-Raio 72,5 Kv</v>
          </cell>
          <cell r="E3481" t="str">
            <v>pç</v>
          </cell>
          <cell r="F3481"/>
          <cell r="G3481">
            <v>274.55</v>
          </cell>
          <cell r="H3481">
            <v>0</v>
          </cell>
        </row>
        <row r="3482">
          <cell r="C3482" t="str">
            <v>19.4.2.71</v>
          </cell>
          <cell r="D3482" t="str">
            <v>Cantoneira 2"/2" X 280 Mm De Aço Galvanizado. (Pos 70) Ref.: Siderúrgica Nacional Ou Similar.</v>
          </cell>
          <cell r="E3482" t="str">
            <v>un</v>
          </cell>
          <cell r="F3482"/>
          <cell r="G3482">
            <v>11.43</v>
          </cell>
          <cell r="H3482">
            <v>0</v>
          </cell>
        </row>
        <row r="3483">
          <cell r="C3483" t="str">
            <v>19.4.2.73</v>
          </cell>
          <cell r="D3483" t="str">
            <v>Terminal Isolado Para Cabo De Cobre Isolado 20/35 Kv, 35 Mm²</v>
          </cell>
          <cell r="E3483" t="str">
            <v>pç</v>
          </cell>
          <cell r="F3483"/>
          <cell r="G3483">
            <v>1.38</v>
          </cell>
          <cell r="H3483">
            <v>0</v>
          </cell>
        </row>
        <row r="3484">
          <cell r="C3484" t="str">
            <v>19.4.2.74</v>
          </cell>
          <cell r="D3484" t="str">
            <v>Terminal Isolado Para Cabo De Cobre Isolado 3,6/6 Kv, 300 Mm²</v>
          </cell>
          <cell r="E3484" t="str">
            <v>pç</v>
          </cell>
          <cell r="F3484"/>
          <cell r="G3484">
            <v>4.93</v>
          </cell>
          <cell r="H3484">
            <v>0</v>
          </cell>
        </row>
        <row r="3485">
          <cell r="C3485" t="str">
            <v>19.4.2.75</v>
          </cell>
          <cell r="D3485" t="str">
            <v>Viga De Concreto Armado, Seção Duplo "T", 310 X 230 Mm, Comprimento 7100 Mm, Na Posição Vertical E Horizontal</v>
          </cell>
          <cell r="E3485" t="str">
            <v>pç</v>
          </cell>
          <cell r="F3485"/>
          <cell r="G3485">
            <v>1086.23</v>
          </cell>
          <cell r="H3485">
            <v>0</v>
          </cell>
        </row>
        <row r="3486">
          <cell r="C3486" t="str">
            <v>19.4.2.76</v>
          </cell>
          <cell r="D3486" t="str">
            <v>Poste De Concreto Armado, Seção Duplo "T", 12 / 1500</v>
          </cell>
          <cell r="E3486" t="str">
            <v>un</v>
          </cell>
          <cell r="F3486"/>
          <cell r="G3486">
            <v>5697.83</v>
          </cell>
          <cell r="H3486">
            <v>0</v>
          </cell>
        </row>
        <row r="3487">
          <cell r="C3487" t="str">
            <v>19.4.2.77</v>
          </cell>
          <cell r="D3487" t="str">
            <v>Poste De Concreto Armado, Seção Duplo "T", 12 / 1000</v>
          </cell>
          <cell r="E3487" t="str">
            <v>un</v>
          </cell>
          <cell r="F3487"/>
          <cell r="G3487">
            <v>1112.8800000000001</v>
          </cell>
          <cell r="H3487">
            <v>0</v>
          </cell>
        </row>
        <row r="3488">
          <cell r="C3488" t="str">
            <v>19.4.2.78</v>
          </cell>
          <cell r="D3488" t="str">
            <v>Viga de Concreto Armado, Seção Duplo “T”, 310x230mm, comprimento 6640mm</v>
          </cell>
          <cell r="E3488" t="str">
            <v>un</v>
          </cell>
          <cell r="F3488"/>
          <cell r="G3488">
            <v>727.58</v>
          </cell>
          <cell r="H3488">
            <v>0</v>
          </cell>
        </row>
        <row r="3489">
          <cell r="C3489" t="str">
            <v>19.4.2.79</v>
          </cell>
          <cell r="D3489" t="str">
            <v>Viga de Concreto Armado, Seção Duplo “T”, 310x230mm, comprimento 4500mm</v>
          </cell>
          <cell r="E3489" t="str">
            <v>un</v>
          </cell>
          <cell r="F3489"/>
          <cell r="G3489">
            <v>492.89</v>
          </cell>
          <cell r="H3489">
            <v>0</v>
          </cell>
        </row>
        <row r="3490">
          <cell r="C3490" t="str">
            <v>19.4.2.80</v>
          </cell>
          <cell r="D3490" t="str">
            <v>Suporte jabaquara simples com 1,58m</v>
          </cell>
          <cell r="E3490" t="str">
            <v>un</v>
          </cell>
          <cell r="F3490"/>
          <cell r="G3490">
            <v>205.3</v>
          </cell>
          <cell r="H3490">
            <v>0</v>
          </cell>
        </row>
        <row r="3491">
          <cell r="C3491" t="str">
            <v>19.4.2.81</v>
          </cell>
          <cell r="D3491" t="str">
            <v>Coluna B-2/400/3,5m</v>
          </cell>
          <cell r="E3491" t="str">
            <v>un</v>
          </cell>
          <cell r="F3491"/>
          <cell r="G3491">
            <v>134.11000000000001</v>
          </cell>
          <cell r="H3491">
            <v>0</v>
          </cell>
        </row>
        <row r="3492">
          <cell r="C3492" t="str">
            <v>19.4.2.82</v>
          </cell>
          <cell r="D3492" t="str">
            <v>Coluna B-3/1000/4,0m</v>
          </cell>
          <cell r="E3492" t="str">
            <v>un</v>
          </cell>
          <cell r="F3492"/>
          <cell r="G3492">
            <v>303.74</v>
          </cell>
          <cell r="H3492">
            <v>0</v>
          </cell>
        </row>
        <row r="3493">
          <cell r="C3493" t="str">
            <v>19.4.2.83</v>
          </cell>
          <cell r="D3493" t="str">
            <v>Mastro Simples De Ferro Galvanizado P/ Para-Raios H=3,00M Incluindo Base - E Instalacao</v>
          </cell>
          <cell r="E3493" t="str">
            <v>un</v>
          </cell>
          <cell r="F3493"/>
          <cell r="G3493">
            <v>101.88</v>
          </cell>
          <cell r="H3493">
            <v>0</v>
          </cell>
        </row>
        <row r="3494">
          <cell r="C3494" t="str">
            <v>19.4.2.84</v>
          </cell>
          <cell r="D3494" t="str">
            <v>Para-Raios Tipo Franklin</v>
          </cell>
          <cell r="E3494" t="str">
            <v>un</v>
          </cell>
          <cell r="F3494"/>
          <cell r="G3494">
            <v>39.17</v>
          </cell>
          <cell r="H3494">
            <v>0</v>
          </cell>
        </row>
        <row r="3495">
          <cell r="C3495" t="str">
            <v>19.4.2.85</v>
          </cell>
          <cell r="D3495" t="str">
            <v>Abraçadeira Guia Reforçada em aço galvanizado a fogo Para Mastros 2"</v>
          </cell>
          <cell r="E3495" t="str">
            <v>un</v>
          </cell>
          <cell r="F3495"/>
          <cell r="G3495">
            <v>1.82</v>
          </cell>
          <cell r="H3495">
            <v>0</v>
          </cell>
        </row>
        <row r="3496">
          <cell r="C3496" t="str">
            <v>19.4.2.86</v>
          </cell>
          <cell r="D3496" t="str">
            <v>Terminal Ou Conector De Pressão Para Cabo De 35Mm2</v>
          </cell>
          <cell r="E3496" t="str">
            <v>un</v>
          </cell>
          <cell r="F3496"/>
          <cell r="G3496">
            <v>2.65</v>
          </cell>
          <cell r="H3496">
            <v>0</v>
          </cell>
        </row>
        <row r="3497">
          <cell r="C3497" t="str">
            <v>19.4.2.87</v>
          </cell>
          <cell r="D3497" t="str">
            <v>Abraçadeira Guia Simples em aço galvanizado a fogo Para Mastros 2"</v>
          </cell>
          <cell r="E3497" t="str">
            <v>un</v>
          </cell>
          <cell r="F3497"/>
          <cell r="G3497">
            <v>1.82</v>
          </cell>
          <cell r="H3497">
            <v>0</v>
          </cell>
        </row>
        <row r="3498">
          <cell r="C3498" t="str">
            <v>19.4.2.88</v>
          </cell>
          <cell r="D3498" t="str">
            <v>Abraçadeira Tipo Porta Bandeira Simples em aço galvanizado a fogo Para Mastros 2" .</v>
          </cell>
          <cell r="E3498" t="str">
            <v>un</v>
          </cell>
          <cell r="F3498"/>
          <cell r="G3498">
            <v>1.82</v>
          </cell>
          <cell r="H3498">
            <v>0</v>
          </cell>
        </row>
        <row r="3499">
          <cell r="C3499" t="str">
            <v>20</v>
          </cell>
          <cell r="D3499" t="str">
            <v>20 - LT69kV</v>
          </cell>
          <cell r="E3499"/>
          <cell r="F3499"/>
          <cell r="G3499"/>
          <cell r="H3499">
            <v>0</v>
          </cell>
        </row>
        <row r="3500">
          <cell r="C3500" t="str">
            <v>20.1</v>
          </cell>
          <cell r="D3500" t="str">
            <v>ESTRUTURAS</v>
          </cell>
          <cell r="E3500"/>
          <cell r="F3500"/>
          <cell r="G3500"/>
          <cell r="H3500">
            <v>0</v>
          </cell>
        </row>
        <row r="3501">
          <cell r="C3501" t="str">
            <v>20.1.1</v>
          </cell>
          <cell r="D3501" t="str">
            <v>MONTAGEM</v>
          </cell>
          <cell r="E3501"/>
          <cell r="F3501"/>
          <cell r="G3501"/>
          <cell r="H3501">
            <v>0</v>
          </cell>
        </row>
        <row r="3502">
          <cell r="C3502" t="str">
            <v>20.1.1.1</v>
          </cell>
          <cell r="D3502" t="str">
            <v xml:space="preserve">Estrutura De Concreto Armado Tipo Ys 1800/24 Composta Por Poste Com Tomadas De Terra ,Cruzetas Com Tomadas De Terra, </v>
          </cell>
          <cell r="E3502" t="str">
            <v>un</v>
          </cell>
          <cell r="F3502"/>
          <cell r="G3502">
            <v>1435.7</v>
          </cell>
          <cell r="H3502">
            <v>0</v>
          </cell>
        </row>
        <row r="3503">
          <cell r="C3503" t="str">
            <v>20.1.1.2</v>
          </cell>
          <cell r="D3503" t="str">
            <v xml:space="preserve">Estrutura De Concreto Armado Tipo Ys 1000/18 Composta Por Poste Com Tomadas De Terra ,Cruzetas Com Tomadas De Terra, </v>
          </cell>
          <cell r="E3503" t="str">
            <v>un</v>
          </cell>
          <cell r="F3503"/>
          <cell r="G3503">
            <v>1123.5899999999999</v>
          </cell>
          <cell r="H3503">
            <v>0</v>
          </cell>
        </row>
        <row r="3504">
          <cell r="C3504" t="str">
            <v>20.1.1.3</v>
          </cell>
          <cell r="D3504" t="str">
            <v xml:space="preserve">Estrutura De Concreto Armado Tipo Ysg 600/18 Composta Por Poste Com Tomadas De Terra ,Cruzetas Com Tomadas De Terra, </v>
          </cell>
          <cell r="E3504" t="str">
            <v>un</v>
          </cell>
          <cell r="F3504"/>
          <cell r="G3504">
            <v>1123.5899999999999</v>
          </cell>
          <cell r="H3504">
            <v>0</v>
          </cell>
        </row>
        <row r="3505">
          <cell r="C3505" t="str">
            <v>20.1.1.4</v>
          </cell>
          <cell r="D3505" t="str">
            <v xml:space="preserve">Estrutura De Concreto Armado Tipo Hsg 2X600/18 Composta Por Postes Com Tomadas De Terra ,Cruzeta Com Tomadas De Terra, </v>
          </cell>
          <cell r="E3505" t="str">
            <v>un</v>
          </cell>
          <cell r="F3505"/>
          <cell r="G3505">
            <v>1039.69</v>
          </cell>
          <cell r="H3505">
            <v>0</v>
          </cell>
        </row>
        <row r="3506">
          <cell r="C3506" t="str">
            <v>20.1.1.5</v>
          </cell>
          <cell r="D3506" t="str">
            <v xml:space="preserve">Estrutura De Concreto Armado Tipo Ap-Pr 2600/24 Composta Por Poste Com Tomadas De Terra ,Cruzetas Com Tomadas De Terra, Cantoneiras, </v>
          </cell>
          <cell r="E3506" t="str">
            <v>un</v>
          </cell>
          <cell r="F3506"/>
          <cell r="G3506">
            <v>1435.7</v>
          </cell>
          <cell r="H3506">
            <v>0</v>
          </cell>
        </row>
        <row r="3507">
          <cell r="C3507" t="str">
            <v>20.1.1.6</v>
          </cell>
          <cell r="D3507" t="str">
            <v xml:space="preserve">Estrutura De Concreto Armado Tipo La4 2200/21 Composta Por Poste Com Tomadas De Terra, Cantoneiras Para Fixação Do Cabo Condutor E Cabo Para-Raios, </v>
          </cell>
          <cell r="E3507" t="str">
            <v>un</v>
          </cell>
          <cell r="F3507"/>
          <cell r="G3507">
            <v>1435.7</v>
          </cell>
          <cell r="H3507">
            <v>0</v>
          </cell>
        </row>
        <row r="3508">
          <cell r="C3508" t="str">
            <v>20.1.1.7</v>
          </cell>
          <cell r="D3508" t="str">
            <v xml:space="preserve">Estrutura De Concreto Armado Tipo La4 2600/23 Composta Por Poste Com Tomadas De Terra, Cantoneiras Para Fixação Do Cabo Condutor E Cabo Para-Raios, </v>
          </cell>
          <cell r="E3508" t="str">
            <v>un</v>
          </cell>
          <cell r="F3508"/>
          <cell r="G3508">
            <v>1435.7</v>
          </cell>
          <cell r="H3508">
            <v>0</v>
          </cell>
        </row>
        <row r="3509">
          <cell r="C3509" t="str">
            <v>20.1.1.8</v>
          </cell>
          <cell r="D3509" t="str">
            <v>Viga De Concreto Armado, Seção Duplo "T", 310 X 230 Mm, Comprimento 7100 Mm, Na Posição Vertical E Horizontal</v>
          </cell>
          <cell r="E3509" t="str">
            <v>un</v>
          </cell>
          <cell r="F3509"/>
          <cell r="G3509">
            <v>374.53</v>
          </cell>
          <cell r="H3509">
            <v>0</v>
          </cell>
        </row>
        <row r="3510">
          <cell r="C3510" t="str">
            <v>20.1.1.9</v>
          </cell>
          <cell r="D3510" t="str">
            <v>Anel De Concreto Armado Pré-Moldado, Tipo Triplo (B-3), Para Fixação De Viga Duplo “T” Ou Retangular, Em Poste De Concreto</v>
          </cell>
          <cell r="E3510" t="str">
            <v>un</v>
          </cell>
          <cell r="F3510"/>
          <cell r="G3510">
            <v>187.27</v>
          </cell>
          <cell r="H3510">
            <v>0</v>
          </cell>
        </row>
        <row r="3511">
          <cell r="C3511" t="str">
            <v>20.1.1.10</v>
          </cell>
          <cell r="D3511" t="str">
            <v>Estrutura De Concreto Armado Tipo Ysg 1000/19 Composta Por Poste Com Tomadas De Terra ,Cruzetas Com Tomadas De Terra, Anéis Parafusos De Máquinas, Parafusos Olhais, Porcas E Arruelas.</v>
          </cell>
          <cell r="E3511" t="str">
            <v>un</v>
          </cell>
          <cell r="F3511"/>
          <cell r="G3511">
            <v>1248.44</v>
          </cell>
          <cell r="H3511">
            <v>0</v>
          </cell>
        </row>
        <row r="3512">
          <cell r="C3512" t="str">
            <v>20.1.1.11</v>
          </cell>
          <cell r="D3512" t="str">
            <v>Estrutura De Concreto Armado Tipo Ysg 1000/20 Composta Por Poste Com Tomadas De Terra ,Cruzetas Com Tomadas De Terra, Anéis Parafusos De Máquinas, Parafusos Olhais, Porcas E Arruelas.</v>
          </cell>
          <cell r="E3512" t="str">
            <v>un</v>
          </cell>
          <cell r="F3512"/>
          <cell r="G3512">
            <v>1248.44</v>
          </cell>
          <cell r="H3512">
            <v>0</v>
          </cell>
        </row>
        <row r="3513">
          <cell r="C3513" t="str">
            <v>20.1.1.12</v>
          </cell>
          <cell r="D3513" t="str">
            <v>Estrutura De Concreto Armado Tipo Ysg 1800/24 Composta Por Poste Com Tomadas De Terra, Cruzetas Com Tomadas De Terra, Anéis Parafusos De Máquinas, Parafusos Olhais, Porcas E Arruelas.</v>
          </cell>
          <cell r="E3513" t="str">
            <v>un</v>
          </cell>
          <cell r="F3513"/>
          <cell r="G3513">
            <v>1248.44</v>
          </cell>
          <cell r="H3513">
            <v>0</v>
          </cell>
        </row>
        <row r="3514">
          <cell r="C3514" t="str">
            <v>20.1.1.13</v>
          </cell>
          <cell r="D3514" t="str">
            <v>Estrutura De Concreto Armado Tipo Hs 2X600/18 Composta Por Postes Com Tomadas De Terra ,Cruzeta Com Tomadas De Terra, Anéis, Parafusos De Máquinas, Parafusos Olhais, Porcas E Arruelas.</v>
          </cell>
          <cell r="E3514" t="str">
            <v>un</v>
          </cell>
          <cell r="F3514"/>
          <cell r="G3514">
            <v>1747.81</v>
          </cell>
          <cell r="H3514">
            <v>0</v>
          </cell>
        </row>
        <row r="3515">
          <cell r="C3515" t="str">
            <v>20.1.1.14</v>
          </cell>
          <cell r="D3515" t="str">
            <v>Estrutura De Concreto Armado Tipo Ha 2X1000/18 Composta Por Postes Com Tomadas De Terra ,Cruzeta Com Tomadas De Terra, Anéis, Chapas Para Estai, Parafusos De Máquinas, Parafusos Olhais, Porcas E Arruelas.</v>
          </cell>
          <cell r="E3515" t="str">
            <v>un</v>
          </cell>
          <cell r="F3515"/>
          <cell r="G3515">
            <v>2184.7600000000002</v>
          </cell>
          <cell r="H3515">
            <v>0</v>
          </cell>
        </row>
        <row r="3516">
          <cell r="C3516" t="str">
            <v>20.1.1.15</v>
          </cell>
          <cell r="D3516" t="str">
            <v>Estrutura De Concreto Armado Tipo Hag 2X1000/18 Composta Por Postes ,Cruzeta, Anéis, Chapas Para Estai, Parafusos De Máquinas, Parafusos Olhais, Porcas E Arruelas.</v>
          </cell>
          <cell r="E3516" t="str">
            <v>un</v>
          </cell>
          <cell r="F3516"/>
          <cell r="G3516">
            <v>2184.7600000000002</v>
          </cell>
          <cell r="H3516">
            <v>0</v>
          </cell>
        </row>
        <row r="3517">
          <cell r="C3517" t="str">
            <v>20.1.1.16</v>
          </cell>
          <cell r="D3517" t="str">
            <v>Estrutura De Concreto Armado Tipo Ap-Pr 1800/20 Composta Por Poste Com Tomadas De Terra ,Cruzetas Com Tomadas De Terra, Cantoneiras, Parafusos De Máquinas, Parafusos Olhais, Porcas E Arruelas.</v>
          </cell>
          <cell r="E3517" t="str">
            <v>un</v>
          </cell>
          <cell r="F3517"/>
          <cell r="G3517">
            <v>1435.7</v>
          </cell>
          <cell r="H3517">
            <v>0</v>
          </cell>
        </row>
        <row r="3518">
          <cell r="C3518" t="str">
            <v>20.1.1.17</v>
          </cell>
          <cell r="D3518" t="str">
            <v>Estrutura De Concreto Armado Tipo Hag 2X2100/24 Composta Por Postes Com Tomadas De Terra ,Cruzeta Com Tomadas De Terra, Anéis, Chapas Para Estai, Parafusos De Máquinas, Parafusos Olhais, Porcas E Arruelas.</v>
          </cell>
          <cell r="E3518" t="str">
            <v>un</v>
          </cell>
          <cell r="F3518"/>
          <cell r="G3518">
            <v>3121.09</v>
          </cell>
          <cell r="H3518">
            <v>0</v>
          </cell>
        </row>
        <row r="3519">
          <cell r="C3519" t="str">
            <v>20.1.1.18</v>
          </cell>
          <cell r="D3519" t="str">
            <v>POSTE DE CONCRETO ARMADO SEÇÃO DUPLO T   AP1-PR  B-6  3000/20,  COM CRUZETA E ANEL DE CONCRETO</v>
          </cell>
          <cell r="E3519" t="str">
            <v>un</v>
          </cell>
          <cell r="F3519"/>
          <cell r="G3519">
            <v>2481.19</v>
          </cell>
          <cell r="H3519">
            <v>0</v>
          </cell>
        </row>
        <row r="3520">
          <cell r="C3520" t="str">
            <v>20.1.1.19</v>
          </cell>
          <cell r="D3520" t="str">
            <v>POSTE DE CONCRETO ARMADO SEÇÃO DUPLO T   AP1  B-6  3000/22, COM CRUZETA E ANEL DE CONCRETO</v>
          </cell>
          <cell r="E3520" t="str">
            <v>un</v>
          </cell>
          <cell r="F3520"/>
          <cell r="G3520">
            <v>2481.19</v>
          </cell>
          <cell r="H3520">
            <v>0</v>
          </cell>
        </row>
        <row r="3521">
          <cell r="C3521" t="str">
            <v>20.1.1.20</v>
          </cell>
          <cell r="D3521" t="str">
            <v>POSTE DE CONCRETO ARMADO SEÇÃO DUPLO T   AP1  B-6  3000/20</v>
          </cell>
          <cell r="E3521" t="str">
            <v>un</v>
          </cell>
          <cell r="F3521"/>
          <cell r="G3521">
            <v>2481.19</v>
          </cell>
          <cell r="H3521">
            <v>0</v>
          </cell>
        </row>
        <row r="3522">
          <cell r="C3522" t="str">
            <v>20.1.1.21</v>
          </cell>
          <cell r="D3522" t="str">
            <v>POSTE DE CONCRETO ARMADO SEÇÃO DUPLO T   AMU1-PR  B-6  3000/20</v>
          </cell>
          <cell r="E3522" t="str">
            <v>un</v>
          </cell>
          <cell r="F3522"/>
          <cell r="G3522">
            <v>2481.19</v>
          </cell>
          <cell r="H3522">
            <v>0</v>
          </cell>
        </row>
        <row r="3523">
          <cell r="C3523" t="str">
            <v>20.1.1.22</v>
          </cell>
          <cell r="D3523" t="str">
            <v>POSTE DE CONCRETO ARMADO SEÇÃO DUPLO T   YS1-PR  B-1  800/20, COM  ANEL DE CONCRETO</v>
          </cell>
          <cell r="E3523" t="str">
            <v>un</v>
          </cell>
          <cell r="F3523"/>
          <cell r="G3523">
            <v>1879.69</v>
          </cell>
          <cell r="H3523">
            <v>0</v>
          </cell>
        </row>
        <row r="3524">
          <cell r="C3524" t="str">
            <v>20.1.1.23</v>
          </cell>
          <cell r="D3524" t="str">
            <v>POSTE DE CONCRETO ARMADO SEÇÃO DUPLO T   YS1-PR  B-1  800/24</v>
          </cell>
          <cell r="E3524" t="str">
            <v>un</v>
          </cell>
          <cell r="F3524"/>
          <cell r="G3524">
            <v>1691.72</v>
          </cell>
          <cell r="H3524">
            <v>0</v>
          </cell>
        </row>
        <row r="3525">
          <cell r="C3525" t="str">
            <v>20.1.1.24</v>
          </cell>
          <cell r="D3525" t="str">
            <v>POSTE DE CONCRETO ARMADO SEÇÃO DUPLO T   YS1  B-1  800/22, COM ANEL DE CONCRETO</v>
          </cell>
          <cell r="E3525" t="str">
            <v>un</v>
          </cell>
          <cell r="F3525"/>
          <cell r="G3525">
            <v>1691.72</v>
          </cell>
          <cell r="H3525">
            <v>0</v>
          </cell>
        </row>
        <row r="3526">
          <cell r="C3526" t="str">
            <v>20.1.1.25</v>
          </cell>
          <cell r="D3526" t="str">
            <v>POSTE DE CONCRETO ARMADO SEÇÃO DUPLO T   YS1  B-1  800/20</v>
          </cell>
          <cell r="E3526" t="str">
            <v>un</v>
          </cell>
          <cell r="F3526"/>
          <cell r="G3526">
            <v>1691.72</v>
          </cell>
          <cell r="H3526">
            <v>0</v>
          </cell>
        </row>
        <row r="3527">
          <cell r="C3527" t="str">
            <v>20.1.1.26</v>
          </cell>
          <cell r="D3527" t="str">
            <v>POSTE DE CONCRETO ARMADO SEÇÃO DUPLO T   SU1-PR  B-1  800/20</v>
          </cell>
          <cell r="E3527" t="str">
            <v>un</v>
          </cell>
          <cell r="F3527"/>
          <cell r="G3527">
            <v>1503.75</v>
          </cell>
          <cell r="H3527">
            <v>0</v>
          </cell>
        </row>
        <row r="3528">
          <cell r="C3528" t="str">
            <v>20.1.1.27</v>
          </cell>
          <cell r="D3528" t="str">
            <v>POSTE DE CONCRETO ARMADO SEÇÃO DUPLO T   T1-PR  B-1  3000/20</v>
          </cell>
          <cell r="E3528" t="str">
            <v>un</v>
          </cell>
          <cell r="F3528"/>
          <cell r="G3528">
            <v>2537.58</v>
          </cell>
          <cell r="H3528">
            <v>0</v>
          </cell>
        </row>
        <row r="3529">
          <cell r="C3529" t="str">
            <v>20.1.1.28</v>
          </cell>
          <cell r="D3529" t="str">
            <v>POSTE DE CONCRETO ARMADO SEÇÃO RETANGULAR  AM1-PR  A-4  4000/24, COM CRUZETA E ANEL DE CONCRETO</v>
          </cell>
          <cell r="E3529" t="str">
            <v>un</v>
          </cell>
          <cell r="F3529"/>
          <cell r="G3529">
            <v>3101.49</v>
          </cell>
          <cell r="H3529">
            <v>0</v>
          </cell>
        </row>
        <row r="3530">
          <cell r="C3530" t="str">
            <v>20.1.1.29</v>
          </cell>
          <cell r="D3530" t="str">
            <v>POSTE DE CONCRETO ARMADO SEÇÃO RETANGULAR  AM1-PR  A-4  4000/20</v>
          </cell>
          <cell r="E3530" t="str">
            <v>un</v>
          </cell>
          <cell r="F3530"/>
          <cell r="G3530">
            <v>2537.58</v>
          </cell>
          <cell r="H3530">
            <v>0</v>
          </cell>
        </row>
        <row r="3531">
          <cell r="C3531" t="str">
            <v>20.1.1.30</v>
          </cell>
          <cell r="D3531" t="str">
            <v>POSTE DE CONCRETO ARMADO SEÇÃO RETANGULAR  AM1   A-4  4000/22,  COM CRUZETA E ANEL DE CONCRETO</v>
          </cell>
          <cell r="E3531" t="str">
            <v>un</v>
          </cell>
          <cell r="F3531"/>
          <cell r="G3531">
            <v>2537.58</v>
          </cell>
          <cell r="H3531">
            <v>0</v>
          </cell>
        </row>
        <row r="3532">
          <cell r="C3532" t="str">
            <v>20.1.1.31</v>
          </cell>
          <cell r="D3532" t="str">
            <v xml:space="preserve">POSTE DE CONCRETO ARMADO SEÇÃO RETANGULAR  AGU1-PR  A-3  3000/20 </v>
          </cell>
          <cell r="E3532" t="str">
            <v>un</v>
          </cell>
          <cell r="F3532"/>
          <cell r="G3532">
            <v>2537.58</v>
          </cell>
          <cell r="H3532">
            <v>0</v>
          </cell>
        </row>
        <row r="3533">
          <cell r="C3533" t="str">
            <v>20.1.2</v>
          </cell>
          <cell r="D3533" t="str">
            <v>FORNECIMENTO</v>
          </cell>
          <cell r="E3533"/>
          <cell r="F3533"/>
          <cell r="G3533"/>
          <cell r="H3533">
            <v>0</v>
          </cell>
        </row>
        <row r="3534">
          <cell r="C3534" t="str">
            <v>20.1.2.1</v>
          </cell>
          <cell r="D3534" t="str">
            <v xml:space="preserve">Estrutura De Concreto Armado Tipo Ys 1800/24 Composta Por Poste Com Tomadas De Terra ,Cruzetas Com Tomadas De Terra, </v>
          </cell>
          <cell r="E3534" t="str">
            <v>un</v>
          </cell>
          <cell r="F3534"/>
          <cell r="G3534">
            <v>7291.08</v>
          </cell>
          <cell r="H3534">
            <v>0</v>
          </cell>
        </row>
        <row r="3535">
          <cell r="C3535" t="str">
            <v>20.1.2.2</v>
          </cell>
          <cell r="D3535" t="str">
            <v xml:space="preserve">Estrutura De Concreto Armado Tipo Ys 1000/18 Composta Por Poste Com Tomadas De Terra ,Cruzetas Com Tomadas De Terra, </v>
          </cell>
          <cell r="E3535" t="str">
            <v>un</v>
          </cell>
          <cell r="F3535"/>
          <cell r="G3535">
            <v>3787.85</v>
          </cell>
          <cell r="H3535">
            <v>0</v>
          </cell>
        </row>
        <row r="3536">
          <cell r="C3536" t="str">
            <v>20.1.2.3</v>
          </cell>
          <cell r="D3536" t="str">
            <v xml:space="preserve">Estrutura De Concreto Armado Tipo Ysg 600/18 Composta Por Poste Com Tomadas De Terra ,Cruzetas Com Tomadas De Terra, </v>
          </cell>
          <cell r="E3536" t="str">
            <v>un</v>
          </cell>
          <cell r="F3536"/>
          <cell r="G3536">
            <v>2886.81</v>
          </cell>
          <cell r="H3536">
            <v>0</v>
          </cell>
        </row>
        <row r="3537">
          <cell r="C3537" t="str">
            <v>20.1.2.4</v>
          </cell>
          <cell r="D3537" t="str">
            <v xml:space="preserve">Estrutura De Concreto Armado Tipo Hsg 2X600/18 Composta Por Postes Com Tomadas De Terra ,Cruzeta Com Tomadas De Terra, </v>
          </cell>
          <cell r="E3537" t="str">
            <v>un</v>
          </cell>
          <cell r="F3537"/>
          <cell r="G3537">
            <v>5767.72</v>
          </cell>
          <cell r="H3537">
            <v>0</v>
          </cell>
        </row>
        <row r="3538">
          <cell r="C3538" t="str">
            <v>20.1.2.5</v>
          </cell>
          <cell r="D3538" t="str">
            <v xml:space="preserve">Estrutura De Concreto Armado Tipo Ap-Pr 2600/24 Composta Por Poste Com Tomadas De Terra ,Cruzetas Com Tomadas De Terra, Cantoneiras, </v>
          </cell>
          <cell r="E3538" t="str">
            <v>un</v>
          </cell>
          <cell r="F3538"/>
          <cell r="G3538">
            <v>9391.39</v>
          </cell>
          <cell r="H3538">
            <v>0</v>
          </cell>
        </row>
        <row r="3539">
          <cell r="C3539" t="str">
            <v>20.1.2.6</v>
          </cell>
          <cell r="D3539" t="str">
            <v xml:space="preserve">Estrutura De Concreto Armado Tipo La4 2200/21 Composta Por Poste Com Tomadas De Terra, Cantoneiras Para Fixação Do Cabo Condutor E Cabo Para-Raios, </v>
          </cell>
          <cell r="E3539" t="str">
            <v>un</v>
          </cell>
          <cell r="F3539"/>
          <cell r="G3539">
            <v>6821.71</v>
          </cell>
          <cell r="H3539">
            <v>0</v>
          </cell>
        </row>
        <row r="3540">
          <cell r="C3540" t="str">
            <v>20.1.2.7</v>
          </cell>
          <cell r="D3540" t="str">
            <v xml:space="preserve">Estrutura De Concreto Armado Tipo La4 2600/23 Composta Por Poste Com Tomadas De Terra, Cantoneiras Para Fixação Do Cabo Condutor E Cabo Para-Raios, </v>
          </cell>
          <cell r="E3540" t="str">
            <v>un</v>
          </cell>
          <cell r="F3540"/>
          <cell r="G3540">
            <v>8671.83</v>
          </cell>
          <cell r="H3540">
            <v>0</v>
          </cell>
        </row>
        <row r="3541">
          <cell r="C3541" t="str">
            <v>20.1.2.8</v>
          </cell>
          <cell r="D3541" t="str">
            <v>Viga De Concreto Armado, Seção Duplo "T", 310 X 230 Mm, Comprimento 7100 Mm, Na Posição Vertical E Horizontal</v>
          </cell>
          <cell r="E3541" t="str">
            <v>un</v>
          </cell>
          <cell r="F3541"/>
          <cell r="G3541">
            <v>1086.23</v>
          </cell>
          <cell r="H3541">
            <v>0</v>
          </cell>
        </row>
        <row r="3542">
          <cell r="C3542" t="str">
            <v>20.1.2.9</v>
          </cell>
          <cell r="D3542" t="str">
            <v>Anel De Concreto Armado Pré-Moldado, Tipo Triplo (B-3), Para Fixação De Viga Duplo “T” Ou Retangular, Em Poste De Concreto</v>
          </cell>
          <cell r="E3542" t="str">
            <v>un</v>
          </cell>
          <cell r="F3542"/>
          <cell r="G3542">
            <v>247.18</v>
          </cell>
          <cell r="H3542">
            <v>0</v>
          </cell>
        </row>
        <row r="3543">
          <cell r="C3543" t="str">
            <v>20.1.2.10</v>
          </cell>
          <cell r="D3543" t="str">
            <v>Estrutura De Concreto Armado Tipo Ysg 1000/19 Composta Por Poste Com Tomadas De Terra ,Cruzetas Com Tomadas De Terra, Anéis Parafusos De Máquinas, Parafusos Olhais, Porcas E Arruelas.</v>
          </cell>
          <cell r="E3543" t="str">
            <v>un</v>
          </cell>
          <cell r="F3543"/>
          <cell r="G3543">
            <v>4327.42</v>
          </cell>
          <cell r="H3543">
            <v>0</v>
          </cell>
        </row>
        <row r="3544">
          <cell r="C3544" t="str">
            <v>20.1.2.11</v>
          </cell>
          <cell r="D3544" t="str">
            <v>Estrutura De Concreto Armado Tipo Ysg 1000/20 Composta Por Poste Com Tomadas De Terra ,Cruzetas Com Tomadas De Terra, Anéis Parafusos De Máquinas, Parafusos Olhais, Porcas E Arruelas.</v>
          </cell>
          <cell r="E3544" t="str">
            <v>un</v>
          </cell>
          <cell r="F3544"/>
          <cell r="G3544">
            <v>4523.6499999999996</v>
          </cell>
          <cell r="H3544">
            <v>0</v>
          </cell>
        </row>
        <row r="3545">
          <cell r="C3545" t="str">
            <v>20.1.2.12</v>
          </cell>
          <cell r="D3545" t="str">
            <v>Estrutura De Concreto Armado Tipo Ysg 1800/24 Composta Por Poste Com Tomadas De Terra, Cruzetas Com Tomadas De Terra, Anéis Parafusos De Máquinas, Parafusos Olhais, Porcas E Arruelas.</v>
          </cell>
          <cell r="E3545" t="str">
            <v>un</v>
          </cell>
          <cell r="F3545"/>
          <cell r="G3545">
            <v>5318.61</v>
          </cell>
          <cell r="H3545">
            <v>0</v>
          </cell>
        </row>
        <row r="3546">
          <cell r="C3546" t="str">
            <v>20.1.2.13</v>
          </cell>
          <cell r="D3546" t="str">
            <v>Estrutura De Concreto Armado Tipo Hs 2X600/18 Composta Por Postes Com Tomadas De Terra ,Cruzeta Com Tomadas De Terra, Anéis, Parafusos De Máquinas, Parafusos Olhais, Porcas E Arruelas.</v>
          </cell>
          <cell r="E3546" t="str">
            <v>un</v>
          </cell>
          <cell r="F3546"/>
          <cell r="G3546">
            <v>5767.72</v>
          </cell>
          <cell r="H3546">
            <v>0</v>
          </cell>
        </row>
        <row r="3547">
          <cell r="C3547" t="str">
            <v>20.1.2.14</v>
          </cell>
          <cell r="D3547" t="str">
            <v>Estrutura De Concreto Armado Tipo Ha 2X1000/18 Composta Por Postes Com Tomadas De Terra ,Cruzeta Com Tomadas De Terra, Anéis, Chapas Para Estai, Parafusos De Máquinas, Parafusos Olhais, Porcas E Arruelas.</v>
          </cell>
          <cell r="E3547" t="str">
            <v>un</v>
          </cell>
          <cell r="F3547"/>
          <cell r="G3547">
            <v>7569.79</v>
          </cell>
          <cell r="H3547">
            <v>0</v>
          </cell>
        </row>
        <row r="3548">
          <cell r="C3548" t="str">
            <v>20.1.2.15</v>
          </cell>
          <cell r="D3548" t="str">
            <v>Estrutura De Concreto Armado Tipo Hag 2X1000/18 Composta Por Postes ,Cruzeta, Anéis, Chapas Para Estai, Parafusos De Máquinas, Parafusos Olhais, Porcas E Arruelas.</v>
          </cell>
          <cell r="E3548" t="str">
            <v>un</v>
          </cell>
          <cell r="F3548"/>
          <cell r="G3548">
            <v>7569.79</v>
          </cell>
          <cell r="H3548">
            <v>0</v>
          </cell>
        </row>
        <row r="3549">
          <cell r="C3549" t="str">
            <v>20.1.2.16</v>
          </cell>
          <cell r="D3549" t="str">
            <v>Estrutura De Concreto Armado Tipo Ap-Pr 1800/20 Composta Por Poste Com Tomadas De Terra ,Cruzetas Com Tomadas De Terra, Cantoneiras, Parafusos De Máquinas, Parafusos Olhais, Porcas E Arruelas.</v>
          </cell>
          <cell r="E3549" t="str">
            <v>un</v>
          </cell>
          <cell r="F3549"/>
          <cell r="G3549">
            <v>6541.42</v>
          </cell>
          <cell r="H3549">
            <v>0</v>
          </cell>
        </row>
        <row r="3550">
          <cell r="C3550" t="str">
            <v>20.1.2.17</v>
          </cell>
          <cell r="D3550" t="str">
            <v>Estrutura De Concreto Armado Tipo Hag 2X2100/24 Composta Por Postes Com Tomadas De Terra ,Cruzeta Com Tomadas De Terra, Anéis, Chapas Para Estai, Parafusos De Máquinas, Parafusos Olhais, Porcas E Arruelas.</v>
          </cell>
          <cell r="E3550" t="str">
            <v>un</v>
          </cell>
          <cell r="F3550"/>
          <cell r="G3550">
            <v>17769.45</v>
          </cell>
          <cell r="H3550">
            <v>0</v>
          </cell>
        </row>
        <row r="3551">
          <cell r="C3551" t="str">
            <v>20.1.2.18</v>
          </cell>
          <cell r="D3551" t="str">
            <v>POSTE DE CONCRETO ARMADO SEÇÃO DUPLO T   AP1-PR  B-6  3000/20</v>
          </cell>
          <cell r="E3551" t="str">
            <v>un</v>
          </cell>
          <cell r="F3551"/>
          <cell r="G3551">
            <v>4959.99</v>
          </cell>
          <cell r="H3551">
            <v>0</v>
          </cell>
        </row>
        <row r="3552">
          <cell r="C3552" t="str">
            <v>20.1.2.19</v>
          </cell>
          <cell r="D3552" t="str">
            <v>POSTE DE CONCRETO ARMADO SEÇÃO DUPLO T   AP1  B-6  3000/22</v>
          </cell>
          <cell r="E3552" t="str">
            <v>un</v>
          </cell>
          <cell r="F3552"/>
          <cell r="G3552">
            <v>5772.41</v>
          </cell>
          <cell r="H3552">
            <v>0</v>
          </cell>
        </row>
        <row r="3553">
          <cell r="C3553" t="str">
            <v>20.1.2.20</v>
          </cell>
          <cell r="D3553" t="str">
            <v>POSTE DE CONCRETO ARMADO SEÇÃO DUPLO T   AP1  B-6  3000/20</v>
          </cell>
          <cell r="E3553" t="str">
            <v>un</v>
          </cell>
          <cell r="F3553"/>
          <cell r="G3553">
            <v>4959.99</v>
          </cell>
          <cell r="H3553">
            <v>0</v>
          </cell>
        </row>
        <row r="3554">
          <cell r="C3554" t="str">
            <v>20.1.2.21</v>
          </cell>
          <cell r="D3554" t="str">
            <v>POSTE DE CONCRETO ARMADO SEÇÃO DUPLO T   AMU1-PR  B-6  3000/20</v>
          </cell>
          <cell r="E3554" t="str">
            <v>un</v>
          </cell>
          <cell r="F3554"/>
          <cell r="G3554">
            <v>4959.99</v>
          </cell>
          <cell r="H3554">
            <v>0</v>
          </cell>
        </row>
        <row r="3555">
          <cell r="C3555" t="str">
            <v>20.1.2.22</v>
          </cell>
          <cell r="D3555" t="str">
            <v>POSTE DE CONCRETO ARMADO SEÇÃO DUPLO T   YS1-PR  B-1  800/20</v>
          </cell>
          <cell r="E3555" t="str">
            <v>un</v>
          </cell>
          <cell r="F3555"/>
          <cell r="G3555">
            <v>2256.91</v>
          </cell>
          <cell r="H3555">
            <v>0</v>
          </cell>
        </row>
        <row r="3556">
          <cell r="C3556" t="str">
            <v>20.1.2.23</v>
          </cell>
          <cell r="D3556" t="str">
            <v>POSTE DE CONCRETO ARMADO SEÇÃO DUPLO T   YS1-PR  B-1  800/24</v>
          </cell>
          <cell r="E3556" t="str">
            <v>un</v>
          </cell>
          <cell r="F3556"/>
          <cell r="G3556">
            <v>2983.54</v>
          </cell>
          <cell r="H3556">
            <v>0</v>
          </cell>
        </row>
        <row r="3557">
          <cell r="C3557" t="str">
            <v>20.1.2.24</v>
          </cell>
          <cell r="D3557" t="str">
            <v>POSTE DE CONCRETO ARMADO SEÇÃO DUPLO T   YS1  B-1  800/22</v>
          </cell>
          <cell r="E3557" t="str">
            <v>un</v>
          </cell>
          <cell r="F3557"/>
          <cell r="G3557">
            <v>2647.41</v>
          </cell>
          <cell r="H3557">
            <v>0</v>
          </cell>
        </row>
        <row r="3558">
          <cell r="C3558" t="str">
            <v>20.1.2.25</v>
          </cell>
          <cell r="D3558" t="str">
            <v>POSTE DE CONCRETO ARMADO SEÇÃO DUPLO T   YS1  B-1  800/20</v>
          </cell>
          <cell r="E3558" t="str">
            <v>un</v>
          </cell>
          <cell r="F3558"/>
          <cell r="G3558">
            <v>2256.91</v>
          </cell>
          <cell r="H3558">
            <v>0</v>
          </cell>
        </row>
        <row r="3559">
          <cell r="C3559" t="str">
            <v>20.1.2.26</v>
          </cell>
          <cell r="D3559" t="str">
            <v>POSTE DE CONCRETO ARMADO SEÇÃO DUPLO T   SU1-PR  B-1  800/20</v>
          </cell>
          <cell r="E3559" t="str">
            <v>un</v>
          </cell>
          <cell r="F3559"/>
          <cell r="G3559">
            <v>2256.91</v>
          </cell>
          <cell r="H3559">
            <v>0</v>
          </cell>
        </row>
        <row r="3560">
          <cell r="C3560" t="str">
            <v>20.1.2.27</v>
          </cell>
          <cell r="D3560" t="str">
            <v>POSTE DE CONCRETO ARMADO SEÇÃO DUPLO T   T1-PR  B-1  3000/20</v>
          </cell>
          <cell r="E3560" t="str">
            <v>un</v>
          </cell>
          <cell r="F3560"/>
          <cell r="G3560">
            <v>4959.99</v>
          </cell>
          <cell r="H3560">
            <v>0</v>
          </cell>
        </row>
        <row r="3561">
          <cell r="C3561" t="str">
            <v>20.1.2.28</v>
          </cell>
          <cell r="D3561" t="str">
            <v>POSTE DE CONCRETO ARMADO SEÇÃO RETANGULAR  AM1-PR  A-4  4000/24</v>
          </cell>
          <cell r="E3561" t="str">
            <v>un</v>
          </cell>
          <cell r="F3561"/>
          <cell r="G3561">
            <v>9307.0400000000009</v>
          </cell>
          <cell r="H3561">
            <v>0</v>
          </cell>
        </row>
        <row r="3562">
          <cell r="C3562" t="str">
            <v>20.1.2.29</v>
          </cell>
          <cell r="D3562" t="str">
            <v>POSTE DE CONCRETO ARMADO SEÇÃO RETANGULAR  AM1-PR  A-4  4000/20</v>
          </cell>
          <cell r="E3562" t="str">
            <v>un</v>
          </cell>
          <cell r="F3562"/>
          <cell r="G3562">
            <v>5419.99</v>
          </cell>
          <cell r="H3562">
            <v>0</v>
          </cell>
        </row>
        <row r="3563">
          <cell r="C3563" t="str">
            <v>20.1.2.30</v>
          </cell>
          <cell r="D3563" t="str">
            <v>POSTE DE CONCRETO ARMADO SEÇÃO RETANGULAR  AM1   A-4  4000/22</v>
          </cell>
          <cell r="E3563" t="str">
            <v>un</v>
          </cell>
          <cell r="F3563"/>
          <cell r="G3563">
            <v>8729.6</v>
          </cell>
          <cell r="H3563">
            <v>0</v>
          </cell>
        </row>
        <row r="3564">
          <cell r="C3564" t="str">
            <v>20.1.2.31</v>
          </cell>
          <cell r="D3564" t="str">
            <v xml:space="preserve">POSTE DE CONCRETO ARMADO SEÇÃO RETANGULAR  AGU1-PR  A-3  3000/20 </v>
          </cell>
          <cell r="E3564" t="str">
            <v>un</v>
          </cell>
          <cell r="F3564"/>
          <cell r="G3564">
            <v>4802.7700000000004</v>
          </cell>
          <cell r="H3564">
            <v>0</v>
          </cell>
        </row>
        <row r="3565">
          <cell r="C3565" t="str">
            <v>20.1.2.32</v>
          </cell>
          <cell r="D3565" t="str">
            <v>ANEL DE CONCRETO DE DIMENSÃO VARIÁVEL PARA SUSPENSÃO DA CRUZETA A-7,5 675;435;455;335</v>
          </cell>
          <cell r="E3565" t="str">
            <v>un</v>
          </cell>
          <cell r="F3565"/>
          <cell r="G3565">
            <v>50.1</v>
          </cell>
          <cell r="H3565">
            <v>0</v>
          </cell>
        </row>
        <row r="3566">
          <cell r="C3566" t="str">
            <v>20.1.2.33</v>
          </cell>
          <cell r="D3566" t="str">
            <v>ANEL DE CONCRETO DE DIMENSÃO VARIÁVEL PARA SUPORTE DA CRUZETA A-8 620; 450; 345</v>
          </cell>
          <cell r="E3566" t="str">
            <v>un</v>
          </cell>
          <cell r="F3566"/>
          <cell r="G3566">
            <v>52.83</v>
          </cell>
          <cell r="H3566">
            <v>0</v>
          </cell>
        </row>
        <row r="3567">
          <cell r="C3567" t="str">
            <v>20.1.2.34</v>
          </cell>
          <cell r="D3567" t="str">
            <v>ANEL DE CONCRETO DE DIMENSÃO VARIÁVEL PARA SUSPENSÃO DA CRUZETA A-6, 620;380;420;300</v>
          </cell>
          <cell r="E3567" t="str">
            <v>un</v>
          </cell>
          <cell r="F3567"/>
          <cell r="G3567">
            <v>52.56</v>
          </cell>
          <cell r="H3567">
            <v>0</v>
          </cell>
        </row>
        <row r="3568">
          <cell r="C3568" t="str">
            <v>20.1.2.35</v>
          </cell>
          <cell r="D3568" t="str">
            <v>ANEL DE CONCRETO DE DIMENSÃO VARIÁVEL PARA SUSPENSÃO DA CRUZETA B-9,5 675;435;450;330</v>
          </cell>
          <cell r="E3568" t="str">
            <v>un</v>
          </cell>
          <cell r="F3568"/>
          <cell r="G3568">
            <v>52.23</v>
          </cell>
          <cell r="H3568">
            <v>0</v>
          </cell>
        </row>
        <row r="3569">
          <cell r="C3569" t="str">
            <v>20.1.2.36</v>
          </cell>
          <cell r="D3569" t="str">
            <v>ANEL DE CONCRETO DE B-2,5 PARA SUSPENSÃO DA CRUZETA COSMOS DIMENSÕES 190;370;240;360</v>
          </cell>
          <cell r="E3569" t="str">
            <v>un</v>
          </cell>
          <cell r="F3569"/>
          <cell r="G3569">
            <v>52.56</v>
          </cell>
          <cell r="H3569">
            <v>0</v>
          </cell>
        </row>
        <row r="3570">
          <cell r="C3570" t="str">
            <v>20.1.2.37</v>
          </cell>
          <cell r="D3570" t="str">
            <v>ANEL DE CONCRETO DE B-1 PARA SUSPENSÃO DA CRUZETA COSMOS DIMENSÕES 160;340;200;320</v>
          </cell>
          <cell r="E3570" t="str">
            <v>un</v>
          </cell>
          <cell r="F3570"/>
          <cell r="G3570">
            <v>52.83</v>
          </cell>
          <cell r="H3570">
            <v>0</v>
          </cell>
        </row>
        <row r="3571">
          <cell r="C3571" t="str">
            <v>20.1.2.38</v>
          </cell>
          <cell r="D3571" t="str">
            <v>ANEL DE CONCRETO DE B-4 PARA SUSPENSÃO DA CRUZETA COSMOS DIMENSÕES 220;400;280;400</v>
          </cell>
          <cell r="E3571" t="str">
            <v>un</v>
          </cell>
          <cell r="F3571"/>
          <cell r="G3571">
            <v>52.83</v>
          </cell>
          <cell r="H3571">
            <v>0</v>
          </cell>
        </row>
        <row r="3572">
          <cell r="C3572" t="str">
            <v>20.1.2.39</v>
          </cell>
          <cell r="D3572" t="str">
            <v>ANEL DE CONCRETO DE DIMENSÃO VARIÁVEL PARA SUPORTE DA CRUZETA B-10 620; 450; 350</v>
          </cell>
          <cell r="E3572" t="str">
            <v>un</v>
          </cell>
          <cell r="F3572"/>
          <cell r="G3572">
            <v>52.83</v>
          </cell>
          <cell r="H3572">
            <v>0</v>
          </cell>
        </row>
        <row r="3573">
          <cell r="C3573" t="str">
            <v>20.1.2.40</v>
          </cell>
          <cell r="D3573" t="str">
            <v>CRUZETA DE CONCRETO ARMADO DE 4300MM SUSPENSA 640MM</v>
          </cell>
          <cell r="E3573" t="str">
            <v>un</v>
          </cell>
          <cell r="F3573"/>
          <cell r="G3573">
            <v>565.35</v>
          </cell>
          <cell r="H3573">
            <v>0</v>
          </cell>
        </row>
        <row r="3574">
          <cell r="C3574" t="str">
            <v>20.1.2.41</v>
          </cell>
          <cell r="D3574" t="str">
            <v>CRUZETA DE CONCRETO ARMADO TIO COSMOS DE 3710MM</v>
          </cell>
          <cell r="E3574" t="str">
            <v>un</v>
          </cell>
          <cell r="F3574"/>
          <cell r="G3574">
            <v>257.39</v>
          </cell>
          <cell r="H3574">
            <v>0</v>
          </cell>
        </row>
        <row r="3575">
          <cell r="C3575" t="str">
            <v>20.1.2.42</v>
          </cell>
          <cell r="D3575" t="str">
            <v>CRUZETA DE CONCRETO ARMADO DE 4300MM SUSPENSA 450;340MM</v>
          </cell>
          <cell r="E3575" t="str">
            <v>un</v>
          </cell>
          <cell r="F3575"/>
          <cell r="G3575">
            <v>565.35</v>
          </cell>
          <cell r="H3575">
            <v>0</v>
          </cell>
        </row>
        <row r="3576">
          <cell r="C3576" t="str">
            <v>20.2</v>
          </cell>
          <cell r="D3576" t="str">
            <v>CONDUTORES</v>
          </cell>
          <cell r="E3576"/>
          <cell r="F3576"/>
          <cell r="G3576"/>
          <cell r="H3576">
            <v>0</v>
          </cell>
        </row>
        <row r="3577">
          <cell r="C3577" t="str">
            <v>20.2.1</v>
          </cell>
          <cell r="D3577" t="str">
            <v>MONTAGEM</v>
          </cell>
          <cell r="E3577"/>
          <cell r="F3577"/>
          <cell r="G3577"/>
          <cell r="H3577">
            <v>0</v>
          </cell>
        </row>
        <row r="3578">
          <cell r="C3578" t="str">
            <v>20.2.1.1</v>
          </cell>
          <cell r="D3578" t="str">
            <v xml:space="preserve">Cabo De Aluminio Liga 6201, 312,8 Mcm, Butte 19 Fios </v>
          </cell>
          <cell r="E3578" t="str">
            <v>m</v>
          </cell>
          <cell r="F3578"/>
          <cell r="G3578">
            <v>9.2899999999999991</v>
          </cell>
          <cell r="H3578">
            <v>0</v>
          </cell>
        </row>
        <row r="3579">
          <cell r="C3579" t="str">
            <v>20.2.1.2</v>
          </cell>
          <cell r="D3579" t="str">
            <v>Olhal Para Parafuso M20 Em Aço Zincado A Quente, Carga De Ruptura 12000 Dan</v>
          </cell>
          <cell r="E3579" t="str">
            <v>un</v>
          </cell>
          <cell r="F3579"/>
          <cell r="G3579">
            <v>0.52</v>
          </cell>
          <cell r="H3579">
            <v>0</v>
          </cell>
        </row>
        <row r="3580">
          <cell r="C3580" t="str">
            <v>20.2.1.3</v>
          </cell>
          <cell r="D3580" t="str">
            <v>Arruela Quadrada Fabricada Em Aço Zincado, Diametro Do Furo 22 Mm, Dimensões 50X5 Mm</v>
          </cell>
          <cell r="E3580" t="str">
            <v>un</v>
          </cell>
          <cell r="F3580"/>
          <cell r="G3580">
            <v>0.35</v>
          </cell>
          <cell r="H3580">
            <v>0</v>
          </cell>
        </row>
        <row r="3581">
          <cell r="C3581" t="str">
            <v>20.2.1.5</v>
          </cell>
          <cell r="D3581" t="str">
            <v>Isolador De Suspensão Composto (Polimerico), 72,5 Kv, Distância De Escoamento 2330 Mm, Comprimento 850 Mm, Carga Mecânica Nominal 120 Kn, Concha Bola</v>
          </cell>
          <cell r="E3581" t="str">
            <v>un</v>
          </cell>
          <cell r="F3581"/>
          <cell r="G3581">
            <v>93.87</v>
          </cell>
          <cell r="H3581">
            <v>0</v>
          </cell>
        </row>
        <row r="3582">
          <cell r="C3582" t="str">
            <v>20.2.1.6</v>
          </cell>
          <cell r="D3582" t="str">
            <v xml:space="preserve">Elo Bola Aço Zincado M16 L=260 12000 Dan </v>
          </cell>
          <cell r="E3582" t="str">
            <v>un</v>
          </cell>
          <cell r="F3582"/>
          <cell r="G3582">
            <v>19.41</v>
          </cell>
          <cell r="H3582">
            <v>0</v>
          </cell>
        </row>
        <row r="3583">
          <cell r="C3583" t="str">
            <v>20.2.1.7</v>
          </cell>
          <cell r="D3583" t="str">
            <v>Manilha Aço Zincado 20Mm C/Paraf. Porca E Cupilha 16000Dan</v>
          </cell>
          <cell r="E3583" t="str">
            <v>un</v>
          </cell>
          <cell r="F3583"/>
          <cell r="G3583">
            <v>23.3</v>
          </cell>
          <cell r="H3583">
            <v>0</v>
          </cell>
        </row>
        <row r="3584">
          <cell r="C3584" t="str">
            <v>20.2.1.8</v>
          </cell>
          <cell r="D3584" t="str">
            <v>ISOLADOR LINE-POST POLIMÉRICO DA CLASSE DE TENSÃO 72KV</v>
          </cell>
          <cell r="E3584" t="str">
            <v>un</v>
          </cell>
          <cell r="F3584"/>
          <cell r="G3584">
            <v>6.36</v>
          </cell>
          <cell r="H3584">
            <v>0</v>
          </cell>
        </row>
        <row r="3585">
          <cell r="C3585" t="str">
            <v>20.2.1.9</v>
          </cell>
          <cell r="D3585" t="str">
            <v>Grampo De Suspensão Para Cordoalha De Aço Zincado  5/16"</v>
          </cell>
          <cell r="E3585" t="str">
            <v>un</v>
          </cell>
          <cell r="F3585"/>
          <cell r="G3585">
            <v>90.76</v>
          </cell>
          <cell r="H3585">
            <v>0</v>
          </cell>
        </row>
        <row r="3586">
          <cell r="C3586" t="str">
            <v>20.2.1.10</v>
          </cell>
          <cell r="D3586" t="str">
            <v>Parafuso De Máquina, Cabeça Quadrada, Em Aço Zincado, Rosca M16 X 2, Comprimento Total A = 400, Parte Rosqueada B = 320 Mm, Completo Com Duas Porcas Quadrada</v>
          </cell>
          <cell r="E3586" t="str">
            <v>un</v>
          </cell>
          <cell r="F3586"/>
          <cell r="G3586">
            <v>2.8</v>
          </cell>
          <cell r="H3586">
            <v>0</v>
          </cell>
        </row>
        <row r="3587">
          <cell r="C3587" t="str">
            <v>20.2.1.11</v>
          </cell>
          <cell r="D3587" t="str">
            <v>Gancho Bola Aço Zincado 12000Dan</v>
          </cell>
          <cell r="E3587" t="str">
            <v>un</v>
          </cell>
          <cell r="F3587"/>
          <cell r="G3587">
            <v>19.41</v>
          </cell>
          <cell r="H3587">
            <v>0</v>
          </cell>
        </row>
        <row r="3588">
          <cell r="C3588" t="str">
            <v>20.2.1.12</v>
          </cell>
          <cell r="D3588" t="str">
            <v xml:space="preserve">Concha-Olhal Aço Zincado 12000 Dan </v>
          </cell>
          <cell r="E3588" t="str">
            <v>un</v>
          </cell>
          <cell r="F3588"/>
          <cell r="G3588">
            <v>17.88</v>
          </cell>
          <cell r="H3588">
            <v>0</v>
          </cell>
        </row>
        <row r="3589">
          <cell r="C3589" t="str">
            <v>20.2.1.13</v>
          </cell>
          <cell r="D3589" t="str">
            <v>PROLONGADOR GARFO OLHAL 18MM CARGA DE RUPTURA DE 120KN</v>
          </cell>
          <cell r="E3589" t="str">
            <v>un</v>
          </cell>
          <cell r="F3589"/>
          <cell r="G3589">
            <v>5.09</v>
          </cell>
          <cell r="H3589">
            <v>0</v>
          </cell>
        </row>
        <row r="3590">
          <cell r="C3590" t="str">
            <v>20.2.2</v>
          </cell>
          <cell r="D3590" t="str">
            <v>FORNECIMENTO</v>
          </cell>
          <cell r="E3590"/>
          <cell r="F3590"/>
          <cell r="G3590">
            <v>0</v>
          </cell>
          <cell r="H3590">
            <v>0</v>
          </cell>
        </row>
        <row r="3591">
          <cell r="C3591" t="str">
            <v>20.2.2.1</v>
          </cell>
          <cell r="D3591" t="str">
            <v xml:space="preserve">Cabo De Aluminio Liga 6201, 312,8 Mcm, Butte 19 Fios </v>
          </cell>
          <cell r="E3591" t="str">
            <v>m</v>
          </cell>
          <cell r="F3591"/>
          <cell r="G3591">
            <v>6.34</v>
          </cell>
          <cell r="H3591">
            <v>0</v>
          </cell>
        </row>
        <row r="3592">
          <cell r="C3592" t="str">
            <v>20.2.2.2</v>
          </cell>
          <cell r="D3592" t="str">
            <v>Olhal Para Parafuso M20 Em Aço Zincado A Quente, Carga De Ruptura 12000 Dan</v>
          </cell>
          <cell r="E3592" t="str">
            <v>un</v>
          </cell>
          <cell r="F3592"/>
          <cell r="G3592">
            <v>3.68</v>
          </cell>
          <cell r="H3592">
            <v>0</v>
          </cell>
        </row>
        <row r="3593">
          <cell r="C3593" t="str">
            <v>20.2.2.3</v>
          </cell>
          <cell r="D3593" t="str">
            <v>Arruela Quadrada Fabricada Em Aço Zincado, Diametro Do Furo 22 Mm, Dimensões 50X5 Mm</v>
          </cell>
          <cell r="E3593" t="str">
            <v>un</v>
          </cell>
          <cell r="F3593"/>
          <cell r="G3593">
            <v>0.7</v>
          </cell>
          <cell r="H3593">
            <v>0</v>
          </cell>
        </row>
        <row r="3594">
          <cell r="C3594" t="str">
            <v>20.2.2.5</v>
          </cell>
          <cell r="D3594" t="str">
            <v>Isolador De Suspensão Composto (Polimerico), 72,5 Kv, Distância De Escoamento 2330 Mm, Comprimento 850 Mm, Carga Mecânica Nominal 120 Kn, Concha Bola</v>
          </cell>
          <cell r="E3594" t="str">
            <v>un</v>
          </cell>
          <cell r="F3594"/>
          <cell r="G3594">
            <v>124.14</v>
          </cell>
          <cell r="H3594">
            <v>0</v>
          </cell>
        </row>
        <row r="3595">
          <cell r="C3595" t="str">
            <v>20.2.2.6</v>
          </cell>
          <cell r="D3595" t="str">
            <v xml:space="preserve">Elo Bola Aço Zincado M16 L=260 12000 Dan </v>
          </cell>
          <cell r="E3595" t="str">
            <v>un</v>
          </cell>
          <cell r="F3595"/>
          <cell r="G3595">
            <v>9.91</v>
          </cell>
          <cell r="H3595">
            <v>0</v>
          </cell>
        </row>
        <row r="3596">
          <cell r="C3596" t="str">
            <v>20.2.2.7</v>
          </cell>
          <cell r="D3596" t="str">
            <v>Manilha Aço Zincado 20Mm C/Paraf. Porca E Cupilha 16000Dan</v>
          </cell>
          <cell r="E3596" t="str">
            <v>un</v>
          </cell>
          <cell r="F3596"/>
          <cell r="G3596">
            <v>31.53</v>
          </cell>
          <cell r="H3596">
            <v>0</v>
          </cell>
        </row>
        <row r="3597">
          <cell r="C3597" t="str">
            <v>20.2.2.8</v>
          </cell>
          <cell r="D3597" t="str">
            <v>ISOLADOR LINE-POST POLIMÉRICO DA CLASSE DE TENSÃO 72KV</v>
          </cell>
          <cell r="E3597" t="str">
            <v>un</v>
          </cell>
          <cell r="F3597"/>
          <cell r="G3597">
            <v>485.3</v>
          </cell>
          <cell r="H3597">
            <v>0</v>
          </cell>
        </row>
        <row r="3598">
          <cell r="C3598" t="str">
            <v>20.2.2.9</v>
          </cell>
          <cell r="D3598" t="str">
            <v>Grampo De Suspensão Para Cordoalha De Aço Zincado  5/16"</v>
          </cell>
          <cell r="E3598" t="str">
            <v>un</v>
          </cell>
          <cell r="F3598"/>
          <cell r="G3598">
            <v>61.6</v>
          </cell>
          <cell r="H3598">
            <v>0</v>
          </cell>
        </row>
        <row r="3599">
          <cell r="C3599" t="str">
            <v>20.2.2.10</v>
          </cell>
          <cell r="D3599" t="str">
            <v>Parafuso De Máquina, Cabeça Quadrada, Em Aço Zincado, Rosca M16 X 2, Comprimento Total A = 400, Parte Rosqueada B = 320 Mm, Completo Com Duas Porcas Quadrada</v>
          </cell>
          <cell r="E3599" t="str">
            <v>un</v>
          </cell>
          <cell r="F3599"/>
          <cell r="G3599">
            <v>3.52</v>
          </cell>
          <cell r="H3599">
            <v>0</v>
          </cell>
        </row>
        <row r="3600">
          <cell r="C3600" t="str">
            <v>20.2.2.11</v>
          </cell>
          <cell r="D3600" t="str">
            <v>Gancho Com Bola, Aço Forjado Galvanizado A Fogo Carga De Ruptura 6000 Kg. (Pos 56) Ref.; Sade.</v>
          </cell>
          <cell r="E3600" t="str">
            <v>un</v>
          </cell>
          <cell r="F3600"/>
          <cell r="G3600">
            <v>43.78</v>
          </cell>
          <cell r="H3600">
            <v>0</v>
          </cell>
        </row>
        <row r="3601">
          <cell r="C3601" t="str">
            <v>20.2.2.12</v>
          </cell>
          <cell r="D3601" t="str">
            <v>Gancho Bola Aço Zincado 12000Dan</v>
          </cell>
          <cell r="E3601" t="str">
            <v>un</v>
          </cell>
          <cell r="F3601"/>
          <cell r="G3601"/>
          <cell r="H3601">
            <v>0</v>
          </cell>
        </row>
        <row r="3602">
          <cell r="C3602" t="str">
            <v>20.2.2.13</v>
          </cell>
          <cell r="D3602" t="str">
            <v>PROLONGADOR GARFO OLHAL 18MM CARGA DE RUPTURA DE 120KN</v>
          </cell>
          <cell r="E3602" t="str">
            <v>un</v>
          </cell>
          <cell r="F3602"/>
          <cell r="G3602">
            <v>46.56</v>
          </cell>
          <cell r="H3602">
            <v>0</v>
          </cell>
        </row>
        <row r="3603">
          <cell r="C3603" t="str">
            <v>20.3</v>
          </cell>
          <cell r="D3603" t="str">
            <v>CADEIA DE ISOLADORES</v>
          </cell>
          <cell r="E3603"/>
          <cell r="F3603"/>
          <cell r="G3603">
            <v>0</v>
          </cell>
          <cell r="H3603">
            <v>0</v>
          </cell>
        </row>
        <row r="3604">
          <cell r="C3604" t="str">
            <v>20.3.1</v>
          </cell>
          <cell r="D3604" t="str">
            <v>MONTAGEM</v>
          </cell>
          <cell r="E3604"/>
          <cell r="F3604"/>
          <cell r="G3604">
            <v>0</v>
          </cell>
          <cell r="H3604">
            <v>0</v>
          </cell>
        </row>
        <row r="3605">
          <cell r="C3605" t="str">
            <v>20.3.1.1</v>
          </cell>
          <cell r="D3605" t="str">
            <v>Alça Pref. De Distribuição P/ Cabo De Alumínio Liga 312,8 Mcm, Butte 19 Fios</v>
          </cell>
          <cell r="E3605" t="str">
            <v>un</v>
          </cell>
          <cell r="F3605"/>
          <cell r="G3605">
            <v>21.45</v>
          </cell>
          <cell r="H3605">
            <v>0</v>
          </cell>
        </row>
        <row r="3606">
          <cell r="C3606" t="str">
            <v>20.3.1.2</v>
          </cell>
          <cell r="D3606" t="str">
            <v xml:space="preserve">Concha-Olhal Aço Zincado 12000 Dan </v>
          </cell>
          <cell r="E3606" t="str">
            <v>un</v>
          </cell>
          <cell r="F3606"/>
          <cell r="G3606">
            <v>17.88</v>
          </cell>
          <cell r="H3606">
            <v>0</v>
          </cell>
        </row>
        <row r="3607">
          <cell r="C3607" t="str">
            <v>20.3.1.3</v>
          </cell>
          <cell r="D3607" t="str">
            <v xml:space="preserve">Conchilha Aço Zincado 8000Dan </v>
          </cell>
          <cell r="E3607" t="str">
            <v>un</v>
          </cell>
          <cell r="F3607"/>
          <cell r="G3607">
            <v>17.88</v>
          </cell>
          <cell r="H3607">
            <v>0</v>
          </cell>
        </row>
        <row r="3608">
          <cell r="C3608" t="str">
            <v>20.3.1.4</v>
          </cell>
          <cell r="D3608" t="str">
            <v xml:space="preserve">Elo Bola Aço Zincado M16 L=260 12000 Dan </v>
          </cell>
          <cell r="E3608" t="str">
            <v>un</v>
          </cell>
          <cell r="F3608"/>
          <cell r="G3608">
            <v>19.41</v>
          </cell>
          <cell r="H3608">
            <v>0</v>
          </cell>
        </row>
        <row r="3609">
          <cell r="C3609" t="str">
            <v>20.3.1.5</v>
          </cell>
          <cell r="D3609" t="str">
            <v>Gancho Bola Aço Zincado 12000Dan</v>
          </cell>
          <cell r="E3609" t="str">
            <v>un</v>
          </cell>
          <cell r="F3609"/>
          <cell r="G3609">
            <v>19.41</v>
          </cell>
          <cell r="H3609">
            <v>0</v>
          </cell>
        </row>
        <row r="3610">
          <cell r="C3610" t="str">
            <v>20.3.1.6</v>
          </cell>
          <cell r="D3610" t="str">
            <v>Grampo De Susp. Preformado P/ Cabo Alumínio Liga 312,8 Mcm, Butte 19 Fios</v>
          </cell>
          <cell r="E3610" t="str">
            <v>un</v>
          </cell>
          <cell r="F3610"/>
          <cell r="G3610">
            <v>38.83</v>
          </cell>
          <cell r="H3610">
            <v>0</v>
          </cell>
        </row>
        <row r="3611">
          <cell r="C3611" t="str">
            <v>20.3.1.7</v>
          </cell>
          <cell r="D3611" t="str">
            <v>Isolador De Suspensão Composto (Polimerico), 72,5 Kv, Distância De Escoamento 2330 Mm, Comprimento 850 Mm, Carga Mecânica Nominal 120 Kn, Concha Bola</v>
          </cell>
          <cell r="E3611" t="str">
            <v>un</v>
          </cell>
          <cell r="F3611"/>
          <cell r="G3611">
            <v>93.87</v>
          </cell>
          <cell r="H3611">
            <v>0</v>
          </cell>
        </row>
        <row r="3612">
          <cell r="C3612" t="str">
            <v>20.3.1.8</v>
          </cell>
          <cell r="D3612" t="str">
            <v>Manilha Aço Zincado 20Mm C/Paraf. Porca E Cupilha 16000Dan</v>
          </cell>
          <cell r="E3612" t="str">
            <v>un</v>
          </cell>
          <cell r="F3612"/>
          <cell r="G3612">
            <v>23.3</v>
          </cell>
          <cell r="H3612">
            <v>0</v>
          </cell>
        </row>
        <row r="3613">
          <cell r="C3613" t="str">
            <v>20.3.1.9</v>
          </cell>
          <cell r="D3613" t="str">
            <v>Grampo De Ancoragem Passante Para Cabo 312 Mcm Aluminio 12000 Dan</v>
          </cell>
          <cell r="E3613" t="str">
            <v>un</v>
          </cell>
          <cell r="F3613"/>
          <cell r="G3613">
            <v>155.30000000000001</v>
          </cell>
          <cell r="H3613">
            <v>0</v>
          </cell>
        </row>
        <row r="3614">
          <cell r="C3614" t="str">
            <v>20.3.1.10</v>
          </cell>
          <cell r="D3614" t="str">
            <v>Grampo De Suspensão Triarticulado Para Cabo 312 Mcm Aluminio 12000 Dan</v>
          </cell>
          <cell r="E3614" t="str">
            <v>un</v>
          </cell>
          <cell r="F3614"/>
          <cell r="G3614">
            <v>155.30000000000001</v>
          </cell>
          <cell r="H3614">
            <v>0</v>
          </cell>
        </row>
        <row r="3615">
          <cell r="C3615" t="str">
            <v>20.3.1.11</v>
          </cell>
          <cell r="D3615" t="str">
            <v>Conector; Cunha; L. Alumin; Caa 312, 8 Mcm  Butte ; – C/ Cartucho</v>
          </cell>
          <cell r="E3615" t="str">
            <v>un</v>
          </cell>
          <cell r="F3615"/>
          <cell r="G3615">
            <v>23.3</v>
          </cell>
          <cell r="H3615">
            <v>0</v>
          </cell>
        </row>
        <row r="3616">
          <cell r="C3616" t="str">
            <v>20.3.2</v>
          </cell>
          <cell r="D3616" t="str">
            <v>FORNECIMENTO</v>
          </cell>
          <cell r="E3616"/>
          <cell r="F3616"/>
          <cell r="G3616"/>
          <cell r="H3616">
            <v>0</v>
          </cell>
        </row>
        <row r="3617">
          <cell r="C3617" t="str">
            <v>20.3.2.1</v>
          </cell>
          <cell r="D3617" t="str">
            <v>Alça Pref. De Distribuição P/ Cabo De Alumínio Liga 312,8 Mcm, Butte 19 Fios</v>
          </cell>
          <cell r="E3617" t="str">
            <v>un</v>
          </cell>
          <cell r="F3617"/>
          <cell r="G3617">
            <v>0</v>
          </cell>
          <cell r="H3617">
            <v>0</v>
          </cell>
        </row>
        <row r="3618">
          <cell r="C3618" t="str">
            <v>20.3.2.2</v>
          </cell>
          <cell r="D3618" t="str">
            <v xml:space="preserve">Concha-Olhal Aço Zincado 12000 Dan </v>
          </cell>
          <cell r="E3618" t="str">
            <v>un</v>
          </cell>
          <cell r="F3618"/>
          <cell r="G3618">
            <v>39.57</v>
          </cell>
          <cell r="H3618">
            <v>0</v>
          </cell>
        </row>
        <row r="3619">
          <cell r="C3619" t="str">
            <v>20.3.2.3</v>
          </cell>
          <cell r="D3619" t="str">
            <v xml:space="preserve">Conchilha Aço Zincado 8000Dan </v>
          </cell>
          <cell r="E3619" t="str">
            <v>un</v>
          </cell>
          <cell r="F3619"/>
          <cell r="G3619">
            <v>4.3499999999999996</v>
          </cell>
          <cell r="H3619">
            <v>0</v>
          </cell>
        </row>
        <row r="3620">
          <cell r="C3620" t="str">
            <v>20.3.2.4</v>
          </cell>
          <cell r="D3620" t="str">
            <v xml:space="preserve">Elo Bola Aço Zincado M16 L=260 12000 Dan </v>
          </cell>
          <cell r="E3620" t="str">
            <v>un</v>
          </cell>
          <cell r="F3620"/>
          <cell r="G3620">
            <v>9.91</v>
          </cell>
          <cell r="H3620">
            <v>0</v>
          </cell>
        </row>
        <row r="3621">
          <cell r="C3621" t="str">
            <v>20.3.2.5</v>
          </cell>
          <cell r="D3621" t="str">
            <v>Gancho Bola Aço Zincado 12000Dan</v>
          </cell>
          <cell r="E3621" t="str">
            <v>un</v>
          </cell>
          <cell r="F3621"/>
          <cell r="G3621">
            <v>0</v>
          </cell>
          <cell r="H3621">
            <v>0</v>
          </cell>
        </row>
        <row r="3622">
          <cell r="C3622" t="str">
            <v>20.3.2.6</v>
          </cell>
          <cell r="D3622" t="str">
            <v>Grampo De Susp. Preformado P/ Cabo Alumínio Liga 312,8 Mcm, Butte 19 Fios</v>
          </cell>
          <cell r="E3622" t="str">
            <v>un</v>
          </cell>
          <cell r="F3622"/>
          <cell r="G3622">
            <v>85</v>
          </cell>
          <cell r="H3622">
            <v>0</v>
          </cell>
        </row>
        <row r="3623">
          <cell r="C3623" t="str">
            <v>20.3.2.7</v>
          </cell>
          <cell r="D3623" t="str">
            <v>Isolador De Suspensão Composto (Polimerico), 72,5 Kv, Distância De Escoamento 2330 Mm, Comprimento 850 Mm, Carga Mecânica Nominal 120 Kn, Concha Bola</v>
          </cell>
          <cell r="E3623" t="str">
            <v>un</v>
          </cell>
          <cell r="F3623"/>
          <cell r="G3623">
            <v>124.14</v>
          </cell>
          <cell r="H3623">
            <v>0</v>
          </cell>
        </row>
        <row r="3624">
          <cell r="C3624" t="str">
            <v>20.3.2.8</v>
          </cell>
          <cell r="D3624" t="str">
            <v>Manilha Aço Zincado 20Mm C/Paraf. Porca E Cupilha 16000Dan</v>
          </cell>
          <cell r="E3624" t="str">
            <v>un</v>
          </cell>
          <cell r="F3624"/>
          <cell r="G3624">
            <v>31.53</v>
          </cell>
          <cell r="H3624">
            <v>0</v>
          </cell>
        </row>
        <row r="3625">
          <cell r="C3625" t="str">
            <v>20.3.2.9</v>
          </cell>
          <cell r="D3625" t="str">
            <v>Grampo De Ancoragem Passante Para Cabo 312 Mcm Aluminio 12000 Dan</v>
          </cell>
          <cell r="E3625" t="str">
            <v>un</v>
          </cell>
          <cell r="F3625"/>
          <cell r="G3625">
            <v>73.75</v>
          </cell>
          <cell r="H3625">
            <v>0</v>
          </cell>
        </row>
        <row r="3626">
          <cell r="C3626" t="str">
            <v>20.4</v>
          </cell>
          <cell r="D3626" t="str">
            <v>FIXAÇAO E ATERRAMENTO DO CABO PARA RAIOS</v>
          </cell>
          <cell r="E3626"/>
          <cell r="F3626"/>
          <cell r="G3626"/>
          <cell r="H3626">
            <v>0</v>
          </cell>
        </row>
        <row r="3627">
          <cell r="C3627" t="str">
            <v>20.4.1</v>
          </cell>
          <cell r="D3627" t="str">
            <v>MONTAGEM</v>
          </cell>
          <cell r="E3627"/>
          <cell r="F3627"/>
          <cell r="G3627"/>
          <cell r="H3627">
            <v>0</v>
          </cell>
        </row>
        <row r="3628">
          <cell r="C3628" t="str">
            <v>20.4.1.1</v>
          </cell>
          <cell r="D3628" t="str">
            <v>Alça Preformada De Distribuição Aço Zincado 5/16"</v>
          </cell>
          <cell r="E3628" t="str">
            <v>un</v>
          </cell>
          <cell r="F3628"/>
          <cell r="G3628">
            <v>38.049999999999997</v>
          </cell>
          <cell r="H3628">
            <v>0</v>
          </cell>
        </row>
        <row r="3629">
          <cell r="C3629" t="str">
            <v>20.4.1.2</v>
          </cell>
          <cell r="D3629" t="str">
            <v>Elo Olhal 90º</v>
          </cell>
          <cell r="E3629" t="str">
            <v>un</v>
          </cell>
          <cell r="F3629"/>
          <cell r="G3629">
            <v>22.83</v>
          </cell>
          <cell r="H3629">
            <v>0</v>
          </cell>
        </row>
        <row r="3630">
          <cell r="C3630" t="str">
            <v>20.4.1.3</v>
          </cell>
          <cell r="D3630" t="str">
            <v>Cordoalha Aço Zincado - Para-Raios 7 Fios 7,9 Mm (5/16") Ehs</v>
          </cell>
          <cell r="E3630" t="str">
            <v>m</v>
          </cell>
          <cell r="F3630"/>
          <cell r="G3630">
            <v>23.25</v>
          </cell>
          <cell r="H3630">
            <v>0</v>
          </cell>
        </row>
        <row r="3631">
          <cell r="C3631" t="str">
            <v>20.4.1.4</v>
          </cell>
          <cell r="D3631" t="str">
            <v>Cordoalha Aço Zincado 7 Fios 7,9 Mm (5/16") Sm</v>
          </cell>
          <cell r="E3631" t="str">
            <v>m</v>
          </cell>
          <cell r="F3631"/>
          <cell r="G3631">
            <v>16.93</v>
          </cell>
          <cell r="H3631">
            <v>0</v>
          </cell>
        </row>
        <row r="3632">
          <cell r="C3632" t="str">
            <v>20.4.1.5</v>
          </cell>
          <cell r="D3632" t="str">
            <v>Grampo De Suspensão Para Cordoalha De Aço Zincado  5/16"</v>
          </cell>
          <cell r="E3632" t="str">
            <v>un</v>
          </cell>
          <cell r="F3632"/>
          <cell r="G3632">
            <v>90.76</v>
          </cell>
          <cell r="H3632">
            <v>0</v>
          </cell>
        </row>
        <row r="3633">
          <cell r="C3633" t="str">
            <v>20.4.1.6</v>
          </cell>
          <cell r="D3633" t="str">
            <v>Manilha Aço Zincado 20Mmc/Paraf. Porca E Cupilha 16000Dan</v>
          </cell>
          <cell r="E3633" t="str">
            <v>un</v>
          </cell>
          <cell r="F3633"/>
          <cell r="G3633">
            <v>22.69</v>
          </cell>
          <cell r="H3633">
            <v>0</v>
          </cell>
        </row>
        <row r="3634">
          <cell r="C3634" t="str">
            <v>20.4.1.7</v>
          </cell>
          <cell r="D3634" t="str">
            <v>Prensa Fios Para Cordoalha De Aço 5/16"</v>
          </cell>
          <cell r="E3634" t="str">
            <v>un</v>
          </cell>
          <cell r="F3634"/>
          <cell r="G3634">
            <v>22.69</v>
          </cell>
          <cell r="H3634">
            <v>0</v>
          </cell>
        </row>
        <row r="3635">
          <cell r="C3635" t="str">
            <v>20.4.1.8</v>
          </cell>
          <cell r="D3635" t="str">
            <v>Presilha Circular De Aço Zincado Para Cordoalha 5/16"</v>
          </cell>
          <cell r="E3635" t="str">
            <v>un</v>
          </cell>
          <cell r="F3635"/>
          <cell r="G3635">
            <v>18.149999999999999</v>
          </cell>
          <cell r="H3635">
            <v>0</v>
          </cell>
        </row>
        <row r="3636">
          <cell r="C3636" t="str">
            <v>20.4.1.9</v>
          </cell>
          <cell r="D3636" t="str">
            <v>Sapatilha Aço Zincado Para Cond. Diametro Max. 9,5 Mm, 4900 Dan</v>
          </cell>
          <cell r="E3636" t="str">
            <v>un</v>
          </cell>
          <cell r="F3636"/>
          <cell r="G3636">
            <v>27.33</v>
          </cell>
          <cell r="H3636">
            <v>0</v>
          </cell>
        </row>
        <row r="3637">
          <cell r="C3637" t="str">
            <v>20.4.1.10</v>
          </cell>
          <cell r="D3637" t="str">
            <v>Olhal Para Parafuso M20 Em Aço Zincado A Quente, Carga De Ruptura 12000 Dan</v>
          </cell>
          <cell r="E3637" t="str">
            <v>un</v>
          </cell>
          <cell r="F3637"/>
          <cell r="G3637">
            <v>0.52</v>
          </cell>
          <cell r="H3637">
            <v>0</v>
          </cell>
        </row>
        <row r="3638">
          <cell r="C3638" t="str">
            <v>20.4.1.11</v>
          </cell>
          <cell r="D3638" t="str">
            <v>Grampo De Ancoragem Passante Em Liga De Alumínio, Para Cabo De Alumínio Liga 160 Mm², Com Parafusos Porcas E Arruelas Em Aço Inoxidável</v>
          </cell>
          <cell r="E3638" t="str">
            <v>un</v>
          </cell>
          <cell r="F3638"/>
          <cell r="G3638">
            <v>1.4</v>
          </cell>
          <cell r="H3638">
            <v>0</v>
          </cell>
        </row>
        <row r="3639">
          <cell r="C3639" t="str">
            <v>20.4.1.12</v>
          </cell>
          <cell r="D3639" t="str">
            <v xml:space="preserve">GRAMPO PARALELO METALICO PARA CABO DE 6 A 50 MM2, COM 2 PARAFUSOS   </v>
          </cell>
          <cell r="E3639" t="str">
            <v>un</v>
          </cell>
          <cell r="F3639"/>
          <cell r="G3639">
            <v>4.7699999999999996</v>
          </cell>
          <cell r="H3639">
            <v>0</v>
          </cell>
        </row>
        <row r="3640">
          <cell r="C3640" t="str">
            <v>20.4.1.13</v>
          </cell>
          <cell r="D3640" t="str">
            <v>PARAFUSO EM "U" PARA SUSPENSÃO DA CRUZETA (16X62X270MM)</v>
          </cell>
          <cell r="E3640" t="str">
            <v>un</v>
          </cell>
          <cell r="F3640"/>
          <cell r="G3640">
            <v>5.25</v>
          </cell>
          <cell r="H3640">
            <v>0</v>
          </cell>
        </row>
        <row r="3641">
          <cell r="C3641" t="str">
            <v>20.4.1.14</v>
          </cell>
          <cell r="D3641" t="str">
            <v>Elo Olhal 90º</v>
          </cell>
          <cell r="E3641" t="str">
            <v>un</v>
          </cell>
          <cell r="F3641"/>
          <cell r="G3641">
            <v>22.83</v>
          </cell>
          <cell r="H3641">
            <v>0</v>
          </cell>
        </row>
        <row r="3642">
          <cell r="C3642" t="str">
            <v>20.4.1.15</v>
          </cell>
          <cell r="D3642" t="str">
            <v>Presilha Circular De Aço Zincado Para Cordoalha 5/16"</v>
          </cell>
          <cell r="E3642" t="str">
            <v>un</v>
          </cell>
          <cell r="F3642"/>
          <cell r="G3642">
            <v>27.78</v>
          </cell>
          <cell r="H3642">
            <v>0</v>
          </cell>
        </row>
        <row r="3643">
          <cell r="C3643" t="str">
            <v>20.4.1.16</v>
          </cell>
          <cell r="D3643" t="str">
            <v>Chapa Aterramento 115X65X5 Mm Com Furos 14 E 21 Mm</v>
          </cell>
          <cell r="E3643" t="str">
            <v>un</v>
          </cell>
          <cell r="F3643"/>
          <cell r="G3643">
            <v>46.31</v>
          </cell>
          <cell r="H3643">
            <v>0</v>
          </cell>
        </row>
        <row r="3644">
          <cell r="C3644" t="str">
            <v>20.4.1.17</v>
          </cell>
          <cell r="D3644" t="str">
            <v>Fio Coperweld Nº 4 Awg</v>
          </cell>
          <cell r="E3644" t="str">
            <v>un</v>
          </cell>
          <cell r="F3644"/>
          <cell r="G3644">
            <v>12.7</v>
          </cell>
          <cell r="H3644">
            <v>0</v>
          </cell>
        </row>
        <row r="3645">
          <cell r="C3645" t="str">
            <v>20.4.1.18</v>
          </cell>
          <cell r="D3645" t="str">
            <v>Parafuso Sextavada, Em Aço Zincado, M12X1,5, Comprimento 60 Mm, Completo Com Duas Porcas Sextavadas</v>
          </cell>
          <cell r="E3645" t="str">
            <v>un</v>
          </cell>
          <cell r="F3645"/>
          <cell r="G3645">
            <v>0.42</v>
          </cell>
          <cell r="H3645">
            <v>0</v>
          </cell>
        </row>
        <row r="3646">
          <cell r="C3646" t="str">
            <v>20.4.1.19</v>
          </cell>
          <cell r="D3646" t="str">
            <v>Grampo De Susp. Preformado P/ Cabo Alumínio Liga 312,8 Mcm, Butte 19 Fios</v>
          </cell>
          <cell r="E3646" t="str">
            <v>un</v>
          </cell>
          <cell r="F3646"/>
          <cell r="G3646">
            <v>38.83</v>
          </cell>
          <cell r="H3646">
            <v>0</v>
          </cell>
        </row>
        <row r="3647">
          <cell r="C3647" t="str">
            <v>20.4.1.20</v>
          </cell>
          <cell r="D3647" t="str">
            <v>Conector Tipo Cunha; Liga de Aluminio - Caa 312, 8 Mcm  Butte – C/ Cartucho</v>
          </cell>
          <cell r="E3647" t="str">
            <v>un</v>
          </cell>
          <cell r="F3647"/>
          <cell r="G3647">
            <v>23.3</v>
          </cell>
          <cell r="H3647">
            <v>0</v>
          </cell>
        </row>
        <row r="3648">
          <cell r="C3648" t="str">
            <v>20.4.1.21</v>
          </cell>
          <cell r="D3648" t="str">
            <v>Parafuso De Máquina, Cabeça Quadrada, Em Aço Zincado, Rosca M20 X 2,5, Comprimento Total A = 450, Parte Rosqueada B = 370 Mm, Completo Com Duas Porcas Quadrada</v>
          </cell>
          <cell r="E3648" t="str">
            <v>un</v>
          </cell>
          <cell r="F3648"/>
          <cell r="G3648">
            <v>3.15</v>
          </cell>
          <cell r="H3648">
            <v>0</v>
          </cell>
        </row>
        <row r="3649">
          <cell r="C3649" t="str">
            <v>20.4.1.22</v>
          </cell>
          <cell r="D3649" t="str">
            <v>Montagem De Haste De Aterramento Cobreada, Diam 3/4"X 2,50M</v>
          </cell>
          <cell r="E3649" t="str">
            <v>un</v>
          </cell>
          <cell r="F3649"/>
          <cell r="G3649">
            <v>64.150000000000006</v>
          </cell>
          <cell r="H3649">
            <v>0</v>
          </cell>
        </row>
        <row r="3650">
          <cell r="C3650" t="str">
            <v>20.4.2</v>
          </cell>
          <cell r="D3650" t="str">
            <v>FORNECIMENTO</v>
          </cell>
          <cell r="E3650"/>
          <cell r="F3650"/>
          <cell r="G3650"/>
          <cell r="H3650">
            <v>0</v>
          </cell>
        </row>
        <row r="3651">
          <cell r="C3651" t="str">
            <v>20.4.2.1</v>
          </cell>
          <cell r="D3651" t="str">
            <v>Alça Preformada De Distribuição Aço Zincado 5/16"</v>
          </cell>
          <cell r="E3651" t="str">
            <v>un</v>
          </cell>
          <cell r="F3651"/>
          <cell r="G3651">
            <v>4.05</v>
          </cell>
          <cell r="H3651">
            <v>0</v>
          </cell>
        </row>
        <row r="3652">
          <cell r="C3652" t="str">
            <v>20.4.2.2</v>
          </cell>
          <cell r="D3652" t="str">
            <v>Elo Olhal 90º</v>
          </cell>
          <cell r="E3652" t="str">
            <v>un</v>
          </cell>
          <cell r="F3652"/>
          <cell r="G3652">
            <v>16.43</v>
          </cell>
          <cell r="H3652">
            <v>0</v>
          </cell>
        </row>
        <row r="3653">
          <cell r="C3653" t="str">
            <v>20.4.2.3</v>
          </cell>
          <cell r="D3653" t="str">
            <v>Cordoalha Aço Zincado - Para-Raios 7 Fios 7,9 Mm (5/16") Ehs</v>
          </cell>
          <cell r="E3653" t="str">
            <v>m</v>
          </cell>
          <cell r="F3653"/>
          <cell r="G3653">
            <v>8.8800000000000008</v>
          </cell>
          <cell r="H3653">
            <v>0</v>
          </cell>
        </row>
        <row r="3654">
          <cell r="C3654" t="str">
            <v>20.4.2.4</v>
          </cell>
          <cell r="D3654" t="str">
            <v>Cordoalha Aço Zincado 7 Fios 7,9 Mm (5/16") Sm</v>
          </cell>
          <cell r="E3654" t="str">
            <v>m</v>
          </cell>
          <cell r="F3654"/>
          <cell r="G3654">
            <v>2.64</v>
          </cell>
          <cell r="H3654">
            <v>0</v>
          </cell>
        </row>
        <row r="3655">
          <cell r="C3655" t="str">
            <v>20.4.2.5</v>
          </cell>
          <cell r="D3655" t="str">
            <v>Grampo De Suspensão Para Cordoalha De Aço Zincado  5/16"</v>
          </cell>
          <cell r="E3655" t="str">
            <v>un</v>
          </cell>
          <cell r="F3655"/>
          <cell r="G3655">
            <v>61.6</v>
          </cell>
          <cell r="H3655">
            <v>0</v>
          </cell>
        </row>
        <row r="3656">
          <cell r="C3656" t="str">
            <v>20.4.2.6</v>
          </cell>
          <cell r="D3656" t="str">
            <v>Manilha Aço Zincado 20Mmc/Paraf. Porca E Cupilha 16000Dan</v>
          </cell>
          <cell r="E3656" t="str">
            <v>un</v>
          </cell>
          <cell r="F3656"/>
          <cell r="G3656">
            <v>31.53</v>
          </cell>
          <cell r="H3656">
            <v>0</v>
          </cell>
        </row>
        <row r="3657">
          <cell r="C3657" t="str">
            <v>20.4.2.7</v>
          </cell>
          <cell r="D3657" t="str">
            <v>Prensa Fios Para Cordoalha De Aço 5/16"</v>
          </cell>
          <cell r="E3657" t="str">
            <v>un</v>
          </cell>
          <cell r="F3657"/>
          <cell r="G3657">
            <v>6.26</v>
          </cell>
          <cell r="H3657">
            <v>0</v>
          </cell>
        </row>
        <row r="3658">
          <cell r="C3658" t="str">
            <v>20.4.2.8</v>
          </cell>
          <cell r="D3658" t="str">
            <v>Presilha Circular De Aço Zincado Para Cordoalha 5/16"</v>
          </cell>
          <cell r="E3658" t="str">
            <v>un</v>
          </cell>
          <cell r="F3658"/>
          <cell r="G3658">
            <v>9.18</v>
          </cell>
          <cell r="H3658">
            <v>0</v>
          </cell>
        </row>
        <row r="3659">
          <cell r="C3659" t="str">
            <v>20.4.2.9</v>
          </cell>
          <cell r="D3659" t="str">
            <v>Sapatilha Aço Zincado Para Cond. Diametro Max. 9,5 Mm, 4900 Dan</v>
          </cell>
          <cell r="E3659" t="str">
            <v>un</v>
          </cell>
          <cell r="F3659"/>
          <cell r="G3659">
            <v>0.9</v>
          </cell>
          <cell r="H3659">
            <v>0</v>
          </cell>
        </row>
        <row r="3660">
          <cell r="C3660" t="str">
            <v>20.4.2.10</v>
          </cell>
          <cell r="D3660" t="str">
            <v>Olhal Para Parafuso M20 Em Aço Zincado A Quente, Carga De Ruptura 12000 Dan</v>
          </cell>
          <cell r="E3660" t="str">
            <v>un</v>
          </cell>
          <cell r="F3660"/>
          <cell r="G3660">
            <v>3.68</v>
          </cell>
          <cell r="H3660">
            <v>0</v>
          </cell>
        </row>
        <row r="3661">
          <cell r="C3661" t="str">
            <v>20.4.2.11</v>
          </cell>
          <cell r="D3661" t="str">
            <v>Grampo De Ancoragem Passante Em Liga De Alumínio, Para Cabo De Alumínio Liga 160 Mm², Com Parafusos Porcas E Arruelas Em Aço Inoxidável</v>
          </cell>
          <cell r="E3661" t="str">
            <v>un</v>
          </cell>
          <cell r="F3661"/>
          <cell r="G3661">
            <v>89.65</v>
          </cell>
          <cell r="H3661">
            <v>0</v>
          </cell>
        </row>
        <row r="3662">
          <cell r="C3662" t="str">
            <v>20.4.2.12</v>
          </cell>
          <cell r="D3662" t="str">
            <v xml:space="preserve">GRAMPO PARALELO METALICO PARA CABO DE 6 A 50 MM2, COM 2 PARAFUSOS        </v>
          </cell>
          <cell r="E3662" t="str">
            <v>un</v>
          </cell>
          <cell r="F3662"/>
          <cell r="G3662">
            <v>1.65</v>
          </cell>
          <cell r="H3662">
            <v>0</v>
          </cell>
        </row>
        <row r="3663">
          <cell r="C3663" t="str">
            <v>20.4.2.13</v>
          </cell>
          <cell r="D3663" t="str">
            <v>PARAFUSO EM "U" PARA SUSPENSÃO DA CRUZETA (16X62X270MM)</v>
          </cell>
          <cell r="E3663" t="str">
            <v>un</v>
          </cell>
          <cell r="F3663"/>
          <cell r="G3663">
            <v>0</v>
          </cell>
          <cell r="H3663">
            <v>0</v>
          </cell>
        </row>
        <row r="3664">
          <cell r="C3664" t="str">
            <v>20.4.2.14</v>
          </cell>
          <cell r="D3664" t="str">
            <v>Elo Olhal 90º</v>
          </cell>
          <cell r="E3664" t="str">
            <v>un</v>
          </cell>
          <cell r="F3664"/>
          <cell r="G3664">
            <v>16.43</v>
          </cell>
          <cell r="H3664">
            <v>0</v>
          </cell>
        </row>
        <row r="3665">
          <cell r="C3665" t="str">
            <v>20.4.2.15</v>
          </cell>
          <cell r="D3665" t="str">
            <v>Presilha Circular De Aço Zincado Para Cordoalha 5/16"</v>
          </cell>
          <cell r="E3665" t="str">
            <v>un</v>
          </cell>
          <cell r="F3665"/>
          <cell r="G3665">
            <v>9.18</v>
          </cell>
          <cell r="H3665">
            <v>0</v>
          </cell>
        </row>
        <row r="3666">
          <cell r="C3666" t="str">
            <v>20.4.2.16</v>
          </cell>
          <cell r="D3666" t="str">
            <v>Chapa Aterramento 115X65X5 Mm Com Furos 14 E 21 Mm</v>
          </cell>
          <cell r="E3666" t="str">
            <v>un</v>
          </cell>
          <cell r="F3666"/>
          <cell r="G3666">
            <v>0</v>
          </cell>
          <cell r="H3666">
            <v>0</v>
          </cell>
        </row>
        <row r="3667">
          <cell r="C3667" t="str">
            <v>20.4.2.17</v>
          </cell>
          <cell r="D3667" t="str">
            <v>Fio Coperweld Nº 4 Awg</v>
          </cell>
          <cell r="E3667" t="str">
            <v>un</v>
          </cell>
          <cell r="F3667"/>
          <cell r="G3667">
            <v>4.33</v>
          </cell>
          <cell r="H3667">
            <v>0</v>
          </cell>
        </row>
        <row r="3668">
          <cell r="C3668" t="str">
            <v>20.4.2.18</v>
          </cell>
          <cell r="D3668" t="str">
            <v>Parafuso Sextavada, Em Aço Zincado, M12X1,5, Comprimento 60 Mm, Completo Com Duas Porcas Sextavadas</v>
          </cell>
          <cell r="E3668" t="str">
            <v>un</v>
          </cell>
          <cell r="F3668"/>
          <cell r="G3668">
            <v>0.91</v>
          </cell>
          <cell r="H3668">
            <v>0</v>
          </cell>
        </row>
        <row r="3669">
          <cell r="C3669" t="str">
            <v>20.4.2.19</v>
          </cell>
          <cell r="D3669" t="str">
            <v>Grampo De Susp. Preformado P/ Cabo Alumínio Liga 312,8 Mcm, Butte 19 Fios</v>
          </cell>
          <cell r="E3669" t="str">
            <v>un</v>
          </cell>
          <cell r="F3669"/>
          <cell r="G3669">
            <v>85</v>
          </cell>
          <cell r="H3669">
            <v>0</v>
          </cell>
        </row>
        <row r="3670">
          <cell r="C3670" t="str">
            <v>20.4.2.20</v>
          </cell>
          <cell r="D3670" t="str">
            <v>Conector Tipo Cunha; Liga de Aluminio - Caa 312, 8 Mcm  Butte – C/ Cartucho</v>
          </cell>
          <cell r="E3670" t="str">
            <v>un</v>
          </cell>
          <cell r="F3670"/>
          <cell r="G3670">
            <v>0</v>
          </cell>
          <cell r="H3670">
            <v>0</v>
          </cell>
        </row>
        <row r="3671">
          <cell r="C3671" t="str">
            <v>20.4.2.21</v>
          </cell>
          <cell r="D3671" t="str">
            <v>Parafuso De Máquina, Cabeça Quadrada, Em Aço Zincado, Rosca M20 X 2,5, Comprimento Total A = 450, Parte Rosqueada B = 370 Mm, Completo Com Duas Porcas Quadrada</v>
          </cell>
          <cell r="E3671" t="str">
            <v>un</v>
          </cell>
          <cell r="F3671"/>
          <cell r="G3671">
            <v>8.85</v>
          </cell>
          <cell r="H3671">
            <v>0</v>
          </cell>
        </row>
        <row r="3672">
          <cell r="C3672" t="str">
            <v>20.4.2.22</v>
          </cell>
          <cell r="D3672" t="str">
            <v>Haste De Aterramento Cobreada, Diam 3/4"X 2,50M</v>
          </cell>
          <cell r="E3672" t="str">
            <v>un</v>
          </cell>
          <cell r="F3672"/>
          <cell r="G3672">
            <v>10.47</v>
          </cell>
          <cell r="H3672">
            <v>0</v>
          </cell>
        </row>
        <row r="3673">
          <cell r="C3673" t="str">
            <v>20.5</v>
          </cell>
          <cell r="D3673" t="str">
            <v xml:space="preserve"> ATERRAMENTO</v>
          </cell>
          <cell r="E3673"/>
          <cell r="F3673"/>
          <cell r="G3673"/>
          <cell r="H3673">
            <v>0</v>
          </cell>
        </row>
        <row r="3674">
          <cell r="C3674" t="str">
            <v>20.5.1</v>
          </cell>
          <cell r="D3674" t="str">
            <v>MONTAGEM</v>
          </cell>
          <cell r="E3674"/>
          <cell r="F3674"/>
          <cell r="G3674"/>
          <cell r="H3674">
            <v>0</v>
          </cell>
        </row>
        <row r="3675">
          <cell r="C3675" t="str">
            <v>20.5.1.1</v>
          </cell>
          <cell r="D3675" t="str">
            <v>Arame Galvanizado Nº 9 Bwg</v>
          </cell>
          <cell r="E3675" t="str">
            <v>kg</v>
          </cell>
          <cell r="F3675"/>
          <cell r="G3675">
            <v>35.270000000000003</v>
          </cell>
          <cell r="H3675">
            <v>0</v>
          </cell>
        </row>
        <row r="3676">
          <cell r="C3676" t="str">
            <v>20.5.1.2</v>
          </cell>
          <cell r="D3676" t="str">
            <v>Arame Galvanizado Nº 12 Bwg</v>
          </cell>
          <cell r="E3676" t="str">
            <v>kg</v>
          </cell>
          <cell r="F3676"/>
          <cell r="G3676">
            <v>14.11</v>
          </cell>
          <cell r="H3676">
            <v>0</v>
          </cell>
        </row>
        <row r="3677">
          <cell r="C3677" t="str">
            <v>20.5.1.3</v>
          </cell>
          <cell r="D3677" t="str">
            <v>Chapa Aterramento 115X65X5 Mm Com Furos 14 E 21 Mm</v>
          </cell>
          <cell r="E3677" t="str">
            <v>un</v>
          </cell>
          <cell r="F3677"/>
          <cell r="G3677">
            <v>46.31</v>
          </cell>
          <cell r="H3677">
            <v>0</v>
          </cell>
        </row>
        <row r="3678">
          <cell r="C3678" t="str">
            <v>20.5.1.4</v>
          </cell>
          <cell r="D3678" t="str">
            <v xml:space="preserve">Conector De Aterramento P/Cond. Cobre De 16-70Mm2 </v>
          </cell>
          <cell r="E3678" t="str">
            <v>un</v>
          </cell>
          <cell r="F3678"/>
          <cell r="G3678">
            <v>1.05</v>
          </cell>
          <cell r="H3678">
            <v>0</v>
          </cell>
        </row>
        <row r="3679">
          <cell r="C3679" t="str">
            <v>20.5.1.5</v>
          </cell>
          <cell r="D3679" t="str">
            <v>Cordoalha Aço Zincado 7 Fios 7,9 Mm (5/16") Sm</v>
          </cell>
          <cell r="E3679" t="str">
            <v>un</v>
          </cell>
          <cell r="F3679"/>
          <cell r="G3679">
            <v>16.93</v>
          </cell>
          <cell r="H3679">
            <v>0</v>
          </cell>
        </row>
        <row r="3680">
          <cell r="C3680" t="str">
            <v>20.5.1.6</v>
          </cell>
          <cell r="D3680" t="str">
            <v>Fio Coperweld Nº 4 Awg</v>
          </cell>
          <cell r="E3680" t="str">
            <v>m</v>
          </cell>
          <cell r="F3680"/>
          <cell r="G3680">
            <v>12.7</v>
          </cell>
          <cell r="H3680">
            <v>0</v>
          </cell>
        </row>
        <row r="3681">
          <cell r="C3681" t="str">
            <v>20.5.1.7</v>
          </cell>
          <cell r="D3681" t="str">
            <v>Haste De Terra Em Cantoneira De Aço Galvanizado De 25X2000 Mm Com Conector</v>
          </cell>
          <cell r="E3681" t="str">
            <v>un</v>
          </cell>
          <cell r="F3681"/>
          <cell r="G3681">
            <v>126.14</v>
          </cell>
          <cell r="H3681">
            <v>0</v>
          </cell>
        </row>
        <row r="3682">
          <cell r="C3682" t="str">
            <v>20.5.1.8</v>
          </cell>
          <cell r="D3682" t="str">
            <v>Presilha Circular De Aço Cobreado Para Fio 4 Awg</v>
          </cell>
          <cell r="E3682" t="str">
            <v>un</v>
          </cell>
          <cell r="F3682"/>
          <cell r="G3682">
            <v>17.29</v>
          </cell>
          <cell r="H3682">
            <v>0</v>
          </cell>
        </row>
        <row r="3683">
          <cell r="C3683" t="str">
            <v>20.5.1.9</v>
          </cell>
          <cell r="D3683" t="str">
            <v>Presilha Circular De Aço Zincado Para Cordoalha 5/16"</v>
          </cell>
          <cell r="E3683" t="str">
            <v>un</v>
          </cell>
          <cell r="F3683"/>
          <cell r="G3683">
            <v>27.78</v>
          </cell>
          <cell r="H3683">
            <v>0</v>
          </cell>
        </row>
        <row r="3684">
          <cell r="C3684" t="str">
            <v>20.5.1.10</v>
          </cell>
          <cell r="D3684" t="str">
            <v>Secionador Preformado Para Cerca</v>
          </cell>
          <cell r="E3684" t="str">
            <v>un</v>
          </cell>
          <cell r="F3684"/>
          <cell r="G3684">
            <v>2.74</v>
          </cell>
          <cell r="H3684">
            <v>0</v>
          </cell>
        </row>
        <row r="3685">
          <cell r="C3685" t="str">
            <v>20.5.2</v>
          </cell>
          <cell r="D3685" t="str">
            <v>FORNECIMENTO</v>
          </cell>
          <cell r="E3685"/>
          <cell r="F3685"/>
          <cell r="G3685"/>
          <cell r="H3685">
            <v>0</v>
          </cell>
        </row>
        <row r="3686">
          <cell r="C3686" t="str">
            <v>20.5.2.1</v>
          </cell>
          <cell r="D3686" t="str">
            <v>Arame Galvanizado Nº 9 Bwg</v>
          </cell>
          <cell r="E3686" t="str">
            <v>kg</v>
          </cell>
          <cell r="F3686"/>
          <cell r="G3686">
            <v>4.99</v>
          </cell>
          <cell r="H3686">
            <v>0</v>
          </cell>
        </row>
        <row r="3687">
          <cell r="C3687" t="str">
            <v>20.5.2.2</v>
          </cell>
          <cell r="D3687" t="str">
            <v>Arame Galvanizado Nº 12 Bwg</v>
          </cell>
          <cell r="E3687" t="str">
            <v>kg</v>
          </cell>
          <cell r="F3687"/>
          <cell r="G3687">
            <v>4.99</v>
          </cell>
          <cell r="H3687">
            <v>0</v>
          </cell>
        </row>
        <row r="3688">
          <cell r="C3688" t="str">
            <v>20.5.2.3</v>
          </cell>
          <cell r="D3688" t="str">
            <v>Chapa Aterramento 115X65X5 Mm Com Furos 14 E 21 Mm</v>
          </cell>
          <cell r="E3688" t="str">
            <v>un</v>
          </cell>
          <cell r="F3688"/>
          <cell r="G3688">
            <v>0</v>
          </cell>
          <cell r="H3688">
            <v>0</v>
          </cell>
        </row>
        <row r="3689">
          <cell r="C3689" t="str">
            <v>20.5.2.4</v>
          </cell>
          <cell r="D3689" t="str">
            <v>Conector De Bronze Para Ligar Um Cabo De Cobre16 Mm2 E Haste De Terra 3/4".Ref.: Burndy Gar 144C Ou Similar.</v>
          </cell>
          <cell r="E3689" t="str">
            <v>un</v>
          </cell>
          <cell r="F3689"/>
          <cell r="G3689">
            <v>18.09</v>
          </cell>
          <cell r="H3689">
            <v>0</v>
          </cell>
        </row>
        <row r="3690">
          <cell r="C3690" t="str">
            <v>20.5.2.5</v>
          </cell>
          <cell r="D3690" t="str">
            <v>Cordoalha Aço Zincado 7 Fios 7,9 Mm (5/16") Sm</v>
          </cell>
          <cell r="E3690" t="str">
            <v>un</v>
          </cell>
          <cell r="F3690"/>
          <cell r="G3690">
            <v>2.52</v>
          </cell>
          <cell r="H3690">
            <v>0</v>
          </cell>
        </row>
        <row r="3691">
          <cell r="C3691" t="str">
            <v>20.5.2.6</v>
          </cell>
          <cell r="D3691" t="str">
            <v>Fio Coperweld Nº 4 Awg</v>
          </cell>
          <cell r="E3691" t="str">
            <v>m</v>
          </cell>
          <cell r="F3691"/>
          <cell r="G3691">
            <v>4.33</v>
          </cell>
          <cell r="H3691">
            <v>0</v>
          </cell>
        </row>
        <row r="3692">
          <cell r="C3692" t="str">
            <v>20.5.2.7</v>
          </cell>
          <cell r="D3692" t="str">
            <v>Haste De Terra Em Cantoneira De Aço Galvanizado De 25X2000 Mm Com Conector</v>
          </cell>
          <cell r="E3692" t="str">
            <v>un</v>
          </cell>
          <cell r="F3692"/>
          <cell r="G3692">
            <v>18.64</v>
          </cell>
          <cell r="H3692">
            <v>0</v>
          </cell>
        </row>
        <row r="3693">
          <cell r="C3693" t="str">
            <v>20.5.2.8</v>
          </cell>
          <cell r="D3693" t="str">
            <v>Presilha Circular De Aço Cobreado Para Fio 4 Awg</v>
          </cell>
          <cell r="E3693" t="str">
            <v>un</v>
          </cell>
          <cell r="F3693"/>
          <cell r="G3693">
            <v>9.18</v>
          </cell>
          <cell r="H3693">
            <v>0</v>
          </cell>
        </row>
        <row r="3694">
          <cell r="C3694" t="str">
            <v>20.5.2.9</v>
          </cell>
          <cell r="D3694" t="str">
            <v>Presilha Circular De Aço Zincado Para Cordoalha 5/16"</v>
          </cell>
          <cell r="E3694" t="str">
            <v>un</v>
          </cell>
          <cell r="F3694"/>
          <cell r="G3694">
            <v>9.18</v>
          </cell>
          <cell r="H3694">
            <v>0</v>
          </cell>
        </row>
        <row r="3695">
          <cell r="C3695" t="str">
            <v>20.5.2.10</v>
          </cell>
          <cell r="D3695" t="str">
            <v>Secionador Preformado Para Cerca</v>
          </cell>
          <cell r="E3695" t="str">
            <v>un</v>
          </cell>
          <cell r="F3695"/>
          <cell r="G3695">
            <v>2.17</v>
          </cell>
          <cell r="H3695">
            <v>0</v>
          </cell>
        </row>
        <row r="3696">
          <cell r="C3696" t="str">
            <v>20.6</v>
          </cell>
          <cell r="D3696" t="str">
            <v>ESTAI</v>
          </cell>
          <cell r="E3696"/>
          <cell r="F3696"/>
          <cell r="G3696"/>
          <cell r="H3696">
            <v>0</v>
          </cell>
        </row>
        <row r="3697">
          <cell r="C3697" t="str">
            <v>20.6.1</v>
          </cell>
          <cell r="D3697" t="str">
            <v>MONTAGEM</v>
          </cell>
          <cell r="E3697"/>
          <cell r="F3697"/>
          <cell r="G3697"/>
          <cell r="H3697">
            <v>0</v>
          </cell>
        </row>
        <row r="3698">
          <cell r="C3698" t="str">
            <v>20.6.1.1</v>
          </cell>
          <cell r="D3698" t="str">
            <v>Alça Preformada De Estai Para Cordoalha Aço Zincado D=9,5 Mm</v>
          </cell>
          <cell r="E3698" t="str">
            <v>un</v>
          </cell>
          <cell r="F3698"/>
          <cell r="G3698">
            <v>2.74</v>
          </cell>
          <cell r="H3698">
            <v>0</v>
          </cell>
        </row>
        <row r="3699">
          <cell r="C3699" t="str">
            <v>20.6.1.3</v>
          </cell>
          <cell r="D3699" t="str">
            <v xml:space="preserve">Cordoalha Aço Zincado P/ Estai D=9,5Mm 7 Fios Ehs </v>
          </cell>
          <cell r="E3699" t="str">
            <v>m</v>
          </cell>
          <cell r="F3699"/>
          <cell r="G3699">
            <v>16.93</v>
          </cell>
          <cell r="H3699">
            <v>0</v>
          </cell>
        </row>
        <row r="3700">
          <cell r="C3700" t="str">
            <v>20.6.1.4</v>
          </cell>
          <cell r="D3700" t="str">
            <v>Haste De Âncora Zinco, M20X2,5 L=2400 Mm, Com Duas Porcas Quadradas</v>
          </cell>
          <cell r="E3700" t="str">
            <v>un</v>
          </cell>
          <cell r="F3700"/>
          <cell r="G3700">
            <v>67.86</v>
          </cell>
          <cell r="H3700">
            <v>0</v>
          </cell>
        </row>
        <row r="3701">
          <cell r="C3701" t="str">
            <v>20.6.1.5</v>
          </cell>
          <cell r="D3701" t="str">
            <v>Sapatilha Aço Zincado Para Cond. Diametro Max. 9,5 Mm, 4900 Dan</v>
          </cell>
          <cell r="E3701" t="str">
            <v>un</v>
          </cell>
          <cell r="F3701"/>
          <cell r="G3701">
            <v>12.61</v>
          </cell>
          <cell r="H3701">
            <v>0</v>
          </cell>
        </row>
        <row r="3702">
          <cell r="C3702" t="str">
            <v>20.6.1.6</v>
          </cell>
          <cell r="D3702" t="str">
            <v>Parafuso De Máquina, Cabeça Quadrada, Em Aço Zincado, Rosca M20 X 2,5, Comprimento Total A = 350, Parte Rosqueada B = 270 Mm, Completo Com Duas Porcas Quadrada</v>
          </cell>
          <cell r="E3702" t="str">
            <v>pç</v>
          </cell>
          <cell r="F3702"/>
          <cell r="G3702">
            <v>12.61</v>
          </cell>
          <cell r="H3702">
            <v>0</v>
          </cell>
        </row>
        <row r="3703">
          <cell r="C3703" t="str">
            <v>20.6.1.7</v>
          </cell>
          <cell r="D3703" t="str">
            <v>Parafuso De Máquina, Cabeça Quadrada, Em Aço Zincado, Rosca M20 X 2,5, Comprimento Total A = 400, Parte Rosqueada B = 320 Mm, Completo Com Duas Porcas Quadrada</v>
          </cell>
          <cell r="E3703" t="str">
            <v>pç</v>
          </cell>
          <cell r="F3703"/>
          <cell r="G3703">
            <v>8.41</v>
          </cell>
          <cell r="H3703">
            <v>0</v>
          </cell>
        </row>
        <row r="3704">
          <cell r="C3704" t="str">
            <v>20.6.1.8</v>
          </cell>
          <cell r="D3704" t="str">
            <v>Parafuso De Máquina, Cabeça Quadrada, Em Aço Zincado, Rosca M20 X 2,5, Comprimento Total A = 450, Parte Rosqueada B = 370 Mm, Completo Com Duas Porcas Quadrada</v>
          </cell>
          <cell r="E3704" t="str">
            <v>pç</v>
          </cell>
          <cell r="F3704"/>
          <cell r="G3704">
            <v>12.61</v>
          </cell>
          <cell r="H3704">
            <v>0</v>
          </cell>
        </row>
        <row r="3705">
          <cell r="C3705" t="str">
            <v>20.6.1.9</v>
          </cell>
          <cell r="D3705" t="str">
            <v>Parafuso De Máquina, Cabeça Quadrada, Em Aço Zincado, Rosca M20 X 2,5, Comprimento Total A = 500, Parte Rosqueada B = 420 Mm, Completo Com Duas Porcas Quadrada</v>
          </cell>
          <cell r="E3705" t="str">
            <v>pç</v>
          </cell>
          <cell r="F3705"/>
          <cell r="G3705">
            <v>15.69</v>
          </cell>
          <cell r="H3705">
            <v>0</v>
          </cell>
        </row>
        <row r="3706">
          <cell r="C3706" t="str">
            <v>20.6.1.10</v>
          </cell>
          <cell r="D3706" t="str">
            <v>Parafuso De Máquina, Cabeça Quadrada, Em Aço Zincado, Rosca M20 X 2,5, Comprimento Total A = 550, Parte Rosqueada B = 470 Mm, Completo Com Duas Porcas Quadrada</v>
          </cell>
          <cell r="E3706" t="str">
            <v>pç</v>
          </cell>
          <cell r="F3706"/>
          <cell r="G3706">
            <v>16.82</v>
          </cell>
          <cell r="H3706">
            <v>0</v>
          </cell>
        </row>
        <row r="3707">
          <cell r="C3707" t="str">
            <v>20.6.1.11</v>
          </cell>
          <cell r="D3707" t="str">
            <v>Parafuso De Máquina, Cabeça Quadrada, Em Aço Zincado, Rosca M20 X 2,5, Comprimento Total A = 600, Parte Rosqueada B = 480 Mm, Completo Com Duas Porcas Quadrada</v>
          </cell>
          <cell r="E3707" t="str">
            <v>pç</v>
          </cell>
          <cell r="F3707"/>
          <cell r="G3707">
            <v>18.920000000000002</v>
          </cell>
          <cell r="H3707">
            <v>0</v>
          </cell>
        </row>
        <row r="3708">
          <cell r="C3708" t="str">
            <v>20.6.1.12</v>
          </cell>
          <cell r="D3708" t="str">
            <v>Parafuso De Máquina, Cabeça Quadrada, Em Aço Zincado, Rosca M20 X 2,5, Comprimento Total A = 300, Parte Rosqueada B = 220 Mm, Completo Com Duas Porcas Quadrada</v>
          </cell>
          <cell r="E3708" t="str">
            <v>pç</v>
          </cell>
          <cell r="F3708"/>
          <cell r="G3708">
            <v>12.61</v>
          </cell>
          <cell r="H3708">
            <v>0</v>
          </cell>
        </row>
        <row r="3709">
          <cell r="C3709" t="str">
            <v>20.6.1.13</v>
          </cell>
          <cell r="D3709" t="str">
            <v>Parafuso De Máquina, Cabeça Quadrada, Em Aço Zincado, Rosca M20 X 2,5, Comprimento Total A = 650, Parte Rosqueada B = 520 Mm, Completo Com Duas Porcas Quadrada</v>
          </cell>
          <cell r="E3709" t="str">
            <v>pç</v>
          </cell>
          <cell r="F3709"/>
          <cell r="G3709">
            <v>12.61</v>
          </cell>
          <cell r="H3709">
            <v>0</v>
          </cell>
        </row>
        <row r="3710">
          <cell r="C3710" t="str">
            <v>20.6.1.14</v>
          </cell>
          <cell r="D3710" t="str">
            <v>Cantoneira *L* De 64 X 64 X 6 X 380</v>
          </cell>
          <cell r="E3710" t="str">
            <v>pç</v>
          </cell>
          <cell r="F3710"/>
          <cell r="G3710">
            <v>194.13</v>
          </cell>
          <cell r="H3710">
            <v>0</v>
          </cell>
        </row>
        <row r="3711">
          <cell r="C3711" t="str">
            <v>20.6.1.15</v>
          </cell>
          <cell r="D3711" t="str">
            <v>Cantoneira *L* De 64 X 64 X 6 X 430</v>
          </cell>
          <cell r="E3711" t="str">
            <v>pç</v>
          </cell>
          <cell r="F3711"/>
          <cell r="G3711">
            <v>194.13</v>
          </cell>
          <cell r="H3711">
            <v>0</v>
          </cell>
        </row>
        <row r="3712">
          <cell r="C3712" t="str">
            <v>20.6.1.16</v>
          </cell>
          <cell r="D3712" t="str">
            <v>Cantoneira *L* De 64 X 64 X 6 X 480</v>
          </cell>
          <cell r="E3712" t="str">
            <v>pç</v>
          </cell>
          <cell r="F3712"/>
          <cell r="G3712">
            <v>194.13</v>
          </cell>
          <cell r="H3712">
            <v>0</v>
          </cell>
        </row>
        <row r="3713">
          <cell r="C3713" t="str">
            <v>20.6.1.17</v>
          </cell>
          <cell r="D3713" t="str">
            <v>Haste Para-Raios 3/4" X 2500 Mm, Em Aço Zincado A Quente</v>
          </cell>
          <cell r="E3713" t="str">
            <v>pç</v>
          </cell>
          <cell r="F3713"/>
          <cell r="G3713">
            <v>138.91999999999999</v>
          </cell>
          <cell r="H3713">
            <v>0</v>
          </cell>
        </row>
        <row r="3714">
          <cell r="C3714" t="str">
            <v>20.6.1.18</v>
          </cell>
          <cell r="D3714" t="str">
            <v>Grampo De Aterramento Para Cabo E Haste De 1/2 A 5/8 Tipo Th</v>
          </cell>
          <cell r="E3714" t="str">
            <v>pç</v>
          </cell>
          <cell r="F3714"/>
          <cell r="G3714">
            <v>27.78</v>
          </cell>
          <cell r="H3714">
            <v>0</v>
          </cell>
        </row>
        <row r="3715">
          <cell r="C3715" t="str">
            <v>20.6.1.22</v>
          </cell>
          <cell r="D3715" t="str">
            <v>Escavação Manual Em Material De 1ª Categoria Com Dmt &lt;= 100 M (Até 1,5 M)</v>
          </cell>
          <cell r="E3715" t="str">
            <v>m³</v>
          </cell>
          <cell r="F3715"/>
          <cell r="G3715">
            <v>18.07</v>
          </cell>
          <cell r="H3715">
            <v>0</v>
          </cell>
        </row>
        <row r="3716">
          <cell r="C3716" t="str">
            <v>20.6.1.25</v>
          </cell>
          <cell r="D3716" t="str">
            <v>Desmatamento, Destocamento E Limpeza Do Terreno</v>
          </cell>
          <cell r="E3716" t="str">
            <v>ha</v>
          </cell>
          <cell r="F3716"/>
          <cell r="G3716">
            <v>1660.74</v>
          </cell>
          <cell r="H3716">
            <v>0</v>
          </cell>
        </row>
        <row r="3717">
          <cell r="C3717" t="str">
            <v>20.6.2</v>
          </cell>
          <cell r="D3717" t="str">
            <v>FORNECIMENTO</v>
          </cell>
          <cell r="E3717"/>
          <cell r="F3717"/>
          <cell r="G3717"/>
          <cell r="H3717">
            <v>0</v>
          </cell>
        </row>
        <row r="3718">
          <cell r="C3718" t="str">
            <v>20.6.2.1</v>
          </cell>
          <cell r="D3718" t="str">
            <v>Alça Preformada De Estai Para Cordoalha Aço Zincado D=9,5 Mm</v>
          </cell>
          <cell r="E3718" t="str">
            <v>un</v>
          </cell>
          <cell r="F3718"/>
          <cell r="G3718">
            <v>5.37</v>
          </cell>
          <cell r="H3718">
            <v>0</v>
          </cell>
        </row>
        <row r="3719">
          <cell r="C3719" t="str">
            <v>20.6.2.3</v>
          </cell>
          <cell r="D3719" t="str">
            <v xml:space="preserve">Cordoalha Aço Zincado P/ Estai D=9,5Mm 7 Fios Ehs </v>
          </cell>
          <cell r="E3719" t="str">
            <v>m</v>
          </cell>
          <cell r="F3719"/>
          <cell r="G3719">
            <v>3.31</v>
          </cell>
          <cell r="H3719">
            <v>0</v>
          </cell>
        </row>
        <row r="3720">
          <cell r="C3720" t="str">
            <v>20.6.2.4</v>
          </cell>
          <cell r="D3720" t="str">
            <v>Haste De Âncora Zinco, M20X2,5 L=2400 Mm, Com Duas Porcas Quadradas</v>
          </cell>
          <cell r="E3720" t="str">
            <v>un</v>
          </cell>
          <cell r="F3720"/>
          <cell r="G3720">
            <v>22.3</v>
          </cell>
          <cell r="H3720">
            <v>0</v>
          </cell>
        </row>
        <row r="3721">
          <cell r="C3721" t="str">
            <v>20.6.2.5</v>
          </cell>
          <cell r="D3721" t="str">
            <v>Sapatilha Aço Zincado Para Cond. Diametro Max. 9,5 Mm, 4900 Dan</v>
          </cell>
          <cell r="E3721" t="str">
            <v>un</v>
          </cell>
          <cell r="F3721"/>
          <cell r="G3721">
            <v>0.9</v>
          </cell>
          <cell r="H3721">
            <v>0</v>
          </cell>
        </row>
        <row r="3722">
          <cell r="C3722" t="str">
            <v>20.6.2.6</v>
          </cell>
          <cell r="D3722" t="str">
            <v>Parafuso De Máquina, Cabeça Quadrada, Em Aço Zincado, Rosca M20 X 2,5, Comprimento Total A = 350, Parte Rosqueada B = 270 Mm, Completo Com Duas Porcas Quadrada</v>
          </cell>
          <cell r="E3722" t="str">
            <v>pç</v>
          </cell>
          <cell r="F3722"/>
          <cell r="G3722">
            <v>5.65</v>
          </cell>
          <cell r="H3722">
            <v>0</v>
          </cell>
        </row>
        <row r="3723">
          <cell r="C3723" t="str">
            <v>20.6.2.7</v>
          </cell>
          <cell r="D3723" t="str">
            <v>Parafuso De Máquina, Cabeça Quadrada, Em Aço Zincado, Rosca M20 X 2,5, Comprimento Total A = 400, Parte Rosqueada B = 320 Mm, Completo Com Duas Porcas Quadrada</v>
          </cell>
          <cell r="E3723" t="str">
            <v>pç</v>
          </cell>
          <cell r="F3723"/>
          <cell r="G3723">
            <v>7.87</v>
          </cell>
          <cell r="H3723">
            <v>0</v>
          </cell>
        </row>
        <row r="3724">
          <cell r="C3724" t="str">
            <v>20.6.2.8</v>
          </cell>
          <cell r="D3724" t="str">
            <v>Parafuso De Máquina, Cabeça Quadrada, Em Aço Zincado, Rosca M20 X 2,5, Comprimento Total A = 450, Parte Rosqueada B = 370 Mm, Completo Com Duas Porcas Quadrada</v>
          </cell>
          <cell r="E3724" t="str">
            <v>pç</v>
          </cell>
          <cell r="F3724"/>
          <cell r="G3724">
            <v>8.85</v>
          </cell>
          <cell r="H3724">
            <v>0</v>
          </cell>
        </row>
        <row r="3725">
          <cell r="C3725" t="str">
            <v>20.6.2.9</v>
          </cell>
          <cell r="D3725" t="str">
            <v>Parafuso De Máquina, Cabeça Quadrada, Em Aço Zincado, Rosca M20 X 2,5, Comprimento Total A = 500, Parte Rosqueada B = 420 Mm, Completo Com Duas Porcas Quadrada</v>
          </cell>
          <cell r="E3725" t="str">
            <v>pç</v>
          </cell>
          <cell r="F3725"/>
          <cell r="G3725">
            <v>9.8000000000000007</v>
          </cell>
          <cell r="H3725">
            <v>0</v>
          </cell>
        </row>
        <row r="3726">
          <cell r="C3726" t="str">
            <v>20.6.2.10</v>
          </cell>
          <cell r="D3726" t="str">
            <v>Parafuso De Máquina, Cabeça Quadrada, Em Aço Zincado, Rosca M20 X 2,5, Comprimento Total A = 550, Parte Rosqueada B = 470 Mm, Completo Com Duas Porcas Quadrada</v>
          </cell>
          <cell r="E3726" t="str">
            <v>pç</v>
          </cell>
          <cell r="F3726"/>
          <cell r="G3726">
            <v>10.84</v>
          </cell>
          <cell r="H3726">
            <v>0</v>
          </cell>
        </row>
        <row r="3727">
          <cell r="C3727" t="str">
            <v>20.6.2.11</v>
          </cell>
          <cell r="D3727" t="str">
            <v>Parafuso De Máquina, Cabeça Quadrada, Em Aço Zincado, Rosca M20 X 2,5, Comprimento Total A = 600, Parte Rosqueada B = 480 Mm, Completo Com Duas Porcas Quadrada</v>
          </cell>
          <cell r="E3727" t="str">
            <v>pç</v>
          </cell>
          <cell r="F3727"/>
          <cell r="G3727">
            <v>15.08</v>
          </cell>
          <cell r="H3727">
            <v>0</v>
          </cell>
        </row>
        <row r="3728">
          <cell r="C3728" t="str">
            <v>20.6.2.12</v>
          </cell>
          <cell r="D3728" t="str">
            <v>Parafuso De Máquina, Cabeça Quadrada, Em Aço Zincado, Rosca M20 X 2,5, Comprimento Total A = 300, Parte Rosqueada B = 220 Mm, Completo Com Duas Porcas Quadrada</v>
          </cell>
          <cell r="E3728" t="str">
            <v>pç</v>
          </cell>
          <cell r="F3728"/>
          <cell r="G3728">
            <v>4.45</v>
          </cell>
          <cell r="H3728">
            <v>0</v>
          </cell>
        </row>
        <row r="3729">
          <cell r="C3729" t="str">
            <v>20.6.2.13</v>
          </cell>
          <cell r="D3729" t="str">
            <v>Parafuso De Máquina, Cabeça Quadrada, Em Aço Zincado, Rosca M20 X 2,5, Comprimento Total A = 650, Parte Rosqueada B = 520 Mm, Completo Com Duas Porcas Quadrada</v>
          </cell>
          <cell r="E3729" t="str">
            <v>pç</v>
          </cell>
          <cell r="F3729"/>
          <cell r="G3729">
            <v>16.02</v>
          </cell>
          <cell r="H3729">
            <v>0</v>
          </cell>
        </row>
        <row r="3730">
          <cell r="C3730" t="str">
            <v>20.6.2.14</v>
          </cell>
          <cell r="D3730" t="str">
            <v>Cantoneira *L* De 64 X 64 X 6 X 380</v>
          </cell>
          <cell r="E3730" t="str">
            <v>kg</v>
          </cell>
          <cell r="F3730"/>
          <cell r="G3730">
            <v>5.49</v>
          </cell>
          <cell r="H3730">
            <v>0</v>
          </cell>
        </row>
        <row r="3731">
          <cell r="C3731" t="str">
            <v>20.6.2.15</v>
          </cell>
          <cell r="D3731" t="str">
            <v>Cantoneira *L* De 64 X 64 X 6 X 430</v>
          </cell>
          <cell r="E3731" t="str">
            <v>kg</v>
          </cell>
          <cell r="F3731"/>
          <cell r="G3731">
            <v>5.49</v>
          </cell>
          <cell r="H3731">
            <v>0</v>
          </cell>
        </row>
        <row r="3732">
          <cell r="C3732" t="str">
            <v>20.6.2.16</v>
          </cell>
          <cell r="D3732" t="str">
            <v>Cantoneira *L* De 64 X 64 X 6 X 480</v>
          </cell>
          <cell r="E3732" t="str">
            <v>kg</v>
          </cell>
          <cell r="F3732"/>
          <cell r="G3732">
            <v>5.49</v>
          </cell>
          <cell r="H3732">
            <v>0</v>
          </cell>
        </row>
        <row r="3733">
          <cell r="C3733" t="str">
            <v>20.6.2.17</v>
          </cell>
          <cell r="D3733" t="str">
            <v>Haste Para-Raios 3/4" X 2500 Mm, Em Aço Zincado A Quente</v>
          </cell>
          <cell r="E3733" t="str">
            <v>pç</v>
          </cell>
          <cell r="F3733"/>
          <cell r="G3733">
            <v>22.83</v>
          </cell>
          <cell r="H3733">
            <v>0</v>
          </cell>
        </row>
        <row r="3734">
          <cell r="C3734" t="str">
            <v>20.6.2.18</v>
          </cell>
          <cell r="D3734" t="str">
            <v>Grampo De Aterramento Para Cabo E Haste De 1/2 A 5/8 Tipo Th</v>
          </cell>
          <cell r="E3734" t="str">
            <v>pç</v>
          </cell>
          <cell r="F3734"/>
          <cell r="G3734">
            <v>8.66</v>
          </cell>
          <cell r="H3734">
            <v>0</v>
          </cell>
        </row>
        <row r="3735">
          <cell r="C3735" t="str">
            <v>21</v>
          </cell>
          <cell r="D3735" t="str">
            <v>21 - BAY DE SAÍDA</v>
          </cell>
          <cell r="E3735"/>
          <cell r="F3735"/>
          <cell r="G3735"/>
          <cell r="H3735">
            <v>0</v>
          </cell>
        </row>
        <row r="3736">
          <cell r="C3736" t="str">
            <v>21.1</v>
          </cell>
          <cell r="D3736" t="str">
            <v>EQUIPAMENTOS ELETROMECANICO</v>
          </cell>
          <cell r="E3736"/>
          <cell r="F3736"/>
          <cell r="G3736"/>
          <cell r="H3736">
            <v>0</v>
          </cell>
        </row>
        <row r="3737">
          <cell r="C3737" t="str">
            <v>21.1.1</v>
          </cell>
          <cell r="D3737" t="str">
            <v>MONTAGEM</v>
          </cell>
          <cell r="E3737"/>
          <cell r="F3737"/>
          <cell r="G3737"/>
          <cell r="H3737">
            <v>0</v>
          </cell>
        </row>
        <row r="3738">
          <cell r="C3738" t="str">
            <v>21.1.1.1</v>
          </cell>
          <cell r="D3738" t="str">
            <v>Para-Raios Em Óxido De  Zinco (Zno), Tipo Estação, Tensão Nominal 72 Kv, 60 Hz, Corrente Nominal De Descarga 10 Ka, Nbi 350 Kv, Fornecido  Com Os Seguintes Acessórios:Conector Terminal, Em Bronze Estanhado, 4 Furos Nema, Para Cabo 6 Awg A 750 Mcm; Conector De Aterramento Para Cabo De Cobre 70 A 120 Mm²; Base Isolada E Base De Fixação Com Quatro Rasgos 18X50 Mm, Espaçados De (250 A 350) X (250 A 350) Mm, Em Diagonal.</v>
          </cell>
          <cell r="E3738" t="str">
            <v>un</v>
          </cell>
          <cell r="F3738"/>
          <cell r="G3738">
            <v>300.69</v>
          </cell>
          <cell r="H3738">
            <v>0</v>
          </cell>
        </row>
        <row r="3739">
          <cell r="C3739" t="str">
            <v>21.1.1.2</v>
          </cell>
          <cell r="D3739" t="str">
            <v>Disjuntor Tripolar À Sf6, Tensão Nominal 72,5 Kv, 60 Hz, Corrente Nominal 1600 A,  Corrente De  Interrupção Nominal Em Curto-Circuito Simétrico 20 Ka, Nbi 350 Kv, Seqüência De Operações 0-0,3S-Co-180S-Co, Mecanismo De Operação Motorizado, Fornecido Com Os Seguintes Acessórios: Tensões De Alimentação: Auxiliares 220 V, 60 Hz, 1Ø E Circuitos De Abertura, Fechamento E Motor 125 Vcc; Estrutura Metálica Suporte; Conector De Aterramento Para Cabo De Cobre 70 A 120 Mm²; Conector Terminal, Em Bronze Estanhado, 4 Furos Nema, Para Cabo 6 Awg A 750 Mcm.</v>
          </cell>
          <cell r="E3739" t="str">
            <v>un</v>
          </cell>
          <cell r="F3739"/>
          <cell r="G3739">
            <v>3612.16</v>
          </cell>
          <cell r="H3739">
            <v>0</v>
          </cell>
        </row>
        <row r="3740">
          <cell r="C3740" t="str">
            <v>21.1.1.3</v>
          </cell>
          <cell r="D3740" t="str">
            <v>Transformador De Corrente, Tensão Nominal 69 Kv, 60 Hz, Polaridade Subtrativa, Nbi 350 Kv, Corrente Nominal Secundária 5A, Fator Térmico 1.2, Com 1  (Um) Enrolamento Secundário Para Medição Com Classe De Exatidão 0,3C50, Fabricado Com Os Seguintes Acessórios: Conector Terminal, Em Bronze Estanhado, 4 Furos Nema, Para Cabo 6 Awg A 750 Mcm; Conector De Aterramento Para Cabo De Cobre 70 A 120 Mm²; Caixa De Terminais Secundários Com Entradas Rosqueadas Para Eletroduto Ø 38 Mm (1 1/2”); Fixação Pela Base Através De Quatro Rasgos Ø 18X50 Mm, Espaçados De (350 A 550) Mm X (350 A 550) Mm Em Diagonal.</v>
          </cell>
          <cell r="E3740" t="str">
            <v>un</v>
          </cell>
          <cell r="F3740"/>
          <cell r="G3740">
            <v>601.38</v>
          </cell>
          <cell r="H3740">
            <v>0</v>
          </cell>
        </row>
        <row r="3741">
          <cell r="C3741" t="str">
            <v>21.1.1.4</v>
          </cell>
          <cell r="D3741" t="str">
            <v>Transformador De Corrente, Tensão Nominal 69 Kv, 60 Hz, Polaridade Subtrativa, Nbi 350 Kv, Corrente Nominal Secundária 5A, Fator Térmico 1.2, Com 1  (Um) Enrolamento Secundário Para Proteção 10B200, Relação 1100/150X200/300-5A, Fabricado Com Os Seguintes Acessórios: Conector Terminal, Em Bronze Estanhado, 4 Furos Nema, Para Cabo 6 Awg A 750 Mcm; Conector De Aterramento Para Cabo De Cobre 70 A 120 Mm²; Caixa De Terminais Secundários Com Entradas Rosqueadas Para Eletroduto Ø 38 Mm (1 1/2”); Fixação Pela Base Através De Quatro Rasgos Ø 18X50 Mm, Espaçados De (350 A 550) Mm X (350 A 550) Mm Em Diagonal.</v>
          </cell>
          <cell r="E3741" t="str">
            <v>un</v>
          </cell>
          <cell r="F3741"/>
          <cell r="G3741">
            <v>601.38</v>
          </cell>
          <cell r="H3741">
            <v>0</v>
          </cell>
        </row>
        <row r="3742">
          <cell r="C3742" t="str">
            <v>21.1.1.5</v>
          </cell>
          <cell r="D3742" t="str">
            <v>Transformador De Potencial, Tensão Nominal 69Kv, 60Hz, Polaridade Subtrativa, Nbi 350 Kv, Com Dois Enrolamentos Secundários, Classe De Exatidão 0,6P200, Potência Térmica 500Va, Relação De Transformação 69.000:√3-115:√3-115 V, Fornecido Com Os Seguintes Acessórios: Conector Terminal, Em Bronze Estanhado, 4 Furos Nema, Para Cabo 6 Awg A 750 Mcm; Conector Terminal De Neutro, Saída 90º Para Cabo De Cobre 70 A 120 Mm²; Conector De Aterramento Para Cabo De Cobre 70 A 120 Mm²; Caixa De Terminais Secundários Com Entradas Rosqueadas Para Eletroduto Ø 38 Mm (1 1/2”); Fixação Pela Base Através De Quatro Rasgos Ø 18X50 Mm, Espaçados De (350 A 550) Mm X (350 A 550) Mm Em Diagonal.</v>
          </cell>
          <cell r="E3742" t="str">
            <v>un</v>
          </cell>
          <cell r="F3742"/>
          <cell r="G3742">
            <v>1052.4100000000001</v>
          </cell>
          <cell r="H3742">
            <v>0</v>
          </cell>
        </row>
        <row r="3743">
          <cell r="C3743" t="str">
            <v>21.1.1.6</v>
          </cell>
          <cell r="D3743" t="str">
            <v>Chave Seccionadora Tripolar, Operação Manual, Com Lâmina De Terra E Restritor De Arco, Tensão Nominal 72,5 Kv, Corrente Nominal 630 A, Corrente Suportável De Curta Duração 25 Ka, Nbi 350 Kv, Abertura Lateral, Horizontal Alta, Fornecida Com Os Seguintes Acessórios: Com Mecanismo De Manobra; Conector Terminal, Em Bronze Estanhado, 4 Furos Nema, Para Cabo 6 Awg A 750 Mcm; Conector De Aterramento Para Cabo De Cobre 70 A 120 Mm²; Caixa De Contatos Auxiliares Com 6Na + 6Nf + 2Naa + 2Nbb; Pino Magnético Com Bobina Para 125Vcc, Em Ambos Os Mecanismos (Lâmina Principal E De Terra) Com Saída Para Eletroduto Ø 38 Mm (1.1/2"); Cordoalha De Aterramento Do Mecanismo De Manobra (Lâmina Principal E De Terra); Ferragens Para Fixação Do Equipamento E Acessórios Nas Estruturas; Base De Pólos E Mancal Auxiliar Com Dois Furos Ø 18 Mm E Dois Rasgos Ø 18X50 Mm, Espaçados De 1400 X 76 Mm</v>
          </cell>
          <cell r="E3743" t="str">
            <v>un</v>
          </cell>
          <cell r="F3743"/>
          <cell r="G3743">
            <v>536.03</v>
          </cell>
          <cell r="H3743">
            <v>0</v>
          </cell>
        </row>
        <row r="3744">
          <cell r="C3744" t="str">
            <v>21.1.1.7</v>
          </cell>
          <cell r="D3744" t="str">
            <v>Chave Seccionadora Tripolar, Operação Manual, Com Restritor De Arco, Tensão Nominal 72,5 Kv, Corrente Nominal 630 A, Corrente Suportável De Curta Duração 25 Ka, Nbi 350 Kv, Abertura Lateral, Vertical, Fornecida Com Os Seguintes Acessórios: Com Mecanismo De Manobra; Conector Terminal, Em Bronze Estanhado, 4 Furos Nema, Para Cabo 6 Awg A 750 Mcm; Conector De Aterramento Para Cabo De Cobre 70 A 120 Mm²; Caixa De Contatos Auxiliares Com 6Na + 6Nf + 2Naa + 2Nbb, Com Saída Para Eletroduto Ø38 Mm (1.1/2"); Cordoalha De Aterramento Do Mecanismo De Manobra; Ferragens Para Fixação Do Equipamento E Acessórios Nas Estruturas; Base De Pólos E Mancal Auxiliar Com Dois Furos Ø 18 Mm E Dois Rasgos Ø 18X50 Mm, Espaçados De 1400 X 76 Mm</v>
          </cell>
          <cell r="E3744" t="str">
            <v>un</v>
          </cell>
          <cell r="F3744"/>
          <cell r="G3744">
            <v>1354.56</v>
          </cell>
          <cell r="H3744">
            <v>0</v>
          </cell>
        </row>
        <row r="3745">
          <cell r="C3745" t="str">
            <v>21.1.1.8</v>
          </cell>
          <cell r="D3745" t="str">
            <v>Relé de proteção, modelo 751-1, part number 751101A1A3A70850830, fabricação SEL</v>
          </cell>
          <cell r="E3745"/>
          <cell r="F3745"/>
          <cell r="G3745">
            <v>4022.57</v>
          </cell>
          <cell r="H3745">
            <v>0</v>
          </cell>
        </row>
        <row r="3746">
          <cell r="C3746" t="str">
            <v>21.1.1.9</v>
          </cell>
          <cell r="D3746" t="str">
            <v>Medidor de energia para coleta de medição operacional, modelo PM8243, fabricação Scheneider</v>
          </cell>
          <cell r="E3746"/>
          <cell r="F3746"/>
          <cell r="G3746">
            <v>3459.38</v>
          </cell>
          <cell r="H3746">
            <v>0</v>
          </cell>
        </row>
        <row r="3747">
          <cell r="C3747" t="str">
            <v>21.1.1.10</v>
          </cell>
          <cell r="D3747" t="str">
            <v>Painel de comunicação contendo os seguintes equipamentos: 01 RTAC SEL 3530AA2XX313X0XXXXXX, 02 Switchs SEL 2730M0ARAA2222AAAAX0, : 01 RTAC SEL 3530AA2XX313X0XXXXXX, conforme desenho de referência UTR TIPO 2:</v>
          </cell>
          <cell r="E3747"/>
          <cell r="F3747"/>
          <cell r="G3747">
            <v>7516.45</v>
          </cell>
          <cell r="H3747">
            <v>0</v>
          </cell>
        </row>
        <row r="3748">
          <cell r="C3748" t="str">
            <v>21.1.1.11</v>
          </cell>
          <cell r="D3748" t="str">
            <v>Fibra óptica para conexão entre os equipamentos, tipo duplex, multimodo, com fibras de 62,5 μM de diâmetro, conector tipo LC/LC, comprimento 10 ou 2,5 metros</v>
          </cell>
          <cell r="E3748"/>
          <cell r="F3748"/>
          <cell r="G3748">
            <v>102.76</v>
          </cell>
          <cell r="H3748">
            <v>0</v>
          </cell>
        </row>
        <row r="3749">
          <cell r="C3749" t="str">
            <v>21.1.1.12</v>
          </cell>
          <cell r="D3749" t="str">
            <v xml:space="preserve">Comissionamento do Bay de saída </v>
          </cell>
          <cell r="E3749" t="str">
            <v>vb</v>
          </cell>
          <cell r="F3749"/>
          <cell r="G3749">
            <v>17469.737833075094</v>
          </cell>
          <cell r="H3749">
            <v>0</v>
          </cell>
        </row>
        <row r="3750">
          <cell r="C3750" t="str">
            <v>21.1.2</v>
          </cell>
          <cell r="D3750" t="str">
            <v>FORNECIMENTO</v>
          </cell>
          <cell r="E3750"/>
          <cell r="F3750"/>
          <cell r="G3750"/>
          <cell r="H3750">
            <v>0</v>
          </cell>
        </row>
        <row r="3751">
          <cell r="C3751" t="str">
            <v>21.1.2.1</v>
          </cell>
          <cell r="D3751" t="str">
            <v>Para-Raios Em Óxido De  Zinco (Zno), Tipo Estação, Tensão Nominal 72 Kv, 60 Hz, Corrente Nominal De Descarga 10 Ka, Nbi 350 Kv, Fornecido  Com Os Seguintes Acessórios:Conector Terminal, Em Bronze Estanhado, 4 Furos Nema, Para Cabo 6 Awg A 750 Mcm; Conector De Aterramento Para Cabo De Cobre 70 A 120 Mm²; Base Isolada E Base De Fixação Com Quatro Rasgos 18X50 Mm, Espaçados De (250 A 350) X (250 A 350) Mm, Em Diagonal.</v>
          </cell>
          <cell r="E3751" t="str">
            <v>un</v>
          </cell>
          <cell r="F3751"/>
          <cell r="G3751">
            <v>1621.5</v>
          </cell>
          <cell r="H3751">
            <v>0</v>
          </cell>
        </row>
        <row r="3752">
          <cell r="C3752" t="str">
            <v>21.1.2.2</v>
          </cell>
          <cell r="D3752" t="str">
            <v>Disjuntor Tripolar À Sf6, Tensão Nominal 72,5 Kv, 60 Hz, Corrente Nominal 1600 A,  Corrente De  Interrupção Nominal Em Curto-Circuito Simétrico 20 Ka, Nbi 350 Kv, Seqüência De Operações 0-0,3S-Co-180S-Co, Mecanismo De Operação Motorizado, Fornecido Com Os Seguintes Acessórios: Tensões De Alimentação: Auxiliares 220 V, 60 Hz, 1Ø E Circuitos De Abertura, Fechamento E Motor 125 Vcc; Estrutura Metálica Suporte; Conector De Aterramento Para Cabo De Cobre 70 A 120 Mm²; Conector Terminal, Em Bronze Estanhado, 4 Furos Nema, Para Cabo 6 Awg A 750 Mcm.</v>
          </cell>
          <cell r="E3752" t="str">
            <v>un</v>
          </cell>
          <cell r="F3752"/>
          <cell r="G3752">
            <v>37752.6</v>
          </cell>
          <cell r="H3752">
            <v>0</v>
          </cell>
        </row>
        <row r="3753">
          <cell r="C3753" t="str">
            <v>21.1.2.3</v>
          </cell>
          <cell r="D3753" t="str">
            <v>Transformador De Corrente, Tensão Nominal 69 Kv, 60 Hz, Polaridade Subtrativa, Nbi 350 Kv, Corrente Nominal Secundária 5A, Fator Térmico 1.2, Com 1  (Um) Enrolamento Secundário Para Medição Com Classe De Exatidão 0,3C50, Fabricado Com Os Seguintes Acessórios: Conector Terminal, Em Bronze Estanhado, 4 Furos Nema, Para Cabo 6 Awg A 750 Mcm; Conector De Aterramento Para Cabo De Cobre 70 A 120 Mm²; Caixa De Terminais Secundários Com Entradas Rosqueadas Para Eletroduto Ø 38 Mm (1 1/2”); Fixação Pela Base Através De Quatro Rasgos Ø 18X50 Mm, Espaçados De (350 A 550) Mm X (350 A 550) Mm Em Diagonal.</v>
          </cell>
          <cell r="E3753" t="str">
            <v>un</v>
          </cell>
          <cell r="F3753"/>
          <cell r="G3753">
            <v>9348.6</v>
          </cell>
          <cell r="H3753">
            <v>0</v>
          </cell>
        </row>
        <row r="3754">
          <cell r="C3754" t="str">
            <v>21.1.2.4</v>
          </cell>
          <cell r="D3754" t="str">
            <v>Transformador De Corrente, Tensão Nominal 69 Kv, 60 Hz, Polaridade Subtrativa, Nbi 350 Kv, Corrente Nominal Secundária 5A, Fator Térmico 1.2, Com 1  (Um) Enrolamento Secundário Para Proteção 10B200, Relação 1100/150X200/300-5A, Fabricado Com Os Seguintes Acessórios: Conector Terminal, Em Bronze Estanhado, 4 Furos Nema, Para Cabo 6 Awg A 750 Mcm; Conector De Aterramento Para Cabo De Cobre 70 A 120 Mm²; Caixa De Terminais Secundários Com Entradas Rosqueadas Para Eletroduto Ø 38 Mm (1 1/2”); Fixação Pela Base Através De Quatro Rasgos Ø 18X50 Mm, Espaçados De (350 A 550) Mm X (350 A 550) Mm Em Diagonal.</v>
          </cell>
          <cell r="E3754" t="str">
            <v>un</v>
          </cell>
          <cell r="F3754"/>
          <cell r="G3754">
            <v>9348.6</v>
          </cell>
          <cell r="H3754">
            <v>0</v>
          </cell>
        </row>
        <row r="3755">
          <cell r="C3755" t="str">
            <v>21.1.2.5</v>
          </cell>
          <cell r="D3755" t="str">
            <v>Transformador De Potencial, Tensão Nominal 69Kv, 60Hz, Polaridade Subtrativa, Nbi 350 Kv, Com Dois Enrolamentos Secundários, Classe De Exatidão 0,6P200, Potência Térmica 500Va, Relação De Transformação 69.000:√3-115:√3-115 V, Fornecido Com Os Seguintes Acessórios: Conector Terminal, Em Bronze Estanhado, 4 Furos Nema, Para Cabo 6 Awg A 750 Mcm; Conector Terminal De Neutro, Saída 90º Para Cabo De Cobre 70 A 120 Mm²; Conector De Aterramento Para Cabo De Cobre 70 A 120 Mm²; Caixa De Terminais Secundários Com Entradas Rosqueadas Para Eletroduto Ø 38 Mm (1 1/2”); Fixação Pela Base Através De Quatro Rasgos Ø 18X50 Mm, Espaçados De (350 A 550) Mm X (350 A 550) Mm Em Diagonal.</v>
          </cell>
          <cell r="E3755" t="str">
            <v>un</v>
          </cell>
          <cell r="F3755"/>
          <cell r="G3755">
            <v>8721.18</v>
          </cell>
          <cell r="H3755">
            <v>0</v>
          </cell>
        </row>
        <row r="3756">
          <cell r="C3756" t="str">
            <v>21.1.2.6</v>
          </cell>
          <cell r="D3756" t="str">
            <v>Chave Seccionadora Tripolar, Operação Manual, Com Lâmina De Terra E Restritor De Arco, Tensão Nominal 72,5 Kv, Corrente Nominal 630 A, Corrente Suportável De Curta Duração 25 Ka, Nbi 350 Kv, Abertura Lateral, Horizontal Alta, Fornecida Com Os Seguintes Acessórios: Com Mecanismo De Manobra; Conector Terminal, Em Bronze Estanhado, 4 Furos Nema, Para Cabo 6 Awg A 750 Mcm; Conector De Aterramento Para Cabo De Cobre 70 A 120 Mm²; Caixa De Contatos Auxiliares Com 6Na + 6Nf + 2Naa + 2Nbb; Pino Magnético Com Bobina Para 125Vcc, Em Ambos Os Mecanismos (Lâmina Principal E De Terra) Com Saída Para Eletroduto Ø 38 Mm (1.1/2"); Cordoalha De Aterramento Do Mecanismo De Manobra (Lâmina Principal E De Terra); Ferragens Para Fixação Do Equipamento E Acessórios Nas Estruturas; Base De Pólos E Mancal Auxiliar Com Dois Furos Ø 18 Mm E Dois Rasgos Ø 18X50 Mm, Espaçados De 1400 X 76 Mm</v>
          </cell>
          <cell r="E3756" t="str">
            <v>un</v>
          </cell>
          <cell r="F3756"/>
          <cell r="G3756">
            <v>14134.13</v>
          </cell>
          <cell r="H3756">
            <v>0</v>
          </cell>
        </row>
        <row r="3757">
          <cell r="C3757" t="str">
            <v>21.1.2.7</v>
          </cell>
          <cell r="D3757" t="str">
            <v>Chave Seccionadora Tripolar, Operação Manual, Com Restritor De Arco, Tensão Nominal 72,5 Kv, Corrente Nominal 630 A, Corrente Suportável De Curta Duração 25 Ka, Nbi 350 Kv, Abertura Lateral, Vertical, Fornecida Com Os Seguintes Acessórios: Com Mecanismo De Manobra; Conector Terminal, Em Bronze Estanhado, 4 Furos Nema, Para Cabo 6 Awg A 750 Mcm; Conector De Aterramento Para Cabo De Cobre 70 A 120 Mm²; Caixa De Contatos Auxiliares Com 6Na + 6Nf + 2Naa + 2Nbb, Com Saída Para Eletroduto Ø38 Mm (1.1/2"); Cordoalha De Aterramento Do Mecanismo De Manobra; Ferragens Para Fixação Do Equipamento E Acessórios Nas Estruturas; Base De Pólos E Mancal Auxiliar Com Dois Furos Ø 18 Mm E Dois Rasgos Ø 18X50 Mm, Espaçados De 1400 X 76 Mm</v>
          </cell>
          <cell r="E3757" t="str">
            <v>un</v>
          </cell>
          <cell r="F3757"/>
          <cell r="G3757">
            <v>11439.06</v>
          </cell>
          <cell r="H3757">
            <v>0</v>
          </cell>
        </row>
        <row r="3758">
          <cell r="C3758" t="str">
            <v>21.1.2.8</v>
          </cell>
          <cell r="D3758" t="str">
            <v>Relé de proteção, modelo 751-1, part number 751101A1A3A70850830, fabricação SEL</v>
          </cell>
          <cell r="E3758" t="str">
            <v>un</v>
          </cell>
          <cell r="F3758"/>
          <cell r="G3758">
            <v>14181.83</v>
          </cell>
          <cell r="H3758">
            <v>0</v>
          </cell>
        </row>
        <row r="3759">
          <cell r="C3759" t="str">
            <v>21.1.2.9</v>
          </cell>
          <cell r="D3759" t="str">
            <v>Medidor de energia para coleta de medição operacional, modelo PM8243, fabricação Scheneider</v>
          </cell>
          <cell r="E3759" t="str">
            <v>un</v>
          </cell>
          <cell r="F3759"/>
          <cell r="G3759">
            <v>7160.35</v>
          </cell>
          <cell r="H3759">
            <v>0</v>
          </cell>
        </row>
        <row r="3760">
          <cell r="C3760" t="str">
            <v>21.1.2.10</v>
          </cell>
          <cell r="D3760" t="str">
            <v>Painel de comunicação contendo os seguintes equipamentos, conforme desenho de referência UTR TIPO 2:</v>
          </cell>
          <cell r="E3760"/>
          <cell r="F3760"/>
          <cell r="G3760"/>
          <cell r="H3760">
            <v>0</v>
          </cell>
        </row>
        <row r="3761">
          <cell r="C3761" t="str">
            <v>21.1.2.10.1</v>
          </cell>
          <cell r="D3761" t="str">
            <v>RTAC SEL 3530AA2XX313X0XXXXXX,</v>
          </cell>
          <cell r="E3761" t="str">
            <v>un</v>
          </cell>
          <cell r="F3761"/>
          <cell r="G3761">
            <v>23470.78</v>
          </cell>
          <cell r="H3761">
            <v>0</v>
          </cell>
        </row>
        <row r="3762">
          <cell r="C3762" t="str">
            <v>21.1.2.10.2</v>
          </cell>
          <cell r="D3762" t="str">
            <v xml:space="preserve">Switchs SEL 2730M0ARAA2222AAAAX0, </v>
          </cell>
          <cell r="E3762" t="str">
            <v>un</v>
          </cell>
          <cell r="F3762"/>
          <cell r="G3762">
            <v>14674.92</v>
          </cell>
          <cell r="H3762">
            <v>0</v>
          </cell>
        </row>
        <row r="3763">
          <cell r="C3763" t="str">
            <v>21.1.2.10.3</v>
          </cell>
          <cell r="D3763" t="str">
            <v xml:space="preserve">DIO-72, </v>
          </cell>
          <cell r="E3763" t="str">
            <v>un</v>
          </cell>
          <cell r="F3763"/>
          <cell r="G3763">
            <v>619.1081209320979</v>
          </cell>
          <cell r="H3763">
            <v>0</v>
          </cell>
        </row>
        <row r="3764">
          <cell r="C3764" t="str">
            <v>21.1.2.11</v>
          </cell>
          <cell r="D3764" t="str">
            <v>Fibra óptica para conexão entre os equipamentos, tipo duplex, multimodo, com fibras de 62,5 μM de diâmetro, conector tipo LC/LC, comprimento 10 ou 2,5 metros</v>
          </cell>
          <cell r="E3764" t="str">
            <v>un</v>
          </cell>
          <cell r="F3764"/>
          <cell r="G3764">
            <v>16.688937040382111</v>
          </cell>
          <cell r="H3764">
            <v>0</v>
          </cell>
        </row>
        <row r="3765">
          <cell r="C3765" t="str">
            <v>21.2</v>
          </cell>
          <cell r="D3765" t="str">
            <v>ESTRUTURAS</v>
          </cell>
          <cell r="E3765"/>
          <cell r="F3765"/>
          <cell r="G3765"/>
          <cell r="H3765">
            <v>0</v>
          </cell>
        </row>
        <row r="3766">
          <cell r="C3766" t="str">
            <v>21.2.1</v>
          </cell>
          <cell r="D3766" t="str">
            <v>MONTAGEM</v>
          </cell>
          <cell r="E3766"/>
          <cell r="F3766"/>
          <cell r="G3766"/>
          <cell r="H3766">
            <v>0</v>
          </cell>
        </row>
        <row r="3767">
          <cell r="C3767" t="str">
            <v>21.2.1.1</v>
          </cell>
          <cell r="D3767" t="str">
            <v>Abraçadeira Tipo Unha Em Ferro Zincado À Quente, Para Cabo De Cobre Nú 70 Mm²</v>
          </cell>
          <cell r="E3767" t="str">
            <v>pç</v>
          </cell>
          <cell r="F3767"/>
          <cell r="G3767">
            <v>0.52</v>
          </cell>
          <cell r="H3767">
            <v>0</v>
          </cell>
        </row>
        <row r="3768">
          <cell r="C3768" t="str">
            <v>21.2.1.2</v>
          </cell>
          <cell r="D3768" t="str">
            <v>Alça Preformada Para Cabo De Aluminio Caa 312,8 Mcm</v>
          </cell>
          <cell r="E3768" t="str">
            <v>pç</v>
          </cell>
          <cell r="F3768"/>
          <cell r="G3768">
            <v>1.75</v>
          </cell>
          <cell r="H3768">
            <v>0</v>
          </cell>
        </row>
        <row r="3769">
          <cell r="C3769" t="str">
            <v>21.2.1.3</v>
          </cell>
          <cell r="D3769" t="str">
            <v>Anel De Concreto Armado Pré-Moldado, Tipo Triplo (B-3), Para Fixação De Viga Duplo “T” Ou Retangular, Em Poste De Concreto</v>
          </cell>
          <cell r="E3769" t="str">
            <v>pç</v>
          </cell>
          <cell r="F3769"/>
          <cell r="G3769">
            <v>80.73</v>
          </cell>
          <cell r="H3769">
            <v>0</v>
          </cell>
        </row>
        <row r="3770">
          <cell r="C3770" t="str">
            <v>21.2.1.4</v>
          </cell>
          <cell r="D3770" t="str">
            <v>Arruela Quadrada Fabricada Em Aço Zincado, Diametro Do Furo 22 Mm, Dimensões 50X5 Mm</v>
          </cell>
          <cell r="E3770" t="str">
            <v>pç</v>
          </cell>
          <cell r="F3770"/>
          <cell r="G3770">
            <v>0.35</v>
          </cell>
          <cell r="H3770">
            <v>0</v>
          </cell>
        </row>
        <row r="3771">
          <cell r="C3771" t="str">
            <v>21.2.1.5</v>
          </cell>
          <cell r="D3771" t="str">
            <v>Arruela Quadrada Fabricada Em Aço Zincado, Diametro Do Furo 22 Mm, Dimensões 100X5 Mm</v>
          </cell>
          <cell r="E3771" t="str">
            <v>pç</v>
          </cell>
          <cell r="F3771"/>
          <cell r="G3771">
            <v>0.35</v>
          </cell>
          <cell r="H3771">
            <v>0</v>
          </cell>
        </row>
        <row r="3772">
          <cell r="C3772" t="str">
            <v>21.2.1.6</v>
          </cell>
          <cell r="D3772" t="str">
            <v>Arruela Redonda, Fabricada Em Aço Zincado, Diametro Do Furo Interno 22 Mm E Externo 44, Espessura 5 Mm</v>
          </cell>
          <cell r="E3772" t="str">
            <v>pç</v>
          </cell>
          <cell r="F3772"/>
          <cell r="G3772">
            <v>0.14000000000000001</v>
          </cell>
          <cell r="H3772">
            <v>0</v>
          </cell>
        </row>
        <row r="3773">
          <cell r="C3773" t="str">
            <v>21.2.1.7</v>
          </cell>
          <cell r="D3773" t="str">
            <v>Bucha De Nylon S-8, Tipo Fixa Para Parafuso Rosca Soberba 4,8 X 50 Mm</v>
          </cell>
          <cell r="E3773" t="str">
            <v>pç</v>
          </cell>
          <cell r="F3773"/>
          <cell r="G3773">
            <v>0.17</v>
          </cell>
          <cell r="H3773">
            <v>0</v>
          </cell>
        </row>
        <row r="3774">
          <cell r="C3774" t="str">
            <v>21.2.1.8</v>
          </cell>
          <cell r="D3774" t="str">
            <v xml:space="preserve">Cabo De Aluminio Com Alma De Aço - Caa 312,8 Mcm </v>
          </cell>
          <cell r="E3774" t="str">
            <v>kg</v>
          </cell>
          <cell r="F3774"/>
          <cell r="G3774">
            <v>38.67</v>
          </cell>
          <cell r="H3774">
            <v>0</v>
          </cell>
        </row>
        <row r="3775">
          <cell r="C3775" t="str">
            <v>21.2.1.9</v>
          </cell>
          <cell r="D3775" t="str">
            <v>Cartucho De Metal De Solda Para Conexão De Cabos De Cobre Nú, Pelo Processo Exotérmico, Fornec. Em Embalagem Apropriada Com Pó De Ignição No Fundo, Tamanho 200</v>
          </cell>
          <cell r="E3775" t="str">
            <v>pç</v>
          </cell>
          <cell r="F3775"/>
          <cell r="G3775">
            <v>0.35</v>
          </cell>
          <cell r="H3775">
            <v>0</v>
          </cell>
        </row>
        <row r="3776">
          <cell r="C3776" t="str">
            <v>21.2.1.10</v>
          </cell>
          <cell r="D3776" t="str">
            <v>Conector De Aterramento Em Bronze Estanhado, Para Um Cabo De Cobre De 16 A 70 Mm2, Com O Corpo Constitído Por Duas Peças, Fixação A Chapa De Aço De Espessura Até 10 Mm, Com Parafuso, Porca E Arruela De Pressão Em Bronze Silício</v>
          </cell>
          <cell r="E3776" t="str">
            <v>pç</v>
          </cell>
          <cell r="F3776"/>
          <cell r="G3776">
            <v>1.05</v>
          </cell>
          <cell r="H3776">
            <v>0</v>
          </cell>
        </row>
        <row r="3777">
          <cell r="C3777" t="str">
            <v>21.2.1.11</v>
          </cell>
          <cell r="D3777" t="str">
            <v>Conector Derivação "T" Em Liga De Aluminio, Para Cabos De Aluminio Liga 160 Mm², Na Reta E Na Derivação, Com Paarfusos, Porcas E Arruelas Em Aço Inoxidável</v>
          </cell>
          <cell r="E3777" t="str">
            <v>pç</v>
          </cell>
          <cell r="F3777"/>
          <cell r="G3777">
            <v>6.99</v>
          </cell>
          <cell r="H3777">
            <v>0</v>
          </cell>
        </row>
        <row r="3778">
          <cell r="C3778" t="str">
            <v>21.2.1.12</v>
          </cell>
          <cell r="D3778" t="str">
            <v>Grampo De Ancoragem Passante Em Liga De Alumínio, Para Cabo De Alumínio Liga 160 Mm², Com Parafusos Porcas E Arruelas Em Aço Inoxidável</v>
          </cell>
          <cell r="E3778" t="str">
            <v>pç</v>
          </cell>
          <cell r="F3778"/>
          <cell r="G3778">
            <v>1.4</v>
          </cell>
          <cell r="H3778">
            <v>0</v>
          </cell>
        </row>
        <row r="3779">
          <cell r="C3779" t="str">
            <v>21.2.1.13</v>
          </cell>
          <cell r="D3779" t="str">
            <v>Haste Para-Raios 3/4" X 2500 Mm, Em Aço Zincado A Quente</v>
          </cell>
          <cell r="E3779" t="str">
            <v>pç</v>
          </cell>
          <cell r="F3779"/>
          <cell r="G3779">
            <v>21.06</v>
          </cell>
          <cell r="H3779">
            <v>0</v>
          </cell>
        </row>
        <row r="3780">
          <cell r="C3780" t="str">
            <v>21.2.1.14</v>
          </cell>
          <cell r="D3780" t="str">
            <v>Haste De Aterramento Com Núcleo De Aço Carbono, Revestido Em Cobre Pelo Processo De Deposição Eletroilítico, Diâmetro De 19Mm (3/4"), Comprimento 3.000Mm</v>
          </cell>
          <cell r="E3780" t="str">
            <v>pç</v>
          </cell>
          <cell r="F3780"/>
          <cell r="G3780">
            <v>24.57</v>
          </cell>
          <cell r="H3780">
            <v>0</v>
          </cell>
        </row>
        <row r="3781">
          <cell r="C3781" t="str">
            <v>21.2.1.15</v>
          </cell>
          <cell r="D3781" t="str">
            <v>Isolador De Suspensão, De Vidro Temperado, Tipo Linha De Distribuição Classe Iec 305 (V-50C), Engate Tipo Concha Bola, De Acordo Com Iec 471-14 C, Diâmetro De Disco 254 Mm</v>
          </cell>
          <cell r="E3781" t="str">
            <v>pç</v>
          </cell>
          <cell r="F3781"/>
          <cell r="G3781">
            <v>5.24</v>
          </cell>
          <cell r="H3781">
            <v>0</v>
          </cell>
        </row>
        <row r="3782">
          <cell r="C3782" t="str">
            <v>21.2.1.16</v>
          </cell>
          <cell r="D3782" t="str">
            <v>Manilha Em Aço Zincado A Quente, Carga De Ruptura 12000 Dan, Diametro Nominal 16 Mm, Com Pino</v>
          </cell>
          <cell r="E3782" t="str">
            <v>pç</v>
          </cell>
          <cell r="F3782"/>
          <cell r="G3782">
            <v>1.75</v>
          </cell>
          <cell r="H3782">
            <v>0</v>
          </cell>
        </row>
        <row r="3783">
          <cell r="C3783" t="str">
            <v>21.2.1.17</v>
          </cell>
          <cell r="D3783" t="str">
            <v>Manilha Sapatilha Em Aço Zincado A Quente</v>
          </cell>
          <cell r="E3783" t="str">
            <v>pç</v>
          </cell>
          <cell r="F3783"/>
          <cell r="G3783">
            <v>1.05</v>
          </cell>
          <cell r="H3783">
            <v>0</v>
          </cell>
        </row>
        <row r="3784">
          <cell r="C3784" t="str">
            <v>21.2.1.18</v>
          </cell>
          <cell r="D3784" t="str">
            <v>Molde Para Conexão Exotérmica De Cabo 70 Mm²</v>
          </cell>
          <cell r="E3784" t="str">
            <v>pç</v>
          </cell>
          <cell r="F3784"/>
          <cell r="G3784">
            <v>4.1900000000000004</v>
          </cell>
          <cell r="H3784">
            <v>0</v>
          </cell>
        </row>
        <row r="3785">
          <cell r="C3785" t="str">
            <v>21.2.1.19</v>
          </cell>
          <cell r="D3785" t="str">
            <v>Olhal Para Parafuso M20 Em Aço Zincado A Quente, Carga De Ruptura 12000 Dan</v>
          </cell>
          <cell r="E3785" t="str">
            <v>pç</v>
          </cell>
          <cell r="F3785"/>
          <cell r="G3785">
            <v>0.52</v>
          </cell>
          <cell r="H3785">
            <v>0</v>
          </cell>
        </row>
        <row r="3786">
          <cell r="C3786" t="str">
            <v>21.2.1.20</v>
          </cell>
          <cell r="D3786" t="str">
            <v>Parafuso De Máquina, Cabeça Quadrada, Em Aço Zincado, Rosca M20 X 2,5, Comprimento Total A = 300, Parte Rosqueada B = 220 Mm, Completo Com Duas Porcas Quadrada</v>
          </cell>
          <cell r="E3786" t="str">
            <v>pç</v>
          </cell>
          <cell r="F3786"/>
          <cell r="G3786">
            <v>2.1</v>
          </cell>
          <cell r="H3786">
            <v>0</v>
          </cell>
        </row>
        <row r="3787">
          <cell r="C3787" t="str">
            <v>21.2.1.21</v>
          </cell>
          <cell r="D3787" t="str">
            <v>Parafuso De Máquina, Cabeça Quadrada, Em Aço Zincado, Rosca M20 X 2,5, Comprimento Total A = 350, Parte Rosqueada B = 270 Mm, Completo Com Duas Porcas Quadrada</v>
          </cell>
          <cell r="E3787" t="str">
            <v>pç</v>
          </cell>
          <cell r="F3787"/>
          <cell r="G3787">
            <v>2.8</v>
          </cell>
          <cell r="H3787">
            <v>0</v>
          </cell>
        </row>
        <row r="3788">
          <cell r="C3788" t="str">
            <v>21.2.1.22</v>
          </cell>
          <cell r="D3788" t="str">
            <v>Parafuso De Máquina, Cabeça Quadrada, Em Aço Zincado, Rosca M20 X 2,5, Comprimento Total A = 400, Parte Rosqueada B = 320 Mm, Completo Com Duas Porcas Quadrada</v>
          </cell>
          <cell r="E3788" t="str">
            <v>pç</v>
          </cell>
          <cell r="F3788"/>
          <cell r="G3788">
            <v>2.8</v>
          </cell>
          <cell r="H3788">
            <v>0</v>
          </cell>
        </row>
        <row r="3789">
          <cell r="C3789" t="str">
            <v>21.2.1.23</v>
          </cell>
          <cell r="D3789" t="str">
            <v>Parafuso De Máquina, Cabeça Quadrada, Em Aço Zincado, Rosca M20 X 2,5, Comprimento Total A = 450, Parte Rosqueada B = 370 Mm, Completo Com Duas Porcas Quadrada</v>
          </cell>
          <cell r="E3789" t="str">
            <v>pç</v>
          </cell>
          <cell r="F3789"/>
          <cell r="G3789">
            <v>3.15</v>
          </cell>
          <cell r="H3789">
            <v>0</v>
          </cell>
        </row>
        <row r="3790">
          <cell r="C3790" t="str">
            <v>21.2.1.24</v>
          </cell>
          <cell r="D3790" t="str">
            <v>Parafuso De Máquina, Cabeça Quadrada, Em Aço Zincado, Rosca M20 X 2,5, Comprimento Total A = 500, Parte Rosqueada B = 420 Mm, Completo Com Duas Porcas Quadrada</v>
          </cell>
          <cell r="E3790" t="str">
            <v>pç</v>
          </cell>
          <cell r="F3790"/>
          <cell r="G3790">
            <v>3.15</v>
          </cell>
          <cell r="H3790">
            <v>0</v>
          </cell>
        </row>
        <row r="3791">
          <cell r="C3791" t="str">
            <v>21.2.1.25</v>
          </cell>
          <cell r="D3791" t="str">
            <v>Parafuso De Máquina, Cabeça Quadrada, Em Aço Zincado, Rosca M20 X 2,5, Comprimento Total A = 550, Parte Rosqueada B = 470 Mm, Completo Com Duas Porcas Quadrada</v>
          </cell>
          <cell r="E3791" t="str">
            <v>pç</v>
          </cell>
          <cell r="F3791"/>
          <cell r="G3791">
            <v>3.5</v>
          </cell>
          <cell r="H3791">
            <v>0</v>
          </cell>
        </row>
        <row r="3792">
          <cell r="C3792" t="str">
            <v>21.2.1.26</v>
          </cell>
          <cell r="D3792" t="str">
            <v>Porca Quadrada, Fabricada Em Aço Zincado. Rosca M16 X 2</v>
          </cell>
          <cell r="E3792" t="str">
            <v>pç</v>
          </cell>
          <cell r="F3792"/>
          <cell r="G3792">
            <v>0.17</v>
          </cell>
          <cell r="H3792">
            <v>0</v>
          </cell>
        </row>
        <row r="3793">
          <cell r="C3793" t="str">
            <v>21.2.1.27</v>
          </cell>
          <cell r="D3793" t="str">
            <v>Suporte Capitel De Concreto Armado Para Fixação De "Tc" E "Tp" 72,5 Kv</v>
          </cell>
          <cell r="E3793" t="str">
            <v>pç</v>
          </cell>
          <cell r="F3793"/>
          <cell r="G3793">
            <v>265.37</v>
          </cell>
          <cell r="H3793">
            <v>0</v>
          </cell>
        </row>
        <row r="3794">
          <cell r="C3794" t="str">
            <v>21.2.1.28</v>
          </cell>
          <cell r="D3794" t="str">
            <v>Suporte Capitel De Concreto Armado Para Pára-Raio 72,5 Kv</v>
          </cell>
          <cell r="E3794" t="str">
            <v>pç</v>
          </cell>
          <cell r="F3794"/>
          <cell r="G3794">
            <v>265.44</v>
          </cell>
          <cell r="H3794">
            <v>0</v>
          </cell>
        </row>
        <row r="3795">
          <cell r="C3795" t="str">
            <v>21.2.1.29</v>
          </cell>
          <cell r="D3795" t="str">
            <v>Suporte Aço Zincado Para Fixação De Equipamentos</v>
          </cell>
          <cell r="E3795" t="str">
            <v>pç</v>
          </cell>
          <cell r="F3795"/>
          <cell r="G3795">
            <v>265.77</v>
          </cell>
          <cell r="H3795">
            <v>0</v>
          </cell>
        </row>
        <row r="3796">
          <cell r="C3796" t="str">
            <v>21.2.1.30</v>
          </cell>
          <cell r="D3796" t="str">
            <v>Viga De Concreto Armado, Seção Duplo "T", 310 X 230 Mm, Comprimento 7100 Mm, Na Posição Vertical E Horizontal</v>
          </cell>
          <cell r="E3796" t="str">
            <v>pç</v>
          </cell>
          <cell r="F3796"/>
          <cell r="G3796">
            <v>398.17</v>
          </cell>
          <cell r="H3796">
            <v>0</v>
          </cell>
        </row>
        <row r="3797">
          <cell r="C3797" t="str">
            <v>21.2.2</v>
          </cell>
          <cell r="D3797" t="str">
            <v>FORNECIMENTO</v>
          </cell>
          <cell r="E3797"/>
          <cell r="F3797"/>
          <cell r="G3797"/>
          <cell r="H3797">
            <v>0</v>
          </cell>
        </row>
        <row r="3798">
          <cell r="C3798" t="str">
            <v>21.2.2.1</v>
          </cell>
          <cell r="D3798" t="str">
            <v>Abraçadeira Tipo Unha Em Ferro Zincado À Quente, Para Cabo De Cobre Nú 70 Mm²</v>
          </cell>
          <cell r="E3798" t="str">
            <v>pç</v>
          </cell>
          <cell r="F3798"/>
          <cell r="G3798">
            <v>4.75</v>
          </cell>
          <cell r="H3798">
            <v>0</v>
          </cell>
        </row>
        <row r="3799">
          <cell r="C3799" t="str">
            <v>21.2.2.2</v>
          </cell>
          <cell r="D3799" t="str">
            <v>Alça Preformada Para Cabo De Aluminio Caa 312,8 Mcm</v>
          </cell>
          <cell r="E3799" t="str">
            <v>pç</v>
          </cell>
          <cell r="F3799"/>
          <cell r="G3799">
            <v>0</v>
          </cell>
          <cell r="H3799">
            <v>0</v>
          </cell>
        </row>
        <row r="3800">
          <cell r="C3800" t="str">
            <v>21.2.2.3</v>
          </cell>
          <cell r="D3800" t="str">
            <v>Anel De Concreto Armado Pré-Moldado, Tipo Triplo (B-3), Para Fixação De Viga Duplo “T” Ou Retangular, Em Poste De Concreto</v>
          </cell>
          <cell r="E3800" t="str">
            <v>pç</v>
          </cell>
          <cell r="F3800"/>
          <cell r="G3800">
            <v>247.18</v>
          </cell>
          <cell r="H3800">
            <v>0</v>
          </cell>
        </row>
        <row r="3801">
          <cell r="C3801" t="str">
            <v>21.2.2.4</v>
          </cell>
          <cell r="D3801" t="str">
            <v>Arruela Quadrada Fabricada Em Aço Zincado, Diametro Do Furo 22 Mm, Dimensões 50X5 Mm</v>
          </cell>
          <cell r="E3801" t="str">
            <v>pç</v>
          </cell>
          <cell r="F3801"/>
          <cell r="G3801">
            <v>0.7</v>
          </cell>
          <cell r="H3801">
            <v>0</v>
          </cell>
        </row>
        <row r="3802">
          <cell r="C3802" t="str">
            <v>21.2.2.5</v>
          </cell>
          <cell r="D3802" t="str">
            <v>Arruela Quadrada Fabricada Em Aço Zincado, Diametro Do Furo 22 Mm, Dimensões 100X5 Mm</v>
          </cell>
          <cell r="E3802" t="str">
            <v>pç</v>
          </cell>
          <cell r="F3802"/>
          <cell r="G3802">
            <v>0</v>
          </cell>
          <cell r="H3802">
            <v>0</v>
          </cell>
        </row>
        <row r="3803">
          <cell r="C3803" t="str">
            <v>21.2.2.6</v>
          </cell>
          <cell r="D3803" t="str">
            <v>Arruela Redonda, Fabricada Em Aço Zincado, Diametro Do Furo Interno 22 Mm E Externo 44, Espessura 5 Mm</v>
          </cell>
          <cell r="E3803" t="str">
            <v>pç</v>
          </cell>
          <cell r="F3803"/>
          <cell r="G3803">
            <v>0</v>
          </cell>
          <cell r="H3803">
            <v>0</v>
          </cell>
        </row>
        <row r="3804">
          <cell r="C3804" t="str">
            <v>21.2.2.7</v>
          </cell>
          <cell r="D3804" t="str">
            <v>Bucha De Nylon S-8, Tipo Fixa Para Parafuso Rosca Soberba 4,8 X 50 Mm - comprimento 40mm</v>
          </cell>
          <cell r="E3804" t="str">
            <v>pç</v>
          </cell>
          <cell r="F3804"/>
          <cell r="G3804">
            <v>0.17</v>
          </cell>
          <cell r="H3804">
            <v>0</v>
          </cell>
        </row>
        <row r="3805">
          <cell r="C3805" t="str">
            <v>21.2.2.8</v>
          </cell>
          <cell r="D3805" t="str">
            <v>Cabo De Aluminio Com Alma De Aço - Caa 266,8 Mcm 26/7 Fios - Partridge</v>
          </cell>
          <cell r="E3805" t="str">
            <v>kg</v>
          </cell>
          <cell r="F3805"/>
          <cell r="G3805">
            <v>5.93</v>
          </cell>
          <cell r="H3805">
            <v>0</v>
          </cell>
        </row>
        <row r="3806">
          <cell r="C3806" t="str">
            <v>21.2.2.9</v>
          </cell>
          <cell r="D3806" t="str">
            <v>Cartucho De Metal De Solda Para Conexão De Cabos De Cobre Nú, Pelo Processo Exotérmico, Fornec. Em Embalagem Apropriada Com Pó De Ignição No Fundo, Tamanho 200</v>
          </cell>
          <cell r="E3806" t="str">
            <v>pç</v>
          </cell>
          <cell r="F3806"/>
          <cell r="G3806">
            <v>5.5</v>
          </cell>
          <cell r="H3806">
            <v>0</v>
          </cell>
        </row>
        <row r="3807">
          <cell r="C3807" t="str">
            <v>21.2.2.10</v>
          </cell>
          <cell r="D3807" t="str">
            <v>Conector De Aterramento Em Bronze Estanhado, Para Um Cabo De Cobre De 16 A 70 Mm2, Com O Corpo Constitído Por Duas Peças, Fixação A Chapa De Aço De Espessura Até 10 Mm, Com Parafuso, Porca E Arruela De Pressão Em Bronze Silício</v>
          </cell>
          <cell r="E3807" t="str">
            <v>pç</v>
          </cell>
          <cell r="F3807"/>
          <cell r="G3807">
            <v>18.09</v>
          </cell>
          <cell r="H3807">
            <v>0</v>
          </cell>
        </row>
        <row r="3808">
          <cell r="C3808" t="str">
            <v>21.2.2.11</v>
          </cell>
          <cell r="D3808" t="str">
            <v>Conector Derivação "T" Em Liga De Aluminio, Para Cabos De Aluminio Liga 160 Mm², Na Reta E Na Derivação, Com Paarfusos, Porcas E Arruelas Em Aço Inoxidável</v>
          </cell>
          <cell r="E3808" t="str">
            <v>pç</v>
          </cell>
          <cell r="F3808"/>
          <cell r="G3808">
            <v>49.86</v>
          </cell>
          <cell r="H3808">
            <v>0</v>
          </cell>
        </row>
        <row r="3809">
          <cell r="C3809" t="str">
            <v>21.2.2.12</v>
          </cell>
          <cell r="D3809" t="str">
            <v>Grampo De Ancoragem Passante Em Liga De Alumínio, Para Cabo De Alumínio Liga 160 Mm², Com Parafusos Porcas E Arruelas Em Aço Inoxidável</v>
          </cell>
          <cell r="E3809" t="str">
            <v>pç</v>
          </cell>
          <cell r="F3809"/>
          <cell r="G3809">
            <v>89.65</v>
          </cell>
          <cell r="H3809">
            <v>0</v>
          </cell>
        </row>
        <row r="3810">
          <cell r="C3810" t="str">
            <v>21.2.2.13</v>
          </cell>
          <cell r="D3810" t="str">
            <v>Haste Para-Raios 3/4" X 2500 Mm, Em Aço Zincado A Quente</v>
          </cell>
          <cell r="E3810" t="str">
            <v>pç</v>
          </cell>
          <cell r="F3810"/>
          <cell r="G3810">
            <v>22.83</v>
          </cell>
          <cell r="H3810">
            <v>0</v>
          </cell>
        </row>
        <row r="3811">
          <cell r="C3811" t="str">
            <v>21.2.2.14</v>
          </cell>
          <cell r="D3811" t="str">
            <v>Haste De Aterramento Com Núcleo De Aço Carbono, Revestido Em Cobre Pelo Processo De Deposição Eletroilítico, Diâmetro De 19Mm (3/4"), Comprimento 3.000Mm</v>
          </cell>
          <cell r="E3811" t="str">
            <v>pç</v>
          </cell>
          <cell r="F3811"/>
          <cell r="G3811">
            <v>25.11</v>
          </cell>
          <cell r="H3811">
            <v>0</v>
          </cell>
        </row>
        <row r="3812">
          <cell r="C3812" t="str">
            <v>21.2.2.15</v>
          </cell>
          <cell r="D3812" t="str">
            <v>Isolador De Suspensão, De Vidro Temperado, Tipo Linha De Distribuição Classe Iec 305 (V-50C), Engate Tipo Concha Bola, De Acordo Com Iec 471-14 C, Diâmetro De Disco 254 Mm</v>
          </cell>
          <cell r="E3812" t="str">
            <v>pç</v>
          </cell>
          <cell r="F3812"/>
          <cell r="G3812">
            <v>45.59</v>
          </cell>
          <cell r="H3812">
            <v>0</v>
          </cell>
        </row>
        <row r="3813">
          <cell r="C3813" t="str">
            <v>21.2.2.16</v>
          </cell>
          <cell r="D3813" t="str">
            <v>Manilha Em Aço Zincado A Quente, Carga De Ruptura 12000 Dan, Diametro Nominal 16 Mm, Com Pino</v>
          </cell>
          <cell r="E3813" t="str">
            <v>pç</v>
          </cell>
          <cell r="F3813"/>
          <cell r="G3813">
            <v>27.28</v>
          </cell>
          <cell r="H3813">
            <v>0</v>
          </cell>
        </row>
        <row r="3814">
          <cell r="C3814" t="str">
            <v>21.2.2.17</v>
          </cell>
          <cell r="D3814" t="str">
            <v>Manilha Sapatilha Em Aço Zincado A Quente</v>
          </cell>
          <cell r="E3814" t="str">
            <v>pç</v>
          </cell>
          <cell r="F3814"/>
          <cell r="G3814">
            <v>4.24</v>
          </cell>
          <cell r="H3814">
            <v>0</v>
          </cell>
        </row>
        <row r="3815">
          <cell r="C3815" t="str">
            <v>21.2.2.18</v>
          </cell>
          <cell r="D3815" t="str">
            <v>Molde De Grafite, Tipo Padrão Para Conexão Soldada Em "T" De  Cabos De Cobre Nú 70 Mm2 Na Passagem E Derivação. (Pos 51) Ref.: Cadweld Cat. Nº Tac  Y4Y4 Ou Similar.</v>
          </cell>
          <cell r="E3815" t="str">
            <v>pç</v>
          </cell>
          <cell r="F3815"/>
          <cell r="G3815">
            <v>158.59</v>
          </cell>
          <cell r="H3815">
            <v>0</v>
          </cell>
        </row>
        <row r="3816">
          <cell r="C3816" t="str">
            <v>21.2.2.19</v>
          </cell>
          <cell r="D3816" t="str">
            <v>Olhal Para Parafuso M20 Em Aço Zincado A Quente, Carga De Ruptura 12000 Dan</v>
          </cell>
          <cell r="E3816" t="str">
            <v>pç</v>
          </cell>
          <cell r="F3816"/>
          <cell r="G3816">
            <v>3.68</v>
          </cell>
          <cell r="H3816">
            <v>0</v>
          </cell>
        </row>
        <row r="3817">
          <cell r="C3817" t="str">
            <v>21.2.2.20</v>
          </cell>
          <cell r="D3817" t="str">
            <v>Parafuso De Máquina, Cabeça Quadrada, Em Aço Zincado, Rosca M20 X 2,5, Comprimento Total A = 300, Parte Rosqueada B = 220 Mm, Completo Com Duas Porcas Quadrada</v>
          </cell>
          <cell r="E3817" t="str">
            <v>pç</v>
          </cell>
          <cell r="F3817"/>
          <cell r="G3817">
            <v>4.45</v>
          </cell>
          <cell r="H3817">
            <v>0</v>
          </cell>
        </row>
        <row r="3818">
          <cell r="C3818" t="str">
            <v>21.2.2.21</v>
          </cell>
          <cell r="D3818" t="str">
            <v>Parafuso De Máquina, Cabeça Quadrada, Em Aço Zincado, Rosca M20 X 2,5, Comprimento Total A = 350, Parte Rosqueada B = 270 Mm, Completo Com Duas Porcas Quadrada</v>
          </cell>
          <cell r="E3818" t="str">
            <v>pç</v>
          </cell>
          <cell r="F3818"/>
          <cell r="G3818">
            <v>5.65</v>
          </cell>
          <cell r="H3818">
            <v>0</v>
          </cell>
        </row>
        <row r="3819">
          <cell r="C3819" t="str">
            <v>21.2.2.22</v>
          </cell>
          <cell r="D3819" t="str">
            <v>Parafuso De Máquina, Cabeça Quadrada, Em Aço Zincado, Rosca M20 X 2,5, Comprimento Total A = 400, Parte Rosqueada B = 320 Mm, Completo Com Duas Porcas Quadrada</v>
          </cell>
          <cell r="E3819" t="str">
            <v>pç</v>
          </cell>
          <cell r="F3819"/>
          <cell r="G3819">
            <v>7.87</v>
          </cell>
          <cell r="H3819">
            <v>0</v>
          </cell>
        </row>
        <row r="3820">
          <cell r="C3820" t="str">
            <v>21.2.2.23</v>
          </cell>
          <cell r="D3820" t="str">
            <v>Parafuso De Máquina, Cabeça Quadrada, Em Aço Zincado, Rosca M20 X 2,5, Comprimento Total A = 450, Parte Rosqueada B = 370 Mm, Completo Com Duas Porcas Quadrada</v>
          </cell>
          <cell r="E3820" t="str">
            <v>pç</v>
          </cell>
          <cell r="F3820"/>
          <cell r="G3820">
            <v>8.85</v>
          </cell>
          <cell r="H3820">
            <v>0</v>
          </cell>
        </row>
        <row r="3821">
          <cell r="C3821" t="str">
            <v>21.2.2.24</v>
          </cell>
          <cell r="D3821" t="str">
            <v>Parafuso De Máquina, Cabeça Quadrada, Em Aço Zincado, Rosca M20 X 2,5, Comprimento Total A = 500, Parte Rosqueada B = 420 Mm, Completo Com Duas Porcas Quadrada</v>
          </cell>
          <cell r="E3821" t="str">
            <v>pç</v>
          </cell>
          <cell r="F3821"/>
          <cell r="G3821">
            <v>9.8000000000000007</v>
          </cell>
          <cell r="H3821">
            <v>0</v>
          </cell>
        </row>
        <row r="3822">
          <cell r="C3822" t="str">
            <v>21.2.2.25</v>
          </cell>
          <cell r="D3822" t="str">
            <v>Parafuso De Máquina, Cabeça Quadrada, Em Aço Zincado, Rosca M20 X 2,5, Comprimento Total A = 550, Parte Rosqueada B = 470 Mm, Completo Com Duas Porcas Quadrada</v>
          </cell>
          <cell r="E3822" t="str">
            <v>pç</v>
          </cell>
          <cell r="F3822"/>
          <cell r="G3822">
            <v>10.84</v>
          </cell>
          <cell r="H3822">
            <v>0</v>
          </cell>
        </row>
        <row r="3823">
          <cell r="C3823" t="str">
            <v>21.2.2.26</v>
          </cell>
          <cell r="D3823" t="str">
            <v>Porca Quadrada, Fabricada Em Aço Zincado. Rosca M16 X 2</v>
          </cell>
          <cell r="E3823" t="str">
            <v>pç</v>
          </cell>
          <cell r="F3823"/>
          <cell r="G3823">
            <v>0.45</v>
          </cell>
          <cell r="H3823">
            <v>0</v>
          </cell>
        </row>
        <row r="3824">
          <cell r="C3824" t="str">
            <v>21.2.2.27</v>
          </cell>
          <cell r="D3824" t="str">
            <v>Suporte Capitel De Concreto Armado Para Fixação De "Tc" E "Tp" 72,5 Kv</v>
          </cell>
          <cell r="E3824" t="str">
            <v>pç</v>
          </cell>
          <cell r="F3824"/>
          <cell r="G3824">
            <v>274.55</v>
          </cell>
          <cell r="H3824">
            <v>0</v>
          </cell>
        </row>
        <row r="3825">
          <cell r="C3825" t="str">
            <v>21.2.2.28</v>
          </cell>
          <cell r="D3825" t="str">
            <v>Suporte Capitel De Concreto Armado Para Pára-Raio 72,5 Kv</v>
          </cell>
          <cell r="E3825" t="str">
            <v>pç</v>
          </cell>
          <cell r="F3825"/>
          <cell r="G3825">
            <v>274.55</v>
          </cell>
          <cell r="H3825">
            <v>0</v>
          </cell>
        </row>
        <row r="3826">
          <cell r="C3826" t="str">
            <v>21.2.2.30</v>
          </cell>
          <cell r="D3826" t="str">
            <v>Viga De Concreto Armado, Seção Duplo "T", 310 X 230 Mm, Comprimento 7100 Mm, Na Posição Vertical E Horizontal</v>
          </cell>
          <cell r="E3826" t="str">
            <v>pç</v>
          </cell>
          <cell r="F3826"/>
          <cell r="G3826">
            <v>1086.23</v>
          </cell>
          <cell r="H3826">
            <v>0</v>
          </cell>
        </row>
        <row r="3827">
          <cell r="C3827" t="str">
            <v>21.2.2.31</v>
          </cell>
          <cell r="D3827" t="str">
            <v>Poste De Concreto Armado, Seção Duplo "T", 12 / 1500</v>
          </cell>
          <cell r="E3827" t="str">
            <v>un</v>
          </cell>
          <cell r="F3827"/>
          <cell r="G3827">
            <v>5697.83</v>
          </cell>
          <cell r="H3827">
            <v>0</v>
          </cell>
        </row>
        <row r="3828">
          <cell r="C3828" t="str">
            <v>21.2.2.32</v>
          </cell>
          <cell r="D3828" t="str">
            <v>Poste De Concreto Armado, Seção Duplo "T", 12 / 1000</v>
          </cell>
          <cell r="E3828" t="str">
            <v>un</v>
          </cell>
          <cell r="F3828"/>
          <cell r="G3828">
            <v>1112.8800000000001</v>
          </cell>
          <cell r="H3828">
            <v>0</v>
          </cell>
        </row>
        <row r="3829">
          <cell r="C3829" t="str">
            <v>21.2.2.33</v>
          </cell>
          <cell r="D3829" t="str">
            <v xml:space="preserve"> Conector Terminal Em Bronze Para Fixação De Cabo De Cobre 300 Mm² A Barra Chata Com Quatro Furos Nema</v>
          </cell>
          <cell r="E3829" t="str">
            <v>un</v>
          </cell>
          <cell r="F3829"/>
          <cell r="G3829">
            <v>58.15</v>
          </cell>
          <cell r="H3829">
            <v>0</v>
          </cell>
        </row>
        <row r="3830">
          <cell r="C3830" t="str">
            <v>21.3</v>
          </cell>
          <cell r="D3830" t="str">
            <v>OBRAS CIVIS</v>
          </cell>
          <cell r="E3830"/>
          <cell r="F3830"/>
          <cell r="G3830"/>
          <cell r="H3830">
            <v>0</v>
          </cell>
        </row>
        <row r="3831">
          <cell r="C3831" t="str">
            <v>21.3.1</v>
          </cell>
          <cell r="D3831" t="str">
            <v>ESTRUTURAS DE CONCRETO</v>
          </cell>
          <cell r="E3831"/>
          <cell r="F3831"/>
          <cell r="G3831"/>
          <cell r="H3831">
            <v>0</v>
          </cell>
        </row>
        <row r="3832">
          <cell r="C3832" t="str">
            <v>21.3.1.1.1</v>
          </cell>
          <cell r="D3832" t="str">
            <v>Base Para Disjuntor De 72,5Kv, Em Concreto Simples, Aparente E Vibrado, (Completo). [3,00X3,00X0,80]</v>
          </cell>
          <cell r="E3832" t="str">
            <v>m3</v>
          </cell>
          <cell r="F3832"/>
          <cell r="G3832"/>
          <cell r="H3832">
            <v>0</v>
          </cell>
        </row>
        <row r="3833">
          <cell r="C3833" t="str">
            <v>21.3.1.1.1.1</v>
          </cell>
          <cell r="D3833" t="str">
            <v xml:space="preserve"> Escav. Manual  Em Material De  1ª Cat. Com Dmt&lt;= 100 M. (Até 1,5M)</v>
          </cell>
          <cell r="E3833" t="str">
            <v>m3</v>
          </cell>
          <cell r="F3833"/>
          <cell r="G3833">
            <v>18.07</v>
          </cell>
          <cell r="H3833">
            <v>0</v>
          </cell>
        </row>
        <row r="3834">
          <cell r="C3834" t="str">
            <v>21.3.1.1.1.2</v>
          </cell>
          <cell r="D3834" t="str">
            <v>Colchão De Brita</v>
          </cell>
          <cell r="E3834" t="str">
            <v>m3</v>
          </cell>
          <cell r="F3834"/>
          <cell r="G3834">
            <v>63.2</v>
          </cell>
          <cell r="H3834">
            <v>0</v>
          </cell>
        </row>
        <row r="3835">
          <cell r="C3835" t="str">
            <v>21.3.1.1.1.3</v>
          </cell>
          <cell r="D3835" t="str">
            <v>Formas Planas Para Concreto</v>
          </cell>
          <cell r="E3835" t="str">
            <v>m²</v>
          </cell>
          <cell r="F3835"/>
          <cell r="G3835">
            <v>53.52</v>
          </cell>
          <cell r="H3835">
            <v>0</v>
          </cell>
        </row>
        <row r="3836">
          <cell r="C3836" t="str">
            <v>21.3.1.1.1.4</v>
          </cell>
          <cell r="D3836" t="str">
            <v>Armadura Para Concreto Estrutural, Aço Ca-50B</v>
          </cell>
          <cell r="E3836" t="str">
            <v>kg</v>
          </cell>
          <cell r="F3836"/>
          <cell r="G3836">
            <v>3.87</v>
          </cell>
          <cell r="H3836">
            <v>0</v>
          </cell>
        </row>
        <row r="3837">
          <cell r="C3837" t="str">
            <v>21.3.1.1.1.5</v>
          </cell>
          <cell r="D3837" t="str">
            <v>Preparo, Lançamento E Adensamento De Concreto  (Ca-5 E)</v>
          </cell>
          <cell r="E3837" t="str">
            <v>m3</v>
          </cell>
          <cell r="F3837"/>
          <cell r="G3837">
            <v>271.56</v>
          </cell>
          <cell r="H3837">
            <v>0</v>
          </cell>
        </row>
        <row r="3838">
          <cell r="C3838" t="str">
            <v>21.3.1.1.2</v>
          </cell>
          <cell r="D3838" t="str">
            <v>Lastro Em Concreto Simples No Traço 1:3:5 No "Gogó" Dos Postes  Até De 14M. [8UNID]</v>
          </cell>
          <cell r="E3838" t="str">
            <v>m3</v>
          </cell>
          <cell r="F3838"/>
          <cell r="G3838"/>
          <cell r="H3838">
            <v>0</v>
          </cell>
        </row>
        <row r="3839">
          <cell r="C3839" t="str">
            <v>21.3.1.1.2.1</v>
          </cell>
          <cell r="D3839" t="str">
            <v xml:space="preserve"> Escav. Manual  Em Material De  1ª Cat. Com Dmt&lt;= 100 M. (Até 1,5M)</v>
          </cell>
          <cell r="E3839" t="str">
            <v>m3</v>
          </cell>
          <cell r="F3839"/>
          <cell r="G3839">
            <v>18.07</v>
          </cell>
          <cell r="H3839">
            <v>0</v>
          </cell>
        </row>
        <row r="3840">
          <cell r="C3840" t="str">
            <v>21.3.1.1.2.2</v>
          </cell>
          <cell r="D3840" t="str">
            <v>Colchão De Brita</v>
          </cell>
          <cell r="E3840" t="str">
            <v>m3</v>
          </cell>
          <cell r="F3840"/>
          <cell r="G3840">
            <v>63.2</v>
          </cell>
          <cell r="H3840">
            <v>0</v>
          </cell>
        </row>
        <row r="3841">
          <cell r="C3841" t="str">
            <v>21.3.1.1.2.3</v>
          </cell>
          <cell r="D3841" t="str">
            <v>Preparo, Lançamento E Adensamento De Concreto  (Ca-5 E)</v>
          </cell>
          <cell r="E3841" t="str">
            <v>m3</v>
          </cell>
          <cell r="F3841"/>
          <cell r="G3841">
            <v>271.56</v>
          </cell>
          <cell r="H3841">
            <v>0</v>
          </cell>
        </row>
        <row r="3842">
          <cell r="C3842" t="str">
            <v>21.3.1.1.3</v>
          </cell>
          <cell r="D3842" t="str">
            <v>Base Em Concreto Armado Com Dimensões 1,00X1,00X0,15M, Ferro Ø 5.0 Com Malha 10X10Cm No Fundo Das Cavas Dos Postes Até De 14M [8UNID]</v>
          </cell>
          <cell r="E3842" t="str">
            <v>m3</v>
          </cell>
          <cell r="F3842"/>
          <cell r="G3842"/>
          <cell r="H3842">
            <v>0</v>
          </cell>
        </row>
        <row r="3843">
          <cell r="C3843" t="str">
            <v>21.3.1.1.3.1</v>
          </cell>
          <cell r="D3843" t="str">
            <v xml:space="preserve"> Escav. Manual  Em Material De  1ª Cat. Com Dmt&lt;= 100 M. (Até 1,5M)</v>
          </cell>
          <cell r="E3843" t="str">
            <v>m3</v>
          </cell>
          <cell r="F3843"/>
          <cell r="G3843">
            <v>18.07</v>
          </cell>
          <cell r="H3843">
            <v>0</v>
          </cell>
        </row>
        <row r="3844">
          <cell r="C3844" t="str">
            <v>21.3.1.1.3.2</v>
          </cell>
          <cell r="D3844" t="str">
            <v>Colchão De Brita</v>
          </cell>
          <cell r="E3844" t="str">
            <v>m3</v>
          </cell>
          <cell r="F3844"/>
          <cell r="G3844">
            <v>63.2</v>
          </cell>
          <cell r="H3844">
            <v>0</v>
          </cell>
        </row>
        <row r="3845">
          <cell r="C3845" t="str">
            <v>21.3.1.1.3.3</v>
          </cell>
          <cell r="D3845" t="str">
            <v>Formas Planas Para Concreto</v>
          </cell>
          <cell r="E3845" t="str">
            <v>m²</v>
          </cell>
          <cell r="F3845"/>
          <cell r="G3845">
            <v>53.52</v>
          </cell>
          <cell r="H3845">
            <v>0</v>
          </cell>
        </row>
        <row r="3846">
          <cell r="C3846" t="str">
            <v>21.3.1.1.3.4</v>
          </cell>
          <cell r="D3846" t="str">
            <v>Armadura Para Concreto Estrutural, Aço Ca-50B</v>
          </cell>
          <cell r="E3846" t="str">
            <v>kg</v>
          </cell>
          <cell r="F3846"/>
          <cell r="G3846">
            <v>3.87</v>
          </cell>
          <cell r="H3846">
            <v>0</v>
          </cell>
        </row>
        <row r="3847">
          <cell r="C3847" t="str">
            <v>21.3.1.1.3.5</v>
          </cell>
          <cell r="D3847" t="str">
            <v>Preparo, Lançamento E Adensamento De Concreto  (Ca-5 E)</v>
          </cell>
          <cell r="E3847" t="str">
            <v>m3</v>
          </cell>
          <cell r="F3847"/>
          <cell r="G3847">
            <v>271.56</v>
          </cell>
          <cell r="H3847">
            <v>0</v>
          </cell>
        </row>
        <row r="3848">
          <cell r="C3848" t="str">
            <v>21.3.1.1.4</v>
          </cell>
          <cell r="D3848" t="str">
            <v>Base Para Tc'S E Tp'S, Em Concreto Simples, Aparente E Vibrado, (Completo). [9UNID]</v>
          </cell>
          <cell r="E3848" t="str">
            <v>m3</v>
          </cell>
          <cell r="F3848"/>
          <cell r="G3848"/>
          <cell r="H3848">
            <v>0</v>
          </cell>
        </row>
        <row r="3849">
          <cell r="C3849" t="str">
            <v>21.3.1.1.4.1</v>
          </cell>
          <cell r="D3849" t="str">
            <v xml:space="preserve"> Escav. Manual  Em Material De  1ª Cat. Com Dmt&lt;= 100 M. (Até 1,5M)</v>
          </cell>
          <cell r="E3849" t="str">
            <v>m3</v>
          </cell>
          <cell r="F3849"/>
          <cell r="G3849">
            <v>18.07</v>
          </cell>
          <cell r="H3849">
            <v>0</v>
          </cell>
        </row>
        <row r="3850">
          <cell r="C3850" t="str">
            <v>21.3.1.1.4.2</v>
          </cell>
          <cell r="D3850" t="str">
            <v>Colchão De Brita</v>
          </cell>
          <cell r="E3850" t="str">
            <v>m3</v>
          </cell>
          <cell r="F3850"/>
          <cell r="G3850">
            <v>63.2</v>
          </cell>
          <cell r="H3850">
            <v>0</v>
          </cell>
        </row>
        <row r="3851">
          <cell r="C3851" t="str">
            <v>21.3.1.1.4.3</v>
          </cell>
          <cell r="D3851" t="str">
            <v>Formas Planas Para Concreto</v>
          </cell>
          <cell r="E3851" t="str">
            <v>m²</v>
          </cell>
          <cell r="F3851"/>
          <cell r="G3851">
            <v>53.52</v>
          </cell>
          <cell r="H3851">
            <v>0</v>
          </cell>
        </row>
        <row r="3852">
          <cell r="C3852" t="str">
            <v>21.3.1.1.4.4</v>
          </cell>
          <cell r="D3852" t="str">
            <v>Armadura Para Concreto Estrutural, Aço Ca-50B</v>
          </cell>
          <cell r="E3852" t="str">
            <v>kg</v>
          </cell>
          <cell r="F3852"/>
          <cell r="G3852">
            <v>3.87</v>
          </cell>
          <cell r="H3852">
            <v>0</v>
          </cell>
        </row>
        <row r="3853">
          <cell r="C3853" t="str">
            <v>21.3.1.1.4.5</v>
          </cell>
          <cell r="D3853" t="str">
            <v>Preparo, Lançamento E Adensamento De Concreto  (Ca-5 E)</v>
          </cell>
          <cell r="E3853" t="str">
            <v>m3</v>
          </cell>
          <cell r="F3853"/>
          <cell r="G3853">
            <v>271.56</v>
          </cell>
          <cell r="H3853">
            <v>0</v>
          </cell>
        </row>
        <row r="3854">
          <cell r="C3854" t="str">
            <v>22</v>
          </cell>
          <cell r="D3854" t="str">
            <v>22 - AUTOMAÇÃO EBP</v>
          </cell>
          <cell r="E3854"/>
          <cell r="F3854"/>
          <cell r="G3854"/>
          <cell r="H3854">
            <v>0</v>
          </cell>
        </row>
        <row r="3855">
          <cell r="C3855" t="str">
            <v>22.1</v>
          </cell>
          <cell r="D3855" t="str">
            <v>UTR-1 (ESTAÇÃO DE BOMBEAMENTO PRINCIPAL)</v>
          </cell>
          <cell r="E3855"/>
          <cell r="F3855"/>
          <cell r="G3855"/>
          <cell r="H3855">
            <v>0</v>
          </cell>
        </row>
        <row r="3856">
          <cell r="C3856" t="str">
            <v>22.1.1</v>
          </cell>
          <cell r="D3856" t="str">
            <v>EQUIPAMENTOS E SERVIÇOS DE INFRAESTRUTURA E MONTAGEM DA UTR-1</v>
          </cell>
          <cell r="E3856"/>
          <cell r="F3856"/>
          <cell r="G3856"/>
          <cell r="H3856">
            <v>0</v>
          </cell>
        </row>
        <row r="3857">
          <cell r="C3857" t="str">
            <v>22.1.1.1</v>
          </cell>
          <cell r="D3857" t="str">
            <v>MONTAGEM</v>
          </cell>
          <cell r="E3857"/>
          <cell r="F3857"/>
          <cell r="G3857"/>
          <cell r="H3857">
            <v>0</v>
          </cell>
        </row>
        <row r="3858">
          <cell r="C3858" t="str">
            <v>22.1.1.1.1</v>
          </cell>
          <cell r="D3858" t="str">
            <v>Painel Da Utr-1</v>
          </cell>
          <cell r="E3858" t="str">
            <v>un</v>
          </cell>
          <cell r="F3858"/>
          <cell r="G3858">
            <v>3612.16</v>
          </cell>
          <cell r="H3858">
            <v>0</v>
          </cell>
        </row>
        <row r="3859">
          <cell r="C3859" t="str">
            <v>22.1.1.1.2</v>
          </cell>
          <cell r="D3859" t="str">
            <v>Controlador Lógico Programável Modular</v>
          </cell>
          <cell r="E3859" t="str">
            <v>un</v>
          </cell>
          <cell r="F3859"/>
          <cell r="G3859">
            <v>662.12</v>
          </cell>
          <cell r="H3859">
            <v>0</v>
          </cell>
        </row>
        <row r="3860">
          <cell r="C3860" t="str">
            <v>22.1.1.1.3</v>
          </cell>
          <cell r="D3860" t="str">
            <v>Software De Programação De Plcs, Cd - Instalado</v>
          </cell>
          <cell r="E3860" t="str">
            <v>un</v>
          </cell>
          <cell r="F3860"/>
          <cell r="G3860">
            <v>3463.78</v>
          </cell>
          <cell r="H3860">
            <v>0</v>
          </cell>
        </row>
        <row r="3861">
          <cell r="C3861" t="str">
            <v>22.1.1.1.4</v>
          </cell>
          <cell r="D3861" t="str">
            <v>Transmissor Eletrônico De Pressão Tipo Inserção, Com Indicador Incorporado, Range 0-12 Kgf/Cm²</v>
          </cell>
          <cell r="E3861" t="str">
            <v>un</v>
          </cell>
          <cell r="F3861"/>
          <cell r="G3861">
            <v>413.82</v>
          </cell>
          <cell r="H3861">
            <v>0</v>
          </cell>
        </row>
        <row r="3862">
          <cell r="C3862" t="str">
            <v>22.1.1.1.5</v>
          </cell>
          <cell r="D3862" t="str">
            <v>Sensor De Temperatura P/ Mancais</v>
          </cell>
          <cell r="E3862" t="str">
            <v>un</v>
          </cell>
          <cell r="F3862"/>
          <cell r="G3862">
            <v>248.29</v>
          </cell>
          <cell r="H3862">
            <v>0</v>
          </cell>
        </row>
        <row r="3863">
          <cell r="C3863" t="str">
            <v>22.1.1.1.6</v>
          </cell>
          <cell r="D3863" t="str">
            <v>Sensor De Vibração P/ Mancais</v>
          </cell>
          <cell r="E3863" t="str">
            <v>un</v>
          </cell>
          <cell r="F3863"/>
          <cell r="G3863">
            <v>248.29</v>
          </cell>
          <cell r="H3863">
            <v>0</v>
          </cell>
        </row>
        <row r="3864">
          <cell r="C3864" t="str">
            <v>22.1.1.2</v>
          </cell>
          <cell r="D3864" t="str">
            <v>FORNECIMENTO</v>
          </cell>
          <cell r="E3864"/>
          <cell r="F3864"/>
          <cell r="G3864"/>
          <cell r="H3864">
            <v>0</v>
          </cell>
        </row>
        <row r="3865">
          <cell r="C3865" t="str">
            <v>22.1.1.2.1</v>
          </cell>
          <cell r="D3865" t="str">
            <v>Painel Da Utr-1</v>
          </cell>
          <cell r="E3865" t="str">
            <v>un</v>
          </cell>
          <cell r="F3865"/>
          <cell r="G3865">
            <v>7840.6</v>
          </cell>
          <cell r="H3865">
            <v>0</v>
          </cell>
        </row>
        <row r="3866">
          <cell r="C3866" t="str">
            <v>22.1.1.2.2</v>
          </cell>
          <cell r="D3866" t="str">
            <v>Controlador Lógico Programável Modular</v>
          </cell>
          <cell r="E3866" t="str">
            <v>un</v>
          </cell>
          <cell r="F3866"/>
          <cell r="G3866">
            <v>5152.7</v>
          </cell>
          <cell r="H3866">
            <v>0</v>
          </cell>
        </row>
        <row r="3867">
          <cell r="C3867" t="str">
            <v>22.1.1.2.3</v>
          </cell>
          <cell r="D3867" t="str">
            <v>Software De Programação De Plcs, Cd - Instalado</v>
          </cell>
          <cell r="E3867" t="str">
            <v>un</v>
          </cell>
          <cell r="F3867"/>
          <cell r="G3867">
            <v>1690.6</v>
          </cell>
          <cell r="H3867">
            <v>0</v>
          </cell>
        </row>
        <row r="3868">
          <cell r="C3868" t="str">
            <v>22.1.1.2.4</v>
          </cell>
          <cell r="D3868" t="str">
            <v>Transmissor Eletrônico De Pressão Tipo Inserção, Com Indicador Incorporado, Range 0-12 Kgf/Cm²</v>
          </cell>
          <cell r="E3868" t="str">
            <v>un</v>
          </cell>
          <cell r="F3868"/>
          <cell r="G3868">
            <v>1298.8800000000001</v>
          </cell>
          <cell r="H3868">
            <v>0</v>
          </cell>
        </row>
        <row r="3869">
          <cell r="C3869" t="str">
            <v>22.1.1.2.5</v>
          </cell>
          <cell r="D3869" t="str">
            <v>Sensor De Temperatura P/ Mancais</v>
          </cell>
          <cell r="E3869" t="str">
            <v>un</v>
          </cell>
          <cell r="F3869"/>
          <cell r="G3869">
            <v>341.12</v>
          </cell>
          <cell r="H3869">
            <v>0</v>
          </cell>
        </row>
        <row r="3870">
          <cell r="C3870" t="str">
            <v>22.1.1.2.6</v>
          </cell>
          <cell r="D3870" t="str">
            <v>Sensor De Vibração P/ Mancais</v>
          </cell>
          <cell r="E3870" t="str">
            <v>un</v>
          </cell>
          <cell r="F3870"/>
          <cell r="G3870">
            <v>766.6</v>
          </cell>
          <cell r="H3870">
            <v>0</v>
          </cell>
        </row>
        <row r="3871">
          <cell r="C3871" t="str">
            <v>22.1.2</v>
          </cell>
          <cell r="D3871" t="str">
            <v>ELETRODUTOS E CABOS ELÉTRICOS</v>
          </cell>
          <cell r="E3871"/>
          <cell r="F3871"/>
          <cell r="G3871"/>
          <cell r="H3871">
            <v>0</v>
          </cell>
        </row>
        <row r="3872">
          <cell r="C3872" t="str">
            <v>22.1.2.1</v>
          </cell>
          <cell r="D3872" t="str">
            <v>MONTAGEM</v>
          </cell>
          <cell r="E3872"/>
          <cell r="F3872"/>
          <cell r="G3872"/>
          <cell r="H3872">
            <v>0</v>
          </cell>
        </row>
        <row r="3873">
          <cell r="C3873" t="str">
            <v>22.1.2.1.1</v>
          </cell>
          <cell r="D3873" t="str">
            <v>Eletroduto Ferro Galv Ou Zincado Eletrolit Leve Parede 0,90Mm - 1" Nbr 13057</v>
          </cell>
          <cell r="E3873" t="str">
            <v>m</v>
          </cell>
          <cell r="F3873"/>
          <cell r="G3873">
            <v>7.1414751693002252</v>
          </cell>
          <cell r="H3873">
            <v>0</v>
          </cell>
        </row>
        <row r="3874">
          <cell r="C3874" t="str">
            <v>22.1.2.1.2</v>
          </cell>
          <cell r="D3874" t="str">
            <v>Montagem De Eletroduto De Pvc Rígido ,Diam 1"X 3,0M Com 1 Luva</v>
          </cell>
          <cell r="E3874" t="str">
            <v>pç</v>
          </cell>
          <cell r="F3874"/>
          <cell r="G3874">
            <v>5.77</v>
          </cell>
          <cell r="H3874">
            <v>0</v>
          </cell>
        </row>
        <row r="3875">
          <cell r="C3875" t="str">
            <v>22.1.2.1.3</v>
          </cell>
          <cell r="D3875" t="str">
            <v>Eletroduto Ferro Esmaltado Pesado Esp. Parede 2,25Mm - 4"</v>
          </cell>
          <cell r="E3875" t="str">
            <v>m</v>
          </cell>
          <cell r="F3875"/>
          <cell r="G3875">
            <v>25.492905</v>
          </cell>
          <cell r="H3875">
            <v>0</v>
          </cell>
        </row>
        <row r="3876">
          <cell r="C3876" t="str">
            <v>22.1.2.1.4</v>
          </cell>
          <cell r="D3876" t="str">
            <v>Cabo De Cobre Isolado 750V Multipolar 2 X 1,00Mm²</v>
          </cell>
          <cell r="E3876" t="str">
            <v>m</v>
          </cell>
          <cell r="F3876"/>
          <cell r="G3876">
            <v>1.05</v>
          </cell>
          <cell r="H3876">
            <v>0</v>
          </cell>
        </row>
        <row r="3877">
          <cell r="C3877" t="str">
            <v>22.1.2.1.5</v>
          </cell>
          <cell r="D3877" t="str">
            <v>Cabo Blindado Stp 2P 2X0,5Mm Trançado</v>
          </cell>
          <cell r="E3877" t="str">
            <v>m</v>
          </cell>
          <cell r="F3877"/>
          <cell r="G3877">
            <v>0.84</v>
          </cell>
          <cell r="H3877">
            <v>0</v>
          </cell>
        </row>
        <row r="3878">
          <cell r="C3878" t="str">
            <v>22.1.2.2</v>
          </cell>
          <cell r="D3878" t="str">
            <v>FORNECIMENTO</v>
          </cell>
          <cell r="E3878"/>
          <cell r="F3878"/>
          <cell r="G3878"/>
          <cell r="H3878">
            <v>0</v>
          </cell>
        </row>
        <row r="3879">
          <cell r="C3879" t="str">
            <v>22.1.2.2.1</v>
          </cell>
          <cell r="D3879" t="str">
            <v>Eletroduto Ferro Galv Ou Zincado Eletrolit Leve Parede 0,90Mm - 1" Nbr 13057</v>
          </cell>
          <cell r="E3879" t="str">
            <v>m</v>
          </cell>
          <cell r="F3879"/>
          <cell r="G3879">
            <v>5.1100000000000003</v>
          </cell>
          <cell r="H3879">
            <v>0</v>
          </cell>
        </row>
        <row r="3880">
          <cell r="C3880" t="str">
            <v>22.1.2.2.2</v>
          </cell>
          <cell r="D3880" t="str">
            <v>Eletroduto De Pvc Rígido Dn 25Mm L=3M</v>
          </cell>
          <cell r="E3880" t="str">
            <v>un</v>
          </cell>
          <cell r="F3880"/>
          <cell r="G3880">
            <v>14.86</v>
          </cell>
          <cell r="H3880">
            <v>0</v>
          </cell>
        </row>
        <row r="3881">
          <cell r="C3881" t="str">
            <v>22.1.2.2.3</v>
          </cell>
          <cell r="D3881" t="str">
            <v>Eletroduto Ferro Esmaltado Pesado Esp. Parede 2,25Mm - 4"</v>
          </cell>
          <cell r="E3881" t="str">
            <v>m</v>
          </cell>
          <cell r="F3881"/>
          <cell r="G3881">
            <v>12.57</v>
          </cell>
          <cell r="H3881">
            <v>0</v>
          </cell>
        </row>
        <row r="3882">
          <cell r="C3882" t="str">
            <v>22.1.2.2.4</v>
          </cell>
          <cell r="D3882" t="str">
            <v>Cabo De Cobre Isolado 750V Multipolar 2 X 1,00Mm²</v>
          </cell>
          <cell r="E3882" t="str">
            <v>m</v>
          </cell>
          <cell r="F3882"/>
          <cell r="G3882">
            <v>0.9</v>
          </cell>
          <cell r="H3882">
            <v>0</v>
          </cell>
        </row>
        <row r="3883">
          <cell r="C3883" t="str">
            <v>22.1.2.2.5</v>
          </cell>
          <cell r="D3883" t="str">
            <v>Cabo Blindado Stp 2P 2X0,5Mm Trançado</v>
          </cell>
          <cell r="E3883" t="str">
            <v>m</v>
          </cell>
          <cell r="F3883"/>
          <cell r="G3883">
            <v>2.88</v>
          </cell>
          <cell r="H3883">
            <v>0</v>
          </cell>
        </row>
        <row r="3884">
          <cell r="C3884" t="str">
            <v>22.1.3</v>
          </cell>
          <cell r="D3884" t="str">
            <v>ESTRUTURA DE COMUNICAÇÃO E ATERRAMENTO</v>
          </cell>
          <cell r="E3884"/>
          <cell r="F3884"/>
          <cell r="G3884"/>
          <cell r="H3884">
            <v>0</v>
          </cell>
        </row>
        <row r="3885">
          <cell r="C3885" t="str">
            <v>22.1.3.1</v>
          </cell>
          <cell r="D3885" t="str">
            <v>MONTAGEM</v>
          </cell>
          <cell r="E3885"/>
          <cell r="F3885"/>
          <cell r="G3885"/>
          <cell r="H3885">
            <v>0</v>
          </cell>
        </row>
        <row r="3886">
          <cell r="C3886" t="str">
            <v>22.1.3.1.1</v>
          </cell>
          <cell r="D3886" t="str">
            <v>Cabo Coaxial Rgc 213</v>
          </cell>
          <cell r="E3886" t="str">
            <v>m</v>
          </cell>
          <cell r="F3886"/>
          <cell r="G3886">
            <v>1.4</v>
          </cell>
          <cell r="H3886">
            <v>0</v>
          </cell>
        </row>
        <row r="3887">
          <cell r="C3887" t="str">
            <v>22.1.3.1.2</v>
          </cell>
          <cell r="D3887" t="str">
            <v>Antena Yagidirecional 14 Dbi 902-928 Mhz</v>
          </cell>
          <cell r="E3887" t="str">
            <v>un</v>
          </cell>
          <cell r="F3887"/>
          <cell r="G3887">
            <v>633.99</v>
          </cell>
          <cell r="H3887">
            <v>0</v>
          </cell>
        </row>
        <row r="3888">
          <cell r="C3888" t="str">
            <v>22.1.3.1.3</v>
          </cell>
          <cell r="D3888" t="str">
            <v>Mastro Simples De Ferro Galvanizado P/ Para-Raios H=3,00M Incluindo Base - E Instalacao</v>
          </cell>
          <cell r="E3888" t="str">
            <v>un</v>
          </cell>
          <cell r="F3888"/>
          <cell r="G3888">
            <v>132.41999999999999</v>
          </cell>
          <cell r="H3888">
            <v>0</v>
          </cell>
        </row>
        <row r="3889">
          <cell r="C3889" t="str">
            <v>22.1.3.1.4</v>
          </cell>
          <cell r="D3889" t="str">
            <v>Poste De Concreto Duplo T, 300Kg, H = 12M</v>
          </cell>
          <cell r="E3889" t="str">
            <v>un</v>
          </cell>
          <cell r="F3889"/>
          <cell r="G3889">
            <v>477.8</v>
          </cell>
          <cell r="H3889">
            <v>0</v>
          </cell>
        </row>
        <row r="3890">
          <cell r="C3890" t="str">
            <v>22.1.3.1.5</v>
          </cell>
          <cell r="D3890" t="str">
            <v>Caixa Em Alvenaria Enterrada, De Tijolos Ceramicos Macicos 1/2 Vez Dimensoes Externas 60X60X60Cm, Incluso Tampa Em Concreto E Embocamento</v>
          </cell>
          <cell r="E3890"/>
          <cell r="F3890"/>
          <cell r="G3890">
            <v>0</v>
          </cell>
          <cell r="H3890">
            <v>0</v>
          </cell>
        </row>
        <row r="3891">
          <cell r="C3891" t="str">
            <v>22.1.3.1.5.1</v>
          </cell>
          <cell r="D3891" t="str">
            <v xml:space="preserve"> Escav. Manual  Em Material De  1ª Cat. Com Dmt&lt;= 100 M. (Até 1,5M)</v>
          </cell>
          <cell r="E3891" t="str">
            <v>m3</v>
          </cell>
          <cell r="F3891"/>
          <cell r="G3891">
            <v>18.07</v>
          </cell>
          <cell r="H3891">
            <v>0</v>
          </cell>
        </row>
        <row r="3892">
          <cell r="C3892" t="str">
            <v>22.1.3.1.5.2</v>
          </cell>
          <cell r="D3892" t="str">
            <v>Alvenaria De Tijolo Cerâmico 10 X 20 X 20 Cm , Esp. 15 Cm.</v>
          </cell>
          <cell r="E3892" t="str">
            <v>m²</v>
          </cell>
          <cell r="F3892"/>
          <cell r="G3892">
            <v>32.79</v>
          </cell>
          <cell r="H3892">
            <v>0</v>
          </cell>
        </row>
        <row r="3893">
          <cell r="C3893" t="str">
            <v>22.1.3.1.5.3</v>
          </cell>
          <cell r="D3893" t="str">
            <v>Chapisco</v>
          </cell>
          <cell r="E3893" t="str">
            <v>m²</v>
          </cell>
          <cell r="F3893"/>
          <cell r="G3893">
            <v>8.77</v>
          </cell>
          <cell r="H3893">
            <v>0</v>
          </cell>
        </row>
        <row r="3894">
          <cell r="C3894" t="str">
            <v>22.1.3.1.5.4</v>
          </cell>
          <cell r="D3894" t="str">
            <v>Reboco Interno Ou Externo, Argamassa De Cal Hidratada 1:3</v>
          </cell>
          <cell r="E3894" t="str">
            <v>m²</v>
          </cell>
          <cell r="F3894"/>
          <cell r="G3894">
            <v>13.25</v>
          </cell>
          <cell r="H3894">
            <v>0</v>
          </cell>
        </row>
        <row r="3895">
          <cell r="C3895" t="str">
            <v>22.1.3.1.5.5</v>
          </cell>
          <cell r="D3895" t="str">
            <v>Colchão De Brita</v>
          </cell>
          <cell r="E3895" t="str">
            <v>m3</v>
          </cell>
          <cell r="F3895"/>
          <cell r="G3895">
            <v>63.2</v>
          </cell>
          <cell r="H3895">
            <v>0</v>
          </cell>
        </row>
        <row r="3896">
          <cell r="C3896" t="str">
            <v>22.1.3.1.5.6</v>
          </cell>
          <cell r="D3896" t="str">
            <v>Formas Planas Para Concreto</v>
          </cell>
          <cell r="E3896" t="str">
            <v>m²</v>
          </cell>
          <cell r="F3896"/>
          <cell r="G3896">
            <v>53.52</v>
          </cell>
          <cell r="H3896">
            <v>0</v>
          </cell>
        </row>
        <row r="3897">
          <cell r="C3897" t="str">
            <v>22.1.3.1.5.7</v>
          </cell>
          <cell r="D3897" t="str">
            <v>Armadura Para Concreto Estrutural, Aço Ca-50B</v>
          </cell>
          <cell r="E3897" t="str">
            <v>kg</v>
          </cell>
          <cell r="F3897"/>
          <cell r="G3897">
            <v>3.87</v>
          </cell>
          <cell r="H3897">
            <v>0</v>
          </cell>
        </row>
        <row r="3898">
          <cell r="C3898" t="str">
            <v>22.1.3.1.5.8</v>
          </cell>
          <cell r="D3898" t="str">
            <v>Preparo, Lançamento E Adensamento De Concreto  (Ca-5 E)</v>
          </cell>
          <cell r="E3898" t="str">
            <v>m3</v>
          </cell>
          <cell r="F3898"/>
          <cell r="G3898">
            <v>271.56</v>
          </cell>
          <cell r="H3898">
            <v>0</v>
          </cell>
        </row>
        <row r="3899">
          <cell r="C3899" t="str">
            <v>22.1.3.1.6</v>
          </cell>
          <cell r="D3899" t="str">
            <v>Para-Raios Tipo Franklin</v>
          </cell>
          <cell r="E3899" t="str">
            <v>un</v>
          </cell>
          <cell r="F3899"/>
          <cell r="G3899">
            <v>7.02</v>
          </cell>
          <cell r="H3899">
            <v>0</v>
          </cell>
        </row>
        <row r="3900">
          <cell r="C3900" t="str">
            <v>22.1.3.1.7</v>
          </cell>
          <cell r="D3900" t="str">
            <v>Haste Coperweld 3/4" X 3,00M Com Conector</v>
          </cell>
          <cell r="E3900" t="str">
            <v>un</v>
          </cell>
          <cell r="F3900"/>
          <cell r="G3900">
            <v>24.57</v>
          </cell>
          <cell r="H3900">
            <v>0</v>
          </cell>
        </row>
        <row r="3901">
          <cell r="C3901" t="str">
            <v>22.1.3.1.8</v>
          </cell>
          <cell r="D3901" t="str">
            <v>Cordoalha De Cobre Nú, Inclusive Isoladores - 25,00 Mm2</v>
          </cell>
          <cell r="E3901" t="str">
            <v>m</v>
          </cell>
          <cell r="F3901"/>
          <cell r="G3901">
            <v>1.54</v>
          </cell>
          <cell r="H3901">
            <v>0</v>
          </cell>
        </row>
        <row r="3902">
          <cell r="C3902" t="str">
            <v>22.1.3.1.9</v>
          </cell>
          <cell r="D3902" t="str">
            <v>Cabo De Cobre Nú 50Mm2</v>
          </cell>
          <cell r="E3902" t="str">
            <v>m</v>
          </cell>
          <cell r="F3902"/>
          <cell r="G3902">
            <v>2.11</v>
          </cell>
          <cell r="H3902">
            <v>0</v>
          </cell>
        </row>
        <row r="3903">
          <cell r="C3903" t="str">
            <v>22.1.3.1.10</v>
          </cell>
          <cell r="D3903" t="str">
            <v>Caixa Inspeção Do Terra</v>
          </cell>
          <cell r="E3903" t="str">
            <v>un</v>
          </cell>
          <cell r="F3903"/>
          <cell r="G3903">
            <v>6.99</v>
          </cell>
          <cell r="H3903">
            <v>0</v>
          </cell>
        </row>
        <row r="3904">
          <cell r="C3904" t="str">
            <v>22.1.3.2</v>
          </cell>
          <cell r="D3904" t="str">
            <v>FORNECIMENTO</v>
          </cell>
          <cell r="E3904"/>
          <cell r="F3904"/>
          <cell r="G3904"/>
          <cell r="H3904">
            <v>0</v>
          </cell>
        </row>
        <row r="3905">
          <cell r="C3905" t="str">
            <v>22.1.3.2.1</v>
          </cell>
          <cell r="D3905" t="str">
            <v>Cabo Coaxial Rgc 213</v>
          </cell>
          <cell r="E3905" t="str">
            <v>m</v>
          </cell>
          <cell r="F3905"/>
          <cell r="G3905">
            <v>4.22</v>
          </cell>
          <cell r="H3905">
            <v>0</v>
          </cell>
        </row>
        <row r="3906">
          <cell r="C3906" t="str">
            <v>22.1.3.2.2</v>
          </cell>
          <cell r="D3906" t="str">
            <v>Antena Yagidirecional 14 Dbi 902-928 Mhz</v>
          </cell>
          <cell r="E3906" t="str">
            <v>un</v>
          </cell>
          <cell r="F3906"/>
          <cell r="G3906">
            <v>112.94</v>
          </cell>
          <cell r="H3906">
            <v>0</v>
          </cell>
        </row>
        <row r="3907">
          <cell r="C3907" t="str">
            <v>22.1.3.2.3</v>
          </cell>
          <cell r="D3907" t="str">
            <v>Mastro Simples De Ferro Galvanizado P/ Para-Raios H=3,00M Incluindo Base - E Instalacao</v>
          </cell>
          <cell r="E3907" t="str">
            <v>un</v>
          </cell>
          <cell r="F3907"/>
          <cell r="G3907">
            <v>101.88</v>
          </cell>
          <cell r="H3907">
            <v>0</v>
          </cell>
        </row>
        <row r="3908">
          <cell r="C3908" t="str">
            <v>22.1.3.2.4</v>
          </cell>
          <cell r="D3908" t="str">
            <v>Poste De Concreto Duplo T, 300Kg, H = 12M</v>
          </cell>
          <cell r="E3908" t="str">
            <v>un</v>
          </cell>
          <cell r="F3908"/>
          <cell r="G3908">
            <v>422.52</v>
          </cell>
          <cell r="H3908">
            <v>0</v>
          </cell>
        </row>
        <row r="3909">
          <cell r="C3909" t="str">
            <v>22.1.3.2.6</v>
          </cell>
          <cell r="D3909" t="str">
            <v>Para-Raios Tipo Franklin</v>
          </cell>
          <cell r="E3909" t="str">
            <v>un</v>
          </cell>
          <cell r="F3909"/>
          <cell r="G3909">
            <v>39.17</v>
          </cell>
          <cell r="H3909">
            <v>0</v>
          </cell>
        </row>
        <row r="3910">
          <cell r="C3910" t="str">
            <v>22.1.3.2.7</v>
          </cell>
          <cell r="D3910" t="str">
            <v>Haste Coperweld 3/4" X 3,00M Com Conector</v>
          </cell>
          <cell r="E3910" t="str">
            <v>un</v>
          </cell>
          <cell r="F3910"/>
          <cell r="G3910">
            <v>25.11</v>
          </cell>
          <cell r="H3910">
            <v>0</v>
          </cell>
        </row>
        <row r="3911">
          <cell r="C3911" t="str">
            <v>22.1.3.2.8</v>
          </cell>
          <cell r="D3911" t="str">
            <v>Cordoalha De Cobre Nú, Inclusive Isoladores - 25,00 Mm2 - E Instalacao</v>
          </cell>
          <cell r="E3911" t="str">
            <v>m</v>
          </cell>
          <cell r="F3911"/>
          <cell r="G3911">
            <v>9.14</v>
          </cell>
          <cell r="H3911">
            <v>0</v>
          </cell>
        </row>
        <row r="3912">
          <cell r="C3912" t="str">
            <v>22.1.3.2.9</v>
          </cell>
          <cell r="D3912" t="str">
            <v>Cabo De Cobre Nú 50Mm2</v>
          </cell>
          <cell r="E3912" t="str">
            <v>m</v>
          </cell>
          <cell r="F3912"/>
          <cell r="G3912">
            <v>12.38</v>
          </cell>
          <cell r="H3912">
            <v>0</v>
          </cell>
        </row>
        <row r="3913">
          <cell r="C3913" t="str">
            <v>22.1.3.2.10</v>
          </cell>
          <cell r="D3913" t="str">
            <v>Caixa Inspeção Do Terra</v>
          </cell>
          <cell r="E3913" t="str">
            <v>un</v>
          </cell>
          <cell r="F3913"/>
          <cell r="G3913">
            <v>5.77</v>
          </cell>
          <cell r="H3913">
            <v>0</v>
          </cell>
        </row>
        <row r="3914">
          <cell r="C3914" t="str">
            <v>22.2</v>
          </cell>
          <cell r="D3914" t="str">
            <v>UTR-2 (RESERVATÓRIO PULMÃO)</v>
          </cell>
          <cell r="E3914"/>
          <cell r="F3914"/>
          <cell r="G3914"/>
          <cell r="H3914">
            <v>0</v>
          </cell>
        </row>
        <row r="3915">
          <cell r="C3915" t="str">
            <v>22.2.1</v>
          </cell>
          <cell r="D3915" t="str">
            <v>MONTAGEM</v>
          </cell>
          <cell r="E3915"/>
          <cell r="F3915"/>
          <cell r="G3915"/>
          <cell r="H3915">
            <v>0</v>
          </cell>
        </row>
        <row r="3916">
          <cell r="C3916" t="str">
            <v>22.2.1.1</v>
          </cell>
          <cell r="D3916" t="str">
            <v>Painel Da Utr-2</v>
          </cell>
          <cell r="E3916" t="str">
            <v>un</v>
          </cell>
          <cell r="F3916"/>
          <cell r="G3916">
            <v>3612.16</v>
          </cell>
          <cell r="H3916">
            <v>0</v>
          </cell>
        </row>
        <row r="3917">
          <cell r="C3917" t="str">
            <v>22.2.1.2</v>
          </cell>
          <cell r="D3917" t="str">
            <v>Controlador Lógico Programável Modular</v>
          </cell>
          <cell r="E3917" t="str">
            <v>un</v>
          </cell>
          <cell r="F3917"/>
          <cell r="G3917">
            <v>662.12</v>
          </cell>
          <cell r="H3917">
            <v>0</v>
          </cell>
        </row>
        <row r="3918">
          <cell r="C3918" t="str">
            <v>22.2.1.3</v>
          </cell>
          <cell r="D3918" t="str">
            <v>Transdutor De Nível Ultrassônico Range 0 A 6 M</v>
          </cell>
          <cell r="E3918" t="str">
            <v>un</v>
          </cell>
          <cell r="F3918"/>
          <cell r="G3918">
            <v>413.82</v>
          </cell>
          <cell r="H3918">
            <v>0</v>
          </cell>
        </row>
        <row r="3919">
          <cell r="C3919" t="str">
            <v>22.2.1.4</v>
          </cell>
          <cell r="D3919" t="str">
            <v>Eletroduto Ferro Galv Ou Zincado Eletrolit Leve Parede 0,90Mm - 1" Nbr 13057</v>
          </cell>
          <cell r="E3919" t="str">
            <v>m</v>
          </cell>
          <cell r="F3919"/>
          <cell r="G3919">
            <v>7.1414751693002252</v>
          </cell>
          <cell r="H3919">
            <v>0</v>
          </cell>
        </row>
        <row r="3920">
          <cell r="C3920" t="str">
            <v>22.2.1.5</v>
          </cell>
          <cell r="D3920" t="str">
            <v>Montagem De Eletroduto De Pvc Rígido ,Diam 1"X 3,0M Com 1 Luva</v>
          </cell>
          <cell r="E3920" t="str">
            <v>pç</v>
          </cell>
          <cell r="F3920"/>
          <cell r="G3920">
            <v>5.77</v>
          </cell>
          <cell r="H3920">
            <v>0</v>
          </cell>
        </row>
        <row r="3921">
          <cell r="C3921" t="str">
            <v>22.2.1.6</v>
          </cell>
          <cell r="D3921" t="str">
            <v>Cabo De Cobre Isolado 750V Multipolar 2 X 1,00Mm²</v>
          </cell>
          <cell r="E3921" t="str">
            <v>m</v>
          </cell>
          <cell r="F3921"/>
          <cell r="G3921">
            <v>1.05</v>
          </cell>
          <cell r="H3921">
            <v>0</v>
          </cell>
        </row>
        <row r="3922">
          <cell r="C3922" t="str">
            <v>22.2.1.7</v>
          </cell>
          <cell r="D3922" t="str">
            <v>Cabo De Cobre Isolado 750V Multipolar 4 X 1,00Mm²</v>
          </cell>
          <cell r="E3922" t="str">
            <v>m</v>
          </cell>
          <cell r="F3922"/>
          <cell r="G3922">
            <v>1.4</v>
          </cell>
          <cell r="H3922">
            <v>0</v>
          </cell>
        </row>
        <row r="3923">
          <cell r="C3923" t="str">
            <v>22.2.1.8</v>
          </cell>
          <cell r="D3923" t="str">
            <v>Cabo Blindado Stp 2P 2X0,5Mm Trançado</v>
          </cell>
          <cell r="E3923" t="str">
            <v>m</v>
          </cell>
          <cell r="F3923"/>
          <cell r="G3923">
            <v>0.84</v>
          </cell>
          <cell r="H3923">
            <v>0</v>
          </cell>
        </row>
        <row r="3924">
          <cell r="C3924" t="str">
            <v>22.2.1.9</v>
          </cell>
          <cell r="D3924" t="str">
            <v>Cabo Coaxial Rgc 213</v>
          </cell>
          <cell r="E3924" t="str">
            <v>m</v>
          </cell>
          <cell r="F3924"/>
          <cell r="G3924">
            <v>1.4</v>
          </cell>
          <cell r="H3924">
            <v>0</v>
          </cell>
        </row>
        <row r="3925">
          <cell r="C3925" t="str">
            <v>22.2.1.10</v>
          </cell>
          <cell r="D3925" t="str">
            <v>Antena Yagidirecional 14 Dbi 902-928 Mhz</v>
          </cell>
          <cell r="E3925" t="str">
            <v>un</v>
          </cell>
          <cell r="F3925"/>
          <cell r="G3925">
            <v>633.99</v>
          </cell>
          <cell r="H3925">
            <v>0</v>
          </cell>
        </row>
        <row r="3926">
          <cell r="C3926" t="str">
            <v>22.2.1.11</v>
          </cell>
          <cell r="D3926" t="str">
            <v>Mastro Simples De Ferro Galvanizado P/ Para-Raios H=3,00M Incluindo Base - E Instalacao</v>
          </cell>
          <cell r="E3926" t="str">
            <v>un</v>
          </cell>
          <cell r="F3926"/>
          <cell r="G3926">
            <v>132.41999999999999</v>
          </cell>
          <cell r="H3926">
            <v>0</v>
          </cell>
        </row>
        <row r="3927">
          <cell r="C3927" t="str">
            <v>22.2.1.12</v>
          </cell>
          <cell r="D3927" t="str">
            <v>Caixa Em Alvenaria Enterrada, De Tijolos Ceramicos Macicos 1/2 Vez Dimensoes Externas 60X60X60Cm, Incluso Tampa Em Concreto E Embocamento</v>
          </cell>
          <cell r="E3927" t="str">
            <v>un</v>
          </cell>
          <cell r="F3927"/>
          <cell r="G3927">
            <v>0</v>
          </cell>
          <cell r="H3927">
            <v>0</v>
          </cell>
        </row>
        <row r="3928">
          <cell r="C3928" t="str">
            <v>22.2.1.12.1</v>
          </cell>
          <cell r="D3928" t="str">
            <v xml:space="preserve"> Escav. Manual  Em Material De  1ª Cat. Com Dmt&lt;= 100 M. (Até 1,5M)</v>
          </cell>
          <cell r="E3928" t="str">
            <v>m3</v>
          </cell>
          <cell r="F3928"/>
          <cell r="G3928">
            <v>18.07</v>
          </cell>
          <cell r="H3928">
            <v>0</v>
          </cell>
        </row>
        <row r="3929">
          <cell r="C3929" t="str">
            <v>22.2.1.12.2</v>
          </cell>
          <cell r="D3929" t="str">
            <v>Alvenaria De Tijolo Cerâmico 10 X 20 X 20 Cm , Esp. 15 Cm.</v>
          </cell>
          <cell r="E3929" t="str">
            <v>m²</v>
          </cell>
          <cell r="F3929"/>
          <cell r="G3929">
            <v>32.79</v>
          </cell>
          <cell r="H3929">
            <v>0</v>
          </cell>
        </row>
        <row r="3930">
          <cell r="C3930" t="str">
            <v>22.2.1.12.3</v>
          </cell>
          <cell r="D3930" t="str">
            <v>Chapisco</v>
          </cell>
          <cell r="E3930" t="str">
            <v>m²</v>
          </cell>
          <cell r="F3930"/>
          <cell r="G3930">
            <v>8.77</v>
          </cell>
          <cell r="H3930">
            <v>0</v>
          </cell>
        </row>
        <row r="3931">
          <cell r="C3931" t="str">
            <v>22.2.1.12.4</v>
          </cell>
          <cell r="D3931" t="str">
            <v>Reboco Interno Ou Externo, Argamassa De Cal Hidratada 1:3</v>
          </cell>
          <cell r="E3931" t="str">
            <v>m²</v>
          </cell>
          <cell r="F3931"/>
          <cell r="G3931">
            <v>13.25</v>
          </cell>
          <cell r="H3931">
            <v>0</v>
          </cell>
        </row>
        <row r="3932">
          <cell r="C3932" t="str">
            <v>22.2.1.12.5</v>
          </cell>
          <cell r="D3932" t="str">
            <v>Colchão De Brita</v>
          </cell>
          <cell r="E3932" t="str">
            <v>m3</v>
          </cell>
          <cell r="F3932"/>
          <cell r="G3932">
            <v>63.2</v>
          </cell>
          <cell r="H3932">
            <v>0</v>
          </cell>
        </row>
        <row r="3933">
          <cell r="C3933" t="str">
            <v>22.2.1.12.6</v>
          </cell>
          <cell r="D3933" t="str">
            <v>Formas Planas Para Concreto</v>
          </cell>
          <cell r="E3933" t="str">
            <v>m²</v>
          </cell>
          <cell r="F3933"/>
          <cell r="G3933">
            <v>53.52</v>
          </cell>
          <cell r="H3933">
            <v>0</v>
          </cell>
        </row>
        <row r="3934">
          <cell r="C3934" t="str">
            <v>22.2.1.12.7</v>
          </cell>
          <cell r="D3934" t="str">
            <v>Armadura Para Concreto Estrutural, Aço Ca-50B</v>
          </cell>
          <cell r="E3934" t="str">
            <v>kg</v>
          </cell>
          <cell r="F3934"/>
          <cell r="G3934">
            <v>3.87</v>
          </cell>
          <cell r="H3934">
            <v>0</v>
          </cell>
        </row>
        <row r="3935">
          <cell r="C3935" t="str">
            <v>22.2.1.12.8</v>
          </cell>
          <cell r="D3935" t="str">
            <v>Preparo, Lançamento E Adensamento De Concreto  (Ca-5 E)</v>
          </cell>
          <cell r="E3935" t="str">
            <v>m3</v>
          </cell>
          <cell r="F3935"/>
          <cell r="G3935">
            <v>271.56</v>
          </cell>
          <cell r="H3935">
            <v>0</v>
          </cell>
        </row>
        <row r="3936">
          <cell r="C3936" t="str">
            <v>22.2.1.13</v>
          </cell>
          <cell r="D3936" t="str">
            <v>Para-Raios Tipo Franklin</v>
          </cell>
          <cell r="E3936" t="str">
            <v>un</v>
          </cell>
          <cell r="F3936"/>
          <cell r="G3936">
            <v>7.02</v>
          </cell>
          <cell r="H3936">
            <v>0</v>
          </cell>
        </row>
        <row r="3937">
          <cell r="C3937" t="str">
            <v>22.2.1.14</v>
          </cell>
          <cell r="D3937" t="str">
            <v>Haste Coperweld 3/4" X 3,00M Com Conector</v>
          </cell>
          <cell r="E3937" t="str">
            <v>un</v>
          </cell>
          <cell r="F3937"/>
          <cell r="G3937">
            <v>24.57</v>
          </cell>
          <cell r="H3937">
            <v>0</v>
          </cell>
        </row>
        <row r="3938">
          <cell r="C3938" t="str">
            <v>22.2.1.15</v>
          </cell>
          <cell r="D3938" t="str">
            <v>Cordoalha De Cobre Nú, Inclusive Isoladores - 25,00 Mm2</v>
          </cell>
          <cell r="E3938" t="str">
            <v>m</v>
          </cell>
          <cell r="F3938"/>
          <cell r="G3938">
            <v>1.54</v>
          </cell>
          <cell r="H3938">
            <v>0</v>
          </cell>
        </row>
        <row r="3939">
          <cell r="C3939" t="str">
            <v>22.2.1.16</v>
          </cell>
          <cell r="D3939" t="str">
            <v>Cabo De Cobre Nú 50Mm2</v>
          </cell>
          <cell r="E3939" t="str">
            <v>m</v>
          </cell>
          <cell r="F3939"/>
          <cell r="G3939">
            <v>2.11</v>
          </cell>
          <cell r="H3939">
            <v>0</v>
          </cell>
        </row>
        <row r="3940">
          <cell r="C3940" t="str">
            <v>22.2.1.17</v>
          </cell>
          <cell r="D3940" t="str">
            <v>Caixa Inspeção Do Terra</v>
          </cell>
          <cell r="E3940" t="str">
            <v>un</v>
          </cell>
          <cell r="F3940"/>
          <cell r="G3940">
            <v>6.99</v>
          </cell>
          <cell r="H3940">
            <v>0</v>
          </cell>
        </row>
        <row r="3941">
          <cell r="C3941" t="str">
            <v>22.2.1.18</v>
          </cell>
          <cell r="D3941" t="str">
            <v xml:space="preserve">Montagem De Eletroduto De Pvc Rígido Diam 3/4"X3,00M Com 1 Luva </v>
          </cell>
          <cell r="E3941" t="str">
            <v>pç</v>
          </cell>
          <cell r="F3941"/>
          <cell r="G3941">
            <v>4.62</v>
          </cell>
          <cell r="H3941">
            <v>0</v>
          </cell>
        </row>
        <row r="3942">
          <cell r="C3942" t="str">
            <v>22.2.1.19</v>
          </cell>
          <cell r="D3942" t="str">
            <v>Montagem de Curva 90 Graus De Pvc Rígido, Diam 3/4 "Com 2 Luvas</v>
          </cell>
          <cell r="E3942" t="str">
            <v>pç</v>
          </cell>
          <cell r="F3942"/>
          <cell r="G3942">
            <v>3.8586183952886479</v>
          </cell>
          <cell r="H3942">
            <v>0</v>
          </cell>
        </row>
        <row r="3943">
          <cell r="C3943" t="str">
            <v>22.2.1.20</v>
          </cell>
          <cell r="D3943" t="str">
            <v>Cabo  Cobre, Unipolar, C/ Isolamento Termoplástico 600 V, Anti-Chama, 70º Preta, Nas Seguintes Bitolas: 4 Mm2</v>
          </cell>
          <cell r="E3943" t="str">
            <v>m</v>
          </cell>
          <cell r="F3943"/>
          <cell r="G3943">
            <v>0.49</v>
          </cell>
          <cell r="H3943">
            <v>0</v>
          </cell>
        </row>
        <row r="3944">
          <cell r="C3944" t="str">
            <v>22.2.1.21</v>
          </cell>
          <cell r="D3944" t="str">
            <v>Luminária Fluorescente Completa (2 X 32)W</v>
          </cell>
          <cell r="E3944" t="str">
            <v>un</v>
          </cell>
          <cell r="F3944"/>
          <cell r="G3944">
            <v>12.28</v>
          </cell>
          <cell r="H3944">
            <v>0</v>
          </cell>
        </row>
        <row r="3945">
          <cell r="C3945" t="str">
            <v>22.2.1.22</v>
          </cell>
          <cell r="D3945" t="str">
            <v>Montagem De Tomada Universal 2P 10A/250V</v>
          </cell>
          <cell r="E3945" t="str">
            <v>un</v>
          </cell>
          <cell r="F3945"/>
          <cell r="G3945">
            <v>2.2999999999999998</v>
          </cell>
          <cell r="H3945">
            <v>0</v>
          </cell>
        </row>
        <row r="3946">
          <cell r="C3946" t="str">
            <v>22.2.1.23</v>
          </cell>
          <cell r="D3946" t="str">
            <v>Montagem De Interruptor De Luz Simples 10A/220V Com Tomada Universal 2P 15A/250V</v>
          </cell>
          <cell r="E3946" t="str">
            <v>un</v>
          </cell>
          <cell r="F3946"/>
          <cell r="G3946">
            <v>2.19</v>
          </cell>
          <cell r="H3946">
            <v>0</v>
          </cell>
        </row>
        <row r="3947">
          <cell r="C3947" t="str">
            <v>22.2.1.24</v>
          </cell>
          <cell r="D3947" t="str">
            <v>Montagem De  Quadro Geral De B.T. Em Caixa Metálica Ø600X800Mm Contendo:</v>
          </cell>
          <cell r="E3947" t="str">
            <v>un</v>
          </cell>
          <cell r="F3947"/>
          <cell r="G3947">
            <v>705.73</v>
          </cell>
          <cell r="H3947">
            <v>0</v>
          </cell>
        </row>
        <row r="3948">
          <cell r="C3948" t="str">
            <v>22.2.1.25</v>
          </cell>
          <cell r="D3948" t="str">
            <v>Cobertura Com Telha De Fibrocimento  E=6Mm, C/ Madeiramento</v>
          </cell>
          <cell r="E3948" t="str">
            <v>m²</v>
          </cell>
          <cell r="F3948"/>
          <cell r="G3948">
            <v>90.78</v>
          </cell>
          <cell r="H3948">
            <v>0</v>
          </cell>
        </row>
        <row r="3949">
          <cell r="C3949" t="str">
            <v>22.2.2</v>
          </cell>
          <cell r="D3949" t="str">
            <v>FORNECIMENTO</v>
          </cell>
          <cell r="E3949"/>
          <cell r="F3949"/>
          <cell r="G3949"/>
          <cell r="H3949">
            <v>0</v>
          </cell>
        </row>
        <row r="3950">
          <cell r="C3950" t="str">
            <v>22.2.2.1</v>
          </cell>
          <cell r="D3950" t="str">
            <v>Painel Da Utr-2</v>
          </cell>
          <cell r="E3950" t="str">
            <v>un</v>
          </cell>
          <cell r="F3950"/>
          <cell r="G3950">
            <v>2687.9</v>
          </cell>
          <cell r="H3950">
            <v>0</v>
          </cell>
        </row>
        <row r="3951">
          <cell r="C3951" t="str">
            <v>22.2.2.2</v>
          </cell>
          <cell r="D3951" t="str">
            <v>Controlador Lógico Programável Modular</v>
          </cell>
          <cell r="E3951" t="str">
            <v>un</v>
          </cell>
          <cell r="F3951"/>
          <cell r="G3951">
            <v>5152.7</v>
          </cell>
          <cell r="H3951">
            <v>0</v>
          </cell>
        </row>
        <row r="3952">
          <cell r="C3952" t="str">
            <v>22.2.2.3</v>
          </cell>
          <cell r="D3952" t="str">
            <v>Transdutor De Nível Ultrassônico Range 0 A 6 M</v>
          </cell>
          <cell r="E3952" t="str">
            <v>un</v>
          </cell>
          <cell r="F3952"/>
          <cell r="G3952">
            <v>2353.39</v>
          </cell>
          <cell r="H3952">
            <v>0</v>
          </cell>
        </row>
        <row r="3953">
          <cell r="C3953" t="str">
            <v>22.2.2.4</v>
          </cell>
          <cell r="D3953" t="str">
            <v>Eletroduto Ferro Galv Ou Zincado Eletrolit Leve Parede 0,90Mm - 1" Nbr 13057</v>
          </cell>
          <cell r="E3953" t="str">
            <v>m</v>
          </cell>
          <cell r="F3953"/>
          <cell r="G3953">
            <v>5.1100000000000003</v>
          </cell>
          <cell r="H3953">
            <v>0</v>
          </cell>
        </row>
        <row r="3954">
          <cell r="C3954" t="str">
            <v>22.2.2.5</v>
          </cell>
          <cell r="D3954" t="str">
            <v>Eletroduto De Pvc Rígido Dn 25Mm L=3M</v>
          </cell>
          <cell r="E3954" t="str">
            <v>un</v>
          </cell>
          <cell r="F3954"/>
          <cell r="G3954">
            <v>14.86</v>
          </cell>
          <cell r="H3954">
            <v>0</v>
          </cell>
        </row>
        <row r="3955">
          <cell r="C3955" t="str">
            <v>22.2.2.6</v>
          </cell>
          <cell r="D3955" t="str">
            <v>Cabo De Cobre Isolado 750V Multipolar 2 X 1,00Mm²</v>
          </cell>
          <cell r="E3955" t="str">
            <v>m</v>
          </cell>
          <cell r="F3955"/>
          <cell r="G3955">
            <v>0.9</v>
          </cell>
          <cell r="H3955">
            <v>0</v>
          </cell>
        </row>
        <row r="3956">
          <cell r="C3956" t="str">
            <v>22.2.2.7</v>
          </cell>
          <cell r="D3956" t="str">
            <v>Cabo De Cobre Isolado 750V Multipolar 4 X 1,00Mm²</v>
          </cell>
          <cell r="E3956" t="str">
            <v>m</v>
          </cell>
          <cell r="F3956"/>
          <cell r="G3956">
            <v>3.37</v>
          </cell>
          <cell r="H3956">
            <v>0</v>
          </cell>
        </row>
        <row r="3957">
          <cell r="C3957" t="str">
            <v>22.2.2.8</v>
          </cell>
          <cell r="D3957" t="str">
            <v>Cabo Blindado Stp 2P 2X0,5Mm Trançado</v>
          </cell>
          <cell r="E3957" t="str">
            <v>m</v>
          </cell>
          <cell r="F3957"/>
          <cell r="G3957">
            <v>2.88</v>
          </cell>
          <cell r="H3957">
            <v>0</v>
          </cell>
        </row>
        <row r="3958">
          <cell r="C3958" t="str">
            <v>22.2.2.9</v>
          </cell>
          <cell r="D3958" t="str">
            <v>Cabo Coaxial Rgc 213</v>
          </cell>
          <cell r="E3958" t="str">
            <v>m</v>
          </cell>
          <cell r="F3958"/>
          <cell r="G3958">
            <v>4.22</v>
          </cell>
          <cell r="H3958">
            <v>0</v>
          </cell>
        </row>
        <row r="3959">
          <cell r="C3959" t="str">
            <v>22.2.2.10</v>
          </cell>
          <cell r="D3959" t="str">
            <v>Antena Yagidirecional 14 Dbi 902-928 Mhz</v>
          </cell>
          <cell r="E3959" t="str">
            <v>un</v>
          </cell>
          <cell r="F3959"/>
          <cell r="G3959">
            <v>112.94</v>
          </cell>
          <cell r="H3959">
            <v>0</v>
          </cell>
        </row>
        <row r="3960">
          <cell r="C3960" t="str">
            <v>22.2.2.11</v>
          </cell>
          <cell r="D3960" t="str">
            <v xml:space="preserve">Mastro Simples De Ferro Galvanizado P/ Para-Raios H=3,00M Incluindo Base </v>
          </cell>
          <cell r="E3960" t="str">
            <v>un</v>
          </cell>
          <cell r="F3960"/>
          <cell r="G3960">
            <v>101.88</v>
          </cell>
          <cell r="H3960">
            <v>0</v>
          </cell>
        </row>
        <row r="3961">
          <cell r="C3961" t="str">
            <v>22.2.2.13</v>
          </cell>
          <cell r="D3961" t="str">
            <v>Para-Raios Tipo Franklin</v>
          </cell>
          <cell r="E3961" t="str">
            <v>un</v>
          </cell>
          <cell r="F3961"/>
          <cell r="G3961">
            <v>39.17</v>
          </cell>
          <cell r="H3961">
            <v>0</v>
          </cell>
        </row>
        <row r="3962">
          <cell r="C3962" t="str">
            <v>22.2.2.14</v>
          </cell>
          <cell r="D3962" t="str">
            <v>Haste Coperweld 3/4" X 3,00M Com Conector</v>
          </cell>
          <cell r="E3962" t="str">
            <v>un</v>
          </cell>
          <cell r="F3962"/>
          <cell r="G3962">
            <v>25.11</v>
          </cell>
          <cell r="H3962">
            <v>0</v>
          </cell>
        </row>
        <row r="3963">
          <cell r="C3963" t="str">
            <v>22.2.2.15</v>
          </cell>
          <cell r="D3963" t="str">
            <v>Cordoalha De Cobre Nú, Inclusive Isoladores - 25,00 Mm2</v>
          </cell>
          <cell r="E3963" t="str">
            <v>m</v>
          </cell>
          <cell r="F3963"/>
          <cell r="G3963">
            <v>9.14</v>
          </cell>
          <cell r="H3963">
            <v>0</v>
          </cell>
        </row>
        <row r="3964">
          <cell r="C3964" t="str">
            <v>22.2.2.16</v>
          </cell>
          <cell r="D3964" t="str">
            <v>Cabo De Cobre Nú 50Mm2</v>
          </cell>
          <cell r="E3964" t="str">
            <v>m</v>
          </cell>
          <cell r="F3964"/>
          <cell r="G3964">
            <v>12.38</v>
          </cell>
          <cell r="H3964">
            <v>0</v>
          </cell>
        </row>
        <row r="3965">
          <cell r="C3965" t="str">
            <v>22.2.2.17</v>
          </cell>
          <cell r="D3965" t="str">
            <v>Caixa Inspeção Do Terra</v>
          </cell>
          <cell r="E3965" t="str">
            <v>un</v>
          </cell>
          <cell r="F3965"/>
          <cell r="G3965">
            <v>5.77</v>
          </cell>
          <cell r="H3965">
            <v>0</v>
          </cell>
        </row>
        <row r="3966">
          <cell r="C3966" t="str">
            <v>22.2.2.18</v>
          </cell>
          <cell r="D3966" t="str">
            <v xml:space="preserve">Eletroduto De Pvc Rígido Diam 3/4"X3,00M Com 1 Luva </v>
          </cell>
          <cell r="E3966" t="str">
            <v>pç</v>
          </cell>
          <cell r="F3966"/>
          <cell r="G3966">
            <v>6.36</v>
          </cell>
          <cell r="H3966">
            <v>0</v>
          </cell>
        </row>
        <row r="3967">
          <cell r="C3967" t="str">
            <v>22.2.2.19</v>
          </cell>
          <cell r="D3967" t="str">
            <v>Curva 90 Graus De Pvc Rígido, Diam 3/4 "Com 2 Luvas</v>
          </cell>
          <cell r="E3967" t="str">
            <v>pç</v>
          </cell>
          <cell r="F3967"/>
          <cell r="G3967">
            <v>1.33</v>
          </cell>
          <cell r="H3967">
            <v>0</v>
          </cell>
        </row>
        <row r="3968">
          <cell r="C3968" t="str">
            <v>22.2.2.20</v>
          </cell>
          <cell r="D3968" t="str">
            <v>Cabo  De Cobre, Unipolar, Com Isolamento Termoplástico Para 600 V, Anti-Chama, 70º Na Cor Preta, Nas Seguintes Bitolas: 4 Mm2</v>
          </cell>
          <cell r="E3968" t="str">
            <v>m</v>
          </cell>
          <cell r="F3968"/>
          <cell r="G3968">
            <v>1.9</v>
          </cell>
          <cell r="H3968">
            <v>0</v>
          </cell>
        </row>
        <row r="3969">
          <cell r="C3969" t="str">
            <v>22.2.2.21</v>
          </cell>
          <cell r="D3969" t="str">
            <v>Luminária Fluorescente Completa (2 X 32)W</v>
          </cell>
          <cell r="E3969" t="str">
            <v>un</v>
          </cell>
          <cell r="F3969"/>
          <cell r="G3969">
            <v>60.52</v>
          </cell>
          <cell r="H3969">
            <v>0</v>
          </cell>
        </row>
        <row r="3970">
          <cell r="C3970" t="str">
            <v>22.2.2.22</v>
          </cell>
          <cell r="D3970" t="str">
            <v>Tomada Universal 2P 10A/250V</v>
          </cell>
          <cell r="E3970" t="str">
            <v>un</v>
          </cell>
          <cell r="F3970"/>
          <cell r="G3970">
            <v>10.35</v>
          </cell>
          <cell r="H3970">
            <v>0</v>
          </cell>
        </row>
        <row r="3971">
          <cell r="C3971" t="str">
            <v>22.2.2.23</v>
          </cell>
          <cell r="D3971" t="str">
            <v>Interruptor De Luz Simples 10A/220V Com Tomada Universal 2P 15A/250V</v>
          </cell>
          <cell r="E3971" t="str">
            <v>un</v>
          </cell>
          <cell r="F3971"/>
          <cell r="G3971">
            <v>9.77</v>
          </cell>
          <cell r="H3971">
            <v>0</v>
          </cell>
        </row>
        <row r="3972">
          <cell r="C3972" t="str">
            <v>22.2.2.24</v>
          </cell>
          <cell r="D3972" t="str">
            <v>Quadro Geral De B.T. Em Caixa Metálica Dim. 600X800Mm Contendo:</v>
          </cell>
          <cell r="E3972" t="str">
            <v>un</v>
          </cell>
          <cell r="F3972"/>
          <cell r="G3972">
            <v>2532.73</v>
          </cell>
          <cell r="H3972">
            <v>0</v>
          </cell>
        </row>
        <row r="3973">
          <cell r="C3973" t="str">
            <v>23</v>
          </cell>
          <cell r="D3973" t="str">
            <v>23 - LT34,5kV</v>
          </cell>
          <cell r="E3973"/>
          <cell r="F3973"/>
          <cell r="G3973"/>
          <cell r="H3973">
            <v>0</v>
          </cell>
        </row>
        <row r="3974">
          <cell r="C3974" t="str">
            <v>23.1</v>
          </cell>
          <cell r="D3974" t="str">
            <v>ESTRUTURAS</v>
          </cell>
          <cell r="E3974"/>
          <cell r="F3974"/>
          <cell r="G3974"/>
          <cell r="H3974">
            <v>0</v>
          </cell>
        </row>
        <row r="3975">
          <cell r="C3975" t="str">
            <v>23.1.1</v>
          </cell>
          <cell r="D3975" t="str">
            <v>MONTAGEM</v>
          </cell>
          <cell r="E3975"/>
          <cell r="F3975"/>
          <cell r="G3975"/>
          <cell r="H3975">
            <v>0</v>
          </cell>
        </row>
        <row r="3976">
          <cell r="C3976" t="str">
            <v>23.1.1.1</v>
          </cell>
          <cell r="D3976" t="str">
            <v>Poste de Concreto Armado seção duplo "T" 11 m /300 daN</v>
          </cell>
          <cell r="E3976" t="str">
            <v>un</v>
          </cell>
          <cell r="F3976"/>
          <cell r="G3976">
            <v>465.26</v>
          </cell>
          <cell r="H3976">
            <v>0</v>
          </cell>
        </row>
        <row r="3977">
          <cell r="C3977" t="str">
            <v>23.1.1.2</v>
          </cell>
          <cell r="D3977" t="str">
            <v>Poste de Concreto Armado seção duplo "T" 11 m /600 daN</v>
          </cell>
          <cell r="E3977" t="str">
            <v>un</v>
          </cell>
          <cell r="F3977"/>
          <cell r="G3977">
            <v>465.26</v>
          </cell>
          <cell r="H3977">
            <v>0</v>
          </cell>
        </row>
        <row r="3978">
          <cell r="C3978" t="str">
            <v>23.1.1.3</v>
          </cell>
          <cell r="D3978" t="str">
            <v>Poste de Concreto Armado seção duplo "T" 11 m /1.000 daN</v>
          </cell>
          <cell r="E3978" t="str">
            <v>un</v>
          </cell>
          <cell r="F3978"/>
          <cell r="G3978">
            <v>465.26</v>
          </cell>
          <cell r="H3978">
            <v>0</v>
          </cell>
        </row>
        <row r="3979">
          <cell r="C3979" t="str">
            <v>23.1.1.4</v>
          </cell>
          <cell r="D3979" t="str">
            <v>Poste de Concreto Armado seção duplo "T" 12 m /600 daN</v>
          </cell>
          <cell r="E3979" t="str">
            <v>un</v>
          </cell>
          <cell r="F3979"/>
          <cell r="G3979">
            <v>477.8</v>
          </cell>
          <cell r="H3979">
            <v>0</v>
          </cell>
        </row>
        <row r="3980">
          <cell r="C3980" t="str">
            <v>23.1.1.5</v>
          </cell>
          <cell r="D3980" t="str">
            <v>Poste De Concreto Armado, Seção Duplo "T", 12 / 1000</v>
          </cell>
          <cell r="E3980" t="str">
            <v>un</v>
          </cell>
          <cell r="F3980"/>
          <cell r="G3980">
            <v>477.8</v>
          </cell>
          <cell r="H3980">
            <v>0</v>
          </cell>
        </row>
        <row r="3981">
          <cell r="C3981" t="str">
            <v>23.1.1.6</v>
          </cell>
          <cell r="D3981" t="str">
            <v>Cruzeta De Concreto Tipo "T", 1.900 Mm</v>
          </cell>
          <cell r="E3981" t="str">
            <v>un</v>
          </cell>
          <cell r="F3981"/>
          <cell r="G3981">
            <v>180.49</v>
          </cell>
          <cell r="H3981">
            <v>0</v>
          </cell>
        </row>
        <row r="3982">
          <cell r="C3982" t="str">
            <v>23.1.2</v>
          </cell>
          <cell r="D3982" t="str">
            <v>FORNECIMENTO</v>
          </cell>
          <cell r="E3982"/>
          <cell r="F3982"/>
          <cell r="G3982"/>
          <cell r="H3982">
            <v>0</v>
          </cell>
        </row>
        <row r="3983">
          <cell r="C3983" t="str">
            <v>23.1.2.1</v>
          </cell>
          <cell r="D3983" t="str">
            <v>Poste de Concreto Armado seção duplo "T" 11 m /300 daN</v>
          </cell>
          <cell r="E3983" t="str">
            <v>un</v>
          </cell>
          <cell r="F3983"/>
          <cell r="G3983">
            <v>458.07</v>
          </cell>
          <cell r="H3983">
            <v>0</v>
          </cell>
        </row>
        <row r="3984">
          <cell r="C3984" t="str">
            <v>23.1.2.2</v>
          </cell>
          <cell r="D3984" t="str">
            <v>Poste de Concreto Armado seção duplo "T" 11 m /600 daN</v>
          </cell>
          <cell r="E3984" t="str">
            <v>un</v>
          </cell>
          <cell r="F3984"/>
          <cell r="G3984">
            <v>641.74</v>
          </cell>
          <cell r="H3984">
            <v>0</v>
          </cell>
        </row>
        <row r="3985">
          <cell r="C3985" t="str">
            <v>23.1.2.3</v>
          </cell>
          <cell r="D3985" t="str">
            <v>Poste de Concreto Armado seção duplo "T" 11 m /1.000 daN</v>
          </cell>
          <cell r="E3985" t="str">
            <v>un</v>
          </cell>
          <cell r="F3985"/>
          <cell r="G3985">
            <v>1264.07</v>
          </cell>
          <cell r="H3985">
            <v>0</v>
          </cell>
        </row>
        <row r="3986">
          <cell r="C3986" t="str">
            <v>23.1.2.4</v>
          </cell>
          <cell r="D3986" t="str">
            <v>Poste de Concreto Armado seção duplo "T" 12 m /600 daN</v>
          </cell>
          <cell r="E3986" t="str">
            <v>un</v>
          </cell>
          <cell r="F3986"/>
          <cell r="G3986">
            <v>708.12</v>
          </cell>
          <cell r="H3986">
            <v>0</v>
          </cell>
        </row>
        <row r="3987">
          <cell r="C3987" t="str">
            <v>23.1.2.5</v>
          </cell>
          <cell r="D3987" t="str">
            <v>Poste De Concreto Armado, Seção Duplo "T", 12 / 1000</v>
          </cell>
          <cell r="E3987" t="str">
            <v>un</v>
          </cell>
          <cell r="F3987"/>
          <cell r="G3987">
            <v>1112.8800000000001</v>
          </cell>
          <cell r="H3987">
            <v>0</v>
          </cell>
        </row>
        <row r="3988">
          <cell r="C3988" t="str">
            <v>23.1.2.6</v>
          </cell>
          <cell r="D3988" t="str">
            <v>Cruzeta de concreto</v>
          </cell>
          <cell r="E3988" t="str">
            <v>un</v>
          </cell>
          <cell r="F3988"/>
          <cell r="G3988">
            <v>308.68</v>
          </cell>
          <cell r="H3988">
            <v>0</v>
          </cell>
        </row>
        <row r="3989">
          <cell r="C3989" t="str">
            <v>23.2</v>
          </cell>
          <cell r="D3989" t="str">
            <v>CONDUTORES</v>
          </cell>
          <cell r="E3989"/>
          <cell r="F3989"/>
          <cell r="G3989"/>
          <cell r="H3989">
            <v>0</v>
          </cell>
        </row>
        <row r="3990">
          <cell r="C3990" t="str">
            <v>23.2.1</v>
          </cell>
          <cell r="D3990" t="str">
            <v>MONTAGEM</v>
          </cell>
          <cell r="E3990"/>
          <cell r="F3990"/>
          <cell r="G3990"/>
          <cell r="H3990">
            <v>0</v>
          </cell>
        </row>
        <row r="3991">
          <cell r="C3991" t="str">
            <v>23.2.1.1</v>
          </cell>
          <cell r="D3991" t="str">
            <v>Cabo de aluminio com alma de aço 4/0 AWG-CAA. Penguin. Seção: 125,1 mm².</v>
          </cell>
          <cell r="E3991" t="str">
            <v>kg</v>
          </cell>
          <cell r="F3991"/>
          <cell r="G3991">
            <v>3.81</v>
          </cell>
          <cell r="H3991">
            <v>0</v>
          </cell>
        </row>
        <row r="3992">
          <cell r="C3992" t="str">
            <v>23.2.2</v>
          </cell>
          <cell r="D3992" t="str">
            <v>FORNECIMENTO</v>
          </cell>
          <cell r="E3992"/>
          <cell r="F3992"/>
          <cell r="G3992"/>
          <cell r="H3992">
            <v>0</v>
          </cell>
        </row>
        <row r="3993">
          <cell r="C3993" t="str">
            <v>23.2.2.1</v>
          </cell>
          <cell r="D3993" t="str">
            <v>Cabo de aluminio com alma de aço 4/0 AWG-CAA. Penguin. Seção: 125,1 mm².</v>
          </cell>
          <cell r="E3993" t="str">
            <v>kg</v>
          </cell>
          <cell r="F3993"/>
          <cell r="G3993">
            <v>18.03</v>
          </cell>
          <cell r="H3993">
            <v>0</v>
          </cell>
        </row>
        <row r="3994">
          <cell r="C3994" t="str">
            <v>23.3</v>
          </cell>
          <cell r="D3994" t="str">
            <v>MATERIAIS</v>
          </cell>
          <cell r="E3994"/>
          <cell r="F3994"/>
          <cell r="G3994"/>
          <cell r="H3994">
            <v>0</v>
          </cell>
        </row>
        <row r="3995">
          <cell r="C3995" t="str">
            <v>23.3.1</v>
          </cell>
          <cell r="D3995" t="str">
            <v>MONTAGEM</v>
          </cell>
          <cell r="E3995"/>
          <cell r="F3995"/>
          <cell r="G3995"/>
          <cell r="H3995">
            <v>0</v>
          </cell>
        </row>
        <row r="3996">
          <cell r="C3996" t="str">
            <v>23.3.1.1</v>
          </cell>
          <cell r="D3996" t="str">
            <v>Alça Pré-Formada de Distribuição Cabo Alumínio CA/CAA 4/0 AWG</v>
          </cell>
          <cell r="E3996" t="str">
            <v>un</v>
          </cell>
          <cell r="F3996"/>
          <cell r="G3996">
            <v>20.05</v>
          </cell>
          <cell r="H3996">
            <v>0</v>
          </cell>
        </row>
        <row r="3997">
          <cell r="C3997" t="str">
            <v>23.3.1.2</v>
          </cell>
          <cell r="D3997" t="str">
            <v>Arruela quadrada 38x38x3mm Ø F 18 mm (ferro galvanizado)</v>
          </cell>
          <cell r="E3997" t="str">
            <v>un</v>
          </cell>
          <cell r="F3997"/>
          <cell r="G3997">
            <v>0.35</v>
          </cell>
          <cell r="H3997">
            <v>0</v>
          </cell>
        </row>
        <row r="3998">
          <cell r="C3998" t="str">
            <v>23.3.1.3</v>
          </cell>
          <cell r="D3998" t="str">
            <v>Conector de alumínio condutor principal Cabo de Alumínio 4/0 CA/CAA, tipo CN15 e condutor derivação Cabo de Alumínio 4/0 CA/CAA (tipo CADC-211)</v>
          </cell>
          <cell r="E3998" t="str">
            <v>un</v>
          </cell>
          <cell r="F3998"/>
          <cell r="G3998">
            <v>10.68</v>
          </cell>
          <cell r="H3998">
            <v>0</v>
          </cell>
        </row>
        <row r="3999">
          <cell r="C3999" t="str">
            <v>23.3.1.4</v>
          </cell>
          <cell r="D3999" t="str">
            <v xml:space="preserve">Gancho Olhal Galvanizado </v>
          </cell>
          <cell r="E3999" t="str">
            <v>un</v>
          </cell>
          <cell r="F3999"/>
          <cell r="G3999">
            <v>5.35</v>
          </cell>
          <cell r="H3999">
            <v>0</v>
          </cell>
        </row>
        <row r="4000">
          <cell r="C4000" t="str">
            <v>23.3.1.5</v>
          </cell>
          <cell r="D4000" t="str">
            <v>Isolador de ancoragem e suspensão tensão nominal 35kV NBR-6323</v>
          </cell>
          <cell r="E4000" t="str">
            <v>un</v>
          </cell>
          <cell r="F4000"/>
          <cell r="G4000">
            <v>88.24</v>
          </cell>
          <cell r="H4000">
            <v>0</v>
          </cell>
        </row>
        <row r="4001">
          <cell r="C4001" t="str">
            <v>23.3.1.6</v>
          </cell>
          <cell r="D4001" t="str">
            <v>Isolador tipo pilar porcelana cor cinza com rosca M20, nas tensões nominal 35KV  tensão suportável sob chuva 15 a 50KV norma ABNT/NBR12459</v>
          </cell>
          <cell r="E4001" t="str">
            <v>un</v>
          </cell>
          <cell r="F4001"/>
          <cell r="G4001">
            <v>88.24</v>
          </cell>
          <cell r="H4001">
            <v>0</v>
          </cell>
        </row>
        <row r="4002">
          <cell r="C4002" t="str">
            <v>23.3.1.7</v>
          </cell>
          <cell r="D4002" t="str">
            <v>Laço Pré-formado Tipo lateral Duplo Pescoço Isolador 60 mm. Cabo 4/0 AWG CA/CAA</v>
          </cell>
          <cell r="E4002" t="str">
            <v>un</v>
          </cell>
          <cell r="F4002"/>
          <cell r="G4002">
            <v>20.05</v>
          </cell>
          <cell r="H4002">
            <v>0</v>
          </cell>
        </row>
        <row r="4003">
          <cell r="C4003" t="str">
            <v>23.3.1.8</v>
          </cell>
          <cell r="D4003" t="str">
            <v>Laço Pré-formado Tipo topo Pescoço Isolador 60 mm. Cabo alumínio 4/0 AWG CA/CAA</v>
          </cell>
          <cell r="E4003" t="str">
            <v>un</v>
          </cell>
          <cell r="F4003"/>
          <cell r="G4003">
            <v>20.05</v>
          </cell>
          <cell r="H4003">
            <v>0</v>
          </cell>
        </row>
        <row r="4004">
          <cell r="C4004" t="str">
            <v>23.3.1.9</v>
          </cell>
          <cell r="D4004" t="str">
            <v>Manilha Sapatilha Em Aço Zincado A Quente</v>
          </cell>
          <cell r="E4004" t="str">
            <v>un</v>
          </cell>
          <cell r="F4004"/>
          <cell r="G4004">
            <v>1.05</v>
          </cell>
          <cell r="H4004">
            <v>0</v>
          </cell>
        </row>
        <row r="4005">
          <cell r="C4005" t="str">
            <v>23.3.1.10</v>
          </cell>
          <cell r="D4005" t="str">
            <v>Parafuso De Máquina, Cabeça Quadrada, Em Aço Zincado, Rosca M16 X 2, Comprimento Total A = 250, Parte Rosqueada B = 170 Mm, Completo Com Duas Porcas Quadrada</v>
          </cell>
          <cell r="E4005" t="str">
            <v>un</v>
          </cell>
          <cell r="F4005"/>
          <cell r="G4005">
            <v>2.4500000000000002</v>
          </cell>
          <cell r="H4005">
            <v>0</v>
          </cell>
        </row>
        <row r="4006">
          <cell r="C4006" t="str">
            <v>23.3.1.11</v>
          </cell>
          <cell r="D4006" t="str">
            <v>Parafuso De Máquina, Cabeça Quadrada, Em Aço Zincado, Rosca M16 X 2, Comprimento Total A = 300, Parte Rosqueada B = 220 Mm, Completo Com Duas Porcas Quadrada</v>
          </cell>
          <cell r="E4006" t="str">
            <v>pç</v>
          </cell>
          <cell r="F4006"/>
          <cell r="G4006">
            <v>2.4500000000000002</v>
          </cell>
          <cell r="H4006">
            <v>0</v>
          </cell>
        </row>
        <row r="4007">
          <cell r="C4007" t="str">
            <v>23.3.1.12</v>
          </cell>
          <cell r="D4007" t="str">
            <v>Parafuso De Máquina, Cabeça Quadrada, Em Aço Zincado, Rosca M16 X 2, Comprimento Total A = 400, Parte Rosqueada B = 320 Mm, Completo Com Duas Porcas Quadrada</v>
          </cell>
          <cell r="E4007" t="str">
            <v>pç</v>
          </cell>
          <cell r="F4007"/>
          <cell r="G4007">
            <v>2.8</v>
          </cell>
          <cell r="H4007">
            <v>0</v>
          </cell>
        </row>
        <row r="4008">
          <cell r="C4008" t="str">
            <v>23.3.1.13</v>
          </cell>
          <cell r="D4008" t="str">
            <v>Olhal Para Parafuso M16 Em Aço Zincado A Quente, Carga De Ruptura 5000 Dan</v>
          </cell>
          <cell r="E4008" t="str">
            <v>pç</v>
          </cell>
          <cell r="F4008"/>
          <cell r="G4008">
            <v>0.52</v>
          </cell>
          <cell r="H4008">
            <v>0</v>
          </cell>
        </row>
        <row r="4009">
          <cell r="C4009" t="str">
            <v>23.3.1.14</v>
          </cell>
          <cell r="D4009" t="str">
            <v>Pino autotravante M20</v>
          </cell>
          <cell r="E4009" t="str">
            <v>un</v>
          </cell>
          <cell r="F4009"/>
          <cell r="G4009">
            <v>6.68</v>
          </cell>
          <cell r="H4009">
            <v>0</v>
          </cell>
        </row>
        <row r="4010">
          <cell r="C4010" t="str">
            <v>23.3.1.15</v>
          </cell>
          <cell r="D4010" t="str">
            <v>Chave fusível de distibuição 34,5kV/100A</v>
          </cell>
          <cell r="E4010" t="str">
            <v>un</v>
          </cell>
          <cell r="F4010"/>
          <cell r="G4010">
            <v>320.87</v>
          </cell>
          <cell r="H4010">
            <v>0</v>
          </cell>
        </row>
        <row r="4011">
          <cell r="C4011" t="str">
            <v>23.3.1.16</v>
          </cell>
          <cell r="D4011" t="str">
            <v xml:space="preserve">Isolador tipo castanha para cerca não eletrizada, espessura 6,0 mm, cor bege </v>
          </cell>
          <cell r="E4011" t="str">
            <v>un</v>
          </cell>
          <cell r="F4011"/>
          <cell r="G4011">
            <v>1.79</v>
          </cell>
          <cell r="H4011">
            <v>0</v>
          </cell>
        </row>
        <row r="4012">
          <cell r="C4012" t="str">
            <v>23.3.1.17</v>
          </cell>
          <cell r="D4012" t="str">
            <v>Alça Preformada Para Seccionador de Cerca, Min. 3,26 mm, Max.: 4,11 mm, verde, comprimento: 650 mm</v>
          </cell>
          <cell r="E4012" t="str">
            <v>un</v>
          </cell>
          <cell r="F4012"/>
          <cell r="G4012">
            <v>3.58</v>
          </cell>
          <cell r="H4012">
            <v>0</v>
          </cell>
        </row>
        <row r="4013">
          <cell r="C4013" t="str">
            <v>23.3.1.18</v>
          </cell>
          <cell r="D4013" t="str">
            <v>Montagem De Haste De Aterramento Cobreada, Diam 3/4"X 2,50M</v>
          </cell>
          <cell r="E4013" t="str">
            <v>un</v>
          </cell>
          <cell r="F4013"/>
          <cell r="G4013">
            <v>64.150000000000006</v>
          </cell>
          <cell r="H4013">
            <v>0</v>
          </cell>
        </row>
        <row r="4014">
          <cell r="C4014" t="str">
            <v>23.3.1.19</v>
          </cell>
          <cell r="D4014" t="str">
            <v xml:space="preserve">Conector De Aterramento P/Cond. Cobre De 16-70Mm2 </v>
          </cell>
          <cell r="E4014" t="str">
            <v>un</v>
          </cell>
          <cell r="F4014"/>
          <cell r="G4014">
            <v>1.05</v>
          </cell>
          <cell r="H4014">
            <v>0</v>
          </cell>
        </row>
        <row r="4015">
          <cell r="C4015" t="str">
            <v>23.3.2</v>
          </cell>
          <cell r="D4015" t="str">
            <v>FORNECIMENTO</v>
          </cell>
          <cell r="E4015"/>
          <cell r="F4015"/>
          <cell r="G4015"/>
          <cell r="H4015">
            <v>0</v>
          </cell>
        </row>
        <row r="4016">
          <cell r="C4016" t="str">
            <v>23.3.2.1</v>
          </cell>
          <cell r="D4016" t="str">
            <v>Alça Pré-Formada de Distribuição Cabo Alumínio CA/CAA 4/0 AWG</v>
          </cell>
          <cell r="E4016" t="str">
            <v>un</v>
          </cell>
          <cell r="F4016"/>
          <cell r="G4016">
            <v>0.87</v>
          </cell>
          <cell r="H4016">
            <v>0</v>
          </cell>
        </row>
        <row r="4017">
          <cell r="C4017" t="str">
            <v>23.3.2.2</v>
          </cell>
          <cell r="D4017" t="str">
            <v>Arruela quadrada 38x38x3mm Ø F 18 mm (ferro galvanizado)</v>
          </cell>
          <cell r="E4017" t="str">
            <v>un</v>
          </cell>
          <cell r="F4017"/>
          <cell r="G4017">
            <v>0.7</v>
          </cell>
          <cell r="H4017">
            <v>0</v>
          </cell>
        </row>
        <row r="4018">
          <cell r="C4018" t="str">
            <v>23.3.2.3</v>
          </cell>
          <cell r="D4018" t="str">
            <v>Conector de alumínio condutor principal Cabo de Alumínio 4/0 CA/CAA, tipo CN15 e condutor derivação Cabo de Alumínio 4/0 CA/CAA (tipo CADC-211)</v>
          </cell>
          <cell r="E4018" t="str">
            <v>un</v>
          </cell>
          <cell r="F4018"/>
          <cell r="G4018">
            <v>1.8</v>
          </cell>
          <cell r="H4018">
            <v>0</v>
          </cell>
        </row>
        <row r="4019">
          <cell r="C4019" t="str">
            <v>23.3.2.4</v>
          </cell>
          <cell r="D4019" t="str">
            <v xml:space="preserve">Gancho Olhal Galvanizado </v>
          </cell>
          <cell r="E4019" t="str">
            <v>un</v>
          </cell>
          <cell r="F4019"/>
          <cell r="G4019">
            <v>17.13</v>
          </cell>
          <cell r="H4019">
            <v>0</v>
          </cell>
        </row>
        <row r="4020">
          <cell r="C4020" t="str">
            <v>23.3.2.5</v>
          </cell>
          <cell r="D4020" t="str">
            <v>Isolador de ancoragem e suspensão tensão nominal 35kV NBR-6323</v>
          </cell>
          <cell r="E4020" t="str">
            <v>un</v>
          </cell>
          <cell r="F4020"/>
          <cell r="G4020">
            <v>86.5</v>
          </cell>
          <cell r="H4020">
            <v>0</v>
          </cell>
        </row>
        <row r="4021">
          <cell r="C4021" t="str">
            <v>23.3.2.6</v>
          </cell>
          <cell r="D4021" t="str">
            <v>Isolador tipo pilar porcelana cor cinza com rosca M20, nas tensões nominal 35KV  tensão suportável sob chuva 15 a 50KV norma ABNT/NBR12459</v>
          </cell>
          <cell r="E4021" t="str">
            <v>un</v>
          </cell>
          <cell r="F4021"/>
          <cell r="G4021">
            <v>63.63</v>
          </cell>
          <cell r="H4021">
            <v>0</v>
          </cell>
        </row>
        <row r="4022">
          <cell r="C4022" t="str">
            <v>23.3.2.7</v>
          </cell>
          <cell r="D4022" t="str">
            <v>Laço Pré-formado Tipo lateral Duplo Pescoço Isolador 60 mm. Cabo 4/0 AWG CA/CAA</v>
          </cell>
          <cell r="E4022" t="str">
            <v>un</v>
          </cell>
          <cell r="F4022"/>
          <cell r="G4022">
            <v>0.87</v>
          </cell>
          <cell r="H4022">
            <v>0</v>
          </cell>
        </row>
        <row r="4023">
          <cell r="C4023" t="str">
            <v>23.3.2.8</v>
          </cell>
          <cell r="D4023" t="str">
            <v>Laço Pré-formado Tipo topo Pescoço Isolador 60 mm. Cabo alumínio 4/0 AWG CA/CAA</v>
          </cell>
          <cell r="E4023" t="str">
            <v>un</v>
          </cell>
          <cell r="F4023"/>
          <cell r="G4023">
            <v>0.87</v>
          </cell>
          <cell r="H4023">
            <v>0</v>
          </cell>
        </row>
        <row r="4024">
          <cell r="C4024" t="str">
            <v>23.3.2.9</v>
          </cell>
          <cell r="D4024" t="str">
            <v>Manilha Sapatilha Em Aço Zincado A Quente</v>
          </cell>
          <cell r="E4024" t="str">
            <v>un</v>
          </cell>
          <cell r="F4024"/>
          <cell r="G4024">
            <v>4.24</v>
          </cell>
          <cell r="H4024">
            <v>0</v>
          </cell>
        </row>
        <row r="4025">
          <cell r="C4025" t="str">
            <v>23.3.2.10</v>
          </cell>
          <cell r="D4025" t="str">
            <v>Parafuso De Máquina, Cabeça Quadrada, Em Aço Zincado, Rosca M16 X 2, Comprimento Total A = 250, Parte Rosqueada B = 170 Mm, Completo Com Duas Porcas Quadrada</v>
          </cell>
          <cell r="E4025" t="str">
            <v>un</v>
          </cell>
          <cell r="F4025"/>
          <cell r="G4025">
            <v>2.81</v>
          </cell>
          <cell r="H4025">
            <v>0</v>
          </cell>
        </row>
        <row r="4026">
          <cell r="C4026" t="str">
            <v>23.3.2.11</v>
          </cell>
          <cell r="D4026" t="str">
            <v>Parafuso De Máquina, Cabeça Quadrada, Em Aço Zincado, Rosca M16 X 2, Comprimento Total A = 300, Parte Rosqueada B = 220 Mm, Completo Com Duas Porcas Quadrada</v>
          </cell>
          <cell r="E4026" t="str">
            <v>pç</v>
          </cell>
          <cell r="F4026"/>
          <cell r="G4026">
            <v>2.88</v>
          </cell>
          <cell r="H4026">
            <v>0</v>
          </cell>
        </row>
        <row r="4027">
          <cell r="C4027" t="str">
            <v>23.3.2.12</v>
          </cell>
          <cell r="D4027" t="str">
            <v>Parafuso De Máquina, Cabeça Quadrada, Em Aço Zincado, Rosca M16 X 2, Comprimento Total A = 400, Parte Rosqueada B = 320 Mm, Completo Com Duas Porcas Quadrada</v>
          </cell>
          <cell r="E4027" t="str">
            <v>pç</v>
          </cell>
          <cell r="F4027"/>
          <cell r="G4027">
            <v>3.52</v>
          </cell>
          <cell r="H4027">
            <v>0</v>
          </cell>
        </row>
        <row r="4028">
          <cell r="C4028" t="str">
            <v>23.3.2.13</v>
          </cell>
          <cell r="D4028" t="str">
            <v>Olhal Para Parafuso M16 Em Aço Zincado A Quente, Carga De Ruptura 5000 Dan</v>
          </cell>
          <cell r="E4028" t="str">
            <v>pç</v>
          </cell>
          <cell r="F4028"/>
          <cell r="G4028">
            <v>3.68</v>
          </cell>
          <cell r="H4028">
            <v>0</v>
          </cell>
        </row>
        <row r="4029">
          <cell r="C4029" t="str">
            <v>23.3.2.14</v>
          </cell>
          <cell r="D4029" t="str">
            <v>Pino autotravante M20</v>
          </cell>
          <cell r="E4029" t="str">
            <v>un</v>
          </cell>
          <cell r="F4029"/>
          <cell r="G4029">
            <v>13.8</v>
          </cell>
          <cell r="H4029">
            <v>0</v>
          </cell>
        </row>
        <row r="4030">
          <cell r="C4030" t="str">
            <v>23.3.2.15</v>
          </cell>
          <cell r="D4030" t="str">
            <v>Chave fusível de distibuição 34,5kV/100A</v>
          </cell>
          <cell r="E4030" t="str">
            <v>un</v>
          </cell>
          <cell r="F4030"/>
          <cell r="G4030">
            <v>149.83000000000001</v>
          </cell>
          <cell r="H4030">
            <v>0</v>
          </cell>
        </row>
        <row r="4031">
          <cell r="C4031" t="str">
            <v>23.3.2.16</v>
          </cell>
          <cell r="D4031" t="str">
            <v xml:space="preserve">Isolador tipo castanha para cerca não eletrizada, espessura 6,0 mm, cor bege </v>
          </cell>
          <cell r="E4031" t="str">
            <v>un</v>
          </cell>
          <cell r="F4031"/>
          <cell r="G4031">
            <v>3.9393492042001652</v>
          </cell>
          <cell r="H4031">
            <v>0</v>
          </cell>
        </row>
        <row r="4032">
          <cell r="C4032" t="str">
            <v>23.3.2.17</v>
          </cell>
          <cell r="D4032" t="str">
            <v>Alça Preformada Para Seccionador de Cerca, Min. 3,26 mm, Max.: 4,11 mm, verde, comprimento: 650 mm</v>
          </cell>
          <cell r="E4032" t="str">
            <v>un</v>
          </cell>
          <cell r="F4032"/>
          <cell r="G4032">
            <v>2.0391925292330266</v>
          </cell>
          <cell r="H4032">
            <v>0</v>
          </cell>
        </row>
        <row r="4033">
          <cell r="C4033" t="str">
            <v>23.3.2.18</v>
          </cell>
          <cell r="D4033" t="str">
            <v>Haste De Aterramento Cobreada, Diam 3/4"X 2,50M</v>
          </cell>
          <cell r="E4033" t="str">
            <v>un</v>
          </cell>
          <cell r="F4033"/>
          <cell r="G4033">
            <v>10.47</v>
          </cell>
          <cell r="H4033">
            <v>0</v>
          </cell>
        </row>
        <row r="4034">
          <cell r="C4034" t="str">
            <v>23.3.2.19</v>
          </cell>
          <cell r="D4034" t="str">
            <v>Conector De Bronze Para Ligar Um Cabo De Cobre16 Mm2 E Haste De Terra 3/4".Ref.: Burndy Gar 144C Ou Similar.</v>
          </cell>
          <cell r="E4034" t="str">
            <v>un</v>
          </cell>
          <cell r="F4034"/>
          <cell r="G4034">
            <v>18.09</v>
          </cell>
          <cell r="H4034">
            <v>0</v>
          </cell>
        </row>
        <row r="4035">
          <cell r="C4035" t="str">
            <v>23.4</v>
          </cell>
          <cell r="D4035" t="str">
            <v>ESTAI</v>
          </cell>
          <cell r="E4035"/>
          <cell r="F4035"/>
          <cell r="G4035"/>
          <cell r="H4035">
            <v>0</v>
          </cell>
        </row>
        <row r="4036">
          <cell r="C4036" t="str">
            <v>23.4.1</v>
          </cell>
          <cell r="D4036" t="str">
            <v>MONTAGEM</v>
          </cell>
          <cell r="E4036"/>
          <cell r="F4036"/>
          <cell r="G4036"/>
          <cell r="H4036">
            <v>0</v>
          </cell>
        </row>
        <row r="4037">
          <cell r="C4037" t="str">
            <v>23.4.1.1</v>
          </cell>
          <cell r="D4037" t="str">
            <v>Alça Preformada De Estai Para Cordoalha Aço Zincado D=9,5 Mm</v>
          </cell>
          <cell r="E4037" t="str">
            <v>un</v>
          </cell>
          <cell r="F4037"/>
          <cell r="G4037">
            <v>2.74</v>
          </cell>
          <cell r="H4037">
            <v>0</v>
          </cell>
        </row>
        <row r="4038">
          <cell r="C4038" t="str">
            <v>23.4.1.2</v>
          </cell>
          <cell r="D4038" t="str">
            <v>Arruela quadrada 100x100x5 mm Ø F 18 mm</v>
          </cell>
          <cell r="E4038" t="str">
            <v>un</v>
          </cell>
          <cell r="F4038"/>
          <cell r="G4038">
            <v>0.35</v>
          </cell>
          <cell r="H4038">
            <v>0</v>
          </cell>
        </row>
        <row r="4039">
          <cell r="C4039" t="str">
            <v>23.4.1.3</v>
          </cell>
          <cell r="D4039" t="str">
            <v xml:space="preserve">Cordoalha Aço Zincado P/ Estai D=9,5Mm 7 Fios Ehs </v>
          </cell>
          <cell r="E4039" t="str">
            <v>m</v>
          </cell>
          <cell r="F4039"/>
          <cell r="G4039">
            <v>16.93</v>
          </cell>
          <cell r="H4039">
            <v>0</v>
          </cell>
        </row>
        <row r="4040">
          <cell r="C4040" t="str">
            <v>23.4.1.4</v>
          </cell>
          <cell r="D4040" t="str">
            <v>Chapa para estai 45 graus - 70x76x3/8" mm, peso: 0, 697 Kg</v>
          </cell>
          <cell r="E4040" t="str">
            <v>un</v>
          </cell>
          <cell r="F4040"/>
          <cell r="G4040">
            <v>2.65</v>
          </cell>
          <cell r="H4040">
            <v>0</v>
          </cell>
        </row>
        <row r="4041">
          <cell r="C4041" t="str">
            <v>23.4.1.5</v>
          </cell>
          <cell r="D4041" t="str">
            <v>Haste De Âncora Zinco, M20X2,5 L=2400 Mm, Com Duas Porcas Quadradas</v>
          </cell>
          <cell r="E4041" t="str">
            <v>un</v>
          </cell>
          <cell r="F4041"/>
          <cell r="G4041">
            <v>67.86</v>
          </cell>
          <cell r="H4041">
            <v>0</v>
          </cell>
        </row>
        <row r="4042">
          <cell r="C4042" t="str">
            <v>23.4.1.6</v>
          </cell>
          <cell r="D4042" t="str">
            <v>Chapa âncora para estai 320x320 mm, peso: 2,5 Kg.</v>
          </cell>
          <cell r="E4042" t="str">
            <v>un</v>
          </cell>
          <cell r="F4042"/>
          <cell r="G4042">
            <v>2.65</v>
          </cell>
          <cell r="H4042">
            <v>0</v>
          </cell>
        </row>
        <row r="4043">
          <cell r="C4043" t="str">
            <v>23.4.1.7</v>
          </cell>
          <cell r="D4043" t="str">
            <v>Isolador porcelana castanha, 90x85x20 mm (para estai)</v>
          </cell>
          <cell r="E4043" t="str">
            <v>un</v>
          </cell>
          <cell r="F4043"/>
          <cell r="G4043">
            <v>1.79</v>
          </cell>
          <cell r="H4043">
            <v>0</v>
          </cell>
        </row>
        <row r="4044">
          <cell r="C4044" t="str">
            <v>23.4.1.8</v>
          </cell>
          <cell r="D4044" t="str">
            <v>Sapatilha para cabo aço Ø de 6,5 (1/4") a 9,5 mm (3/8")</v>
          </cell>
          <cell r="E4044" t="str">
            <v>un</v>
          </cell>
          <cell r="F4044"/>
          <cell r="G4044">
            <v>27.33</v>
          </cell>
          <cell r="H4044">
            <v>0</v>
          </cell>
        </row>
        <row r="4045">
          <cell r="C4045" t="str">
            <v>23.4.1.9</v>
          </cell>
          <cell r="D4045" t="str">
            <v>Parafuso De Máquina, Cabeça Quadrada, Em Aço Zincado, Rosca M16 X 2, Comprimento Total A = 450, Parte Rosqueada B = 370 Mm, Completo Com Duas Porcas Quadrada</v>
          </cell>
          <cell r="E4045" t="str">
            <v>pç</v>
          </cell>
          <cell r="F4045"/>
          <cell r="G4045">
            <v>3.15</v>
          </cell>
          <cell r="H4045">
            <v>0</v>
          </cell>
        </row>
        <row r="4046">
          <cell r="C4046" t="str">
            <v>23.4.1.10</v>
          </cell>
          <cell r="D4046" t="str">
            <v xml:space="preserve"> Escav. Manual  Em Material De  1ª Cat. Com Dmt&lt;= 100 M. (Até 1,5M)</v>
          </cell>
          <cell r="E4046" t="str">
            <v>m³</v>
          </cell>
          <cell r="F4046"/>
          <cell r="G4046">
            <v>18.07</v>
          </cell>
          <cell r="H4046">
            <v>0</v>
          </cell>
        </row>
        <row r="4047">
          <cell r="C4047" t="str">
            <v>23.4.1.11</v>
          </cell>
          <cell r="D4047" t="str">
            <v xml:space="preserve"> Reaterro Manual De Vala, Com Reaproveitamento Do  Material Escavado . </v>
          </cell>
          <cell r="E4047" t="str">
            <v>m³</v>
          </cell>
          <cell r="F4047"/>
          <cell r="G4047">
            <v>7.41</v>
          </cell>
          <cell r="H4047">
            <v>0</v>
          </cell>
        </row>
        <row r="4048">
          <cell r="C4048" t="str">
            <v>23.4.2</v>
          </cell>
          <cell r="D4048" t="str">
            <v>FORNECIMENTO</v>
          </cell>
          <cell r="E4048"/>
          <cell r="F4048"/>
          <cell r="G4048"/>
          <cell r="H4048">
            <v>0</v>
          </cell>
        </row>
        <row r="4049">
          <cell r="C4049" t="str">
            <v>23.4.2.1</v>
          </cell>
          <cell r="D4049" t="str">
            <v>Alça Preformada De Estai Para Cordoalha Aço Zincado D=9,5 Mm</v>
          </cell>
          <cell r="E4049" t="str">
            <v>un</v>
          </cell>
          <cell r="F4049"/>
          <cell r="G4049">
            <v>5.37</v>
          </cell>
          <cell r="H4049">
            <v>0</v>
          </cell>
        </row>
        <row r="4050">
          <cell r="C4050" t="str">
            <v>23.4.2.2</v>
          </cell>
          <cell r="D4050" t="str">
            <v>Arruela quadrada 100x100x5 mm Ø F 18 mm</v>
          </cell>
          <cell r="E4050" t="str">
            <v>un</v>
          </cell>
          <cell r="F4050"/>
          <cell r="G4050">
            <v>0</v>
          </cell>
          <cell r="H4050">
            <v>0</v>
          </cell>
        </row>
        <row r="4051">
          <cell r="C4051" t="str">
            <v>23.4.2.3</v>
          </cell>
          <cell r="D4051" t="str">
            <v xml:space="preserve">Cordoalha Aço Zincado P/ Estai D=9,5Mm 7 Fios Ehs </v>
          </cell>
          <cell r="E4051" t="str">
            <v>m</v>
          </cell>
          <cell r="F4051"/>
          <cell r="G4051">
            <v>3.31</v>
          </cell>
          <cell r="H4051">
            <v>0</v>
          </cell>
        </row>
        <row r="4052">
          <cell r="C4052" t="str">
            <v>23.4.2.4</v>
          </cell>
          <cell r="D4052" t="str">
            <v>Chapa para estai 45 graus - 70x76x3/8" mm, peso: 0, 697 Kg</v>
          </cell>
          <cell r="E4052" t="str">
            <v>un</v>
          </cell>
          <cell r="F4052"/>
          <cell r="G4052">
            <v>6.9517927132944086</v>
          </cell>
          <cell r="H4052">
            <v>0</v>
          </cell>
        </row>
        <row r="4053">
          <cell r="C4053" t="str">
            <v>23.4.2.5</v>
          </cell>
          <cell r="D4053" t="str">
            <v>Haste De Âncora Zinco, M20X2,5 L=2400 Mm, Com Duas Porcas Quadradas</v>
          </cell>
          <cell r="E4053" t="str">
            <v>un</v>
          </cell>
          <cell r="F4053"/>
          <cell r="G4053">
            <v>22.3</v>
          </cell>
          <cell r="H4053">
            <v>0</v>
          </cell>
        </row>
        <row r="4054">
          <cell r="C4054" t="str">
            <v>23.4.2.6</v>
          </cell>
          <cell r="D4054" t="str">
            <v>Chapa âncora para estai 320x320 mm, peso: 2,5 Kg.</v>
          </cell>
          <cell r="E4054" t="str">
            <v>un</v>
          </cell>
          <cell r="F4054"/>
          <cell r="G4054">
            <v>30.124435090942441</v>
          </cell>
          <cell r="H4054">
            <v>0</v>
          </cell>
        </row>
        <row r="4055">
          <cell r="C4055" t="str">
            <v>23.4.2.7</v>
          </cell>
          <cell r="D4055" t="str">
            <v>Isolador porcelana castanha, 90x85x20 mm (para estai)</v>
          </cell>
          <cell r="E4055" t="str">
            <v>un</v>
          </cell>
          <cell r="F4055"/>
          <cell r="G4055">
            <v>3.9393492042001652</v>
          </cell>
          <cell r="H4055">
            <v>0</v>
          </cell>
        </row>
        <row r="4056">
          <cell r="C4056" t="str">
            <v>23.4.2.8</v>
          </cell>
          <cell r="D4056" t="str">
            <v>Sapatilha para cabo aço Ø de 6,5 (1/4") a 9,5 mm (3/8")</v>
          </cell>
          <cell r="E4056" t="str">
            <v>un</v>
          </cell>
          <cell r="F4056"/>
          <cell r="G4056">
            <v>0.9</v>
          </cell>
          <cell r="H4056">
            <v>0</v>
          </cell>
        </row>
        <row r="4057">
          <cell r="C4057" t="str">
            <v>23.4.2.9</v>
          </cell>
          <cell r="D4057" t="str">
            <v>Parafuso De Máquina, Cabeça Quadrada, Em Aço Zincado, Rosca M16 X 2, Comprimento Total A = 450, Parte Rosqueada B = 370 Mm, Completo Com Duas Porcas Quadrada</v>
          </cell>
          <cell r="E4057" t="str">
            <v>pç</v>
          </cell>
          <cell r="F4057"/>
          <cell r="G4057">
            <v>3.84</v>
          </cell>
          <cell r="H4057">
            <v>0</v>
          </cell>
        </row>
        <row r="4058">
          <cell r="C4058" t="str">
            <v>TOTAL PI</v>
          </cell>
          <cell r="D4058"/>
          <cell r="E4058"/>
          <cell r="F4058"/>
          <cell r="G4058"/>
          <cell r="H4058">
            <v>100799.6</v>
          </cell>
        </row>
        <row r="4059">
          <cell r="C4059" t="str">
            <v>TOTAL REAJUSTAMENTO-2023</v>
          </cell>
          <cell r="D4059"/>
          <cell r="E4059"/>
          <cell r="F4059"/>
          <cell r="G4059"/>
          <cell r="H4059" t="e">
            <v>#REF!</v>
          </cell>
        </row>
        <row r="4060">
          <cell r="C4060" t="str">
            <v>TOTAL PI + R</v>
          </cell>
          <cell r="D4060"/>
          <cell r="E4060"/>
          <cell r="F4060"/>
          <cell r="G4060"/>
          <cell r="H4060" t="e">
            <v>#REF!</v>
          </cell>
        </row>
        <row r="4061">
          <cell r="C4061"/>
          <cell r="D4061"/>
          <cell r="E4061"/>
          <cell r="F4061"/>
          <cell r="G4061"/>
          <cell r="H4061"/>
        </row>
        <row r="4062">
          <cell r="C4062"/>
          <cell r="D4062"/>
          <cell r="E4062"/>
          <cell r="F4062"/>
          <cell r="G4062"/>
          <cell r="H4062"/>
        </row>
        <row r="4063">
          <cell r="C4063"/>
          <cell r="D4063"/>
          <cell r="E4063"/>
          <cell r="F4063"/>
          <cell r="G4063"/>
          <cell r="H4063"/>
        </row>
        <row r="4064">
          <cell r="C4064"/>
          <cell r="D4064" t="str">
            <v>_____________________________</v>
          </cell>
          <cell r="E4064"/>
          <cell r="F4064" t="str">
            <v>____________________________</v>
          </cell>
          <cell r="G4064"/>
          <cell r="H4064"/>
        </row>
        <row r="4065">
          <cell r="C4065"/>
          <cell r="D4065" t="str">
            <v>Engº Marcus H. R. Rangel</v>
          </cell>
          <cell r="F4065" t="str">
            <v>Engº Inácio R. L. Mascarenhas</v>
          </cell>
          <cell r="G4065"/>
          <cell r="H4065"/>
        </row>
        <row r="4066">
          <cell r="C4066"/>
          <cell r="D4066"/>
          <cell r="E4066"/>
          <cell r="F4066"/>
          <cell r="H4066"/>
        </row>
        <row r="4067">
          <cell r="C4067"/>
          <cell r="D4067"/>
          <cell r="E4067"/>
          <cell r="F4067"/>
          <cell r="H4067"/>
        </row>
        <row r="4068">
          <cell r="C4068"/>
          <cell r="D4068"/>
          <cell r="E4068"/>
          <cell r="F4068"/>
          <cell r="G4068"/>
          <cell r="H4068"/>
        </row>
        <row r="4069">
          <cell r="C4069"/>
          <cell r="D4069" t="str">
            <v>__________________________________</v>
          </cell>
          <cell r="E4069"/>
          <cell r="F4069" t="str">
            <v>__________________________________</v>
          </cell>
          <cell r="G4069"/>
          <cell r="H4069"/>
        </row>
        <row r="4070">
          <cell r="C4070"/>
          <cell r="D4070" t="str">
            <v>Eng Luiz Reis de Araujo Junior</v>
          </cell>
          <cell r="E4070"/>
          <cell r="F4070" t="str">
            <v>Engº Geraldo Angeiras de Holanda Filho</v>
          </cell>
          <cell r="G4070"/>
          <cell r="H4070"/>
        </row>
        <row r="4071">
          <cell r="C4071"/>
          <cell r="D4071"/>
          <cell r="E4071"/>
          <cell r="F4071"/>
          <cell r="G4071"/>
          <cell r="H4071"/>
        </row>
        <row r="4072">
          <cell r="C4072"/>
          <cell r="D4072"/>
          <cell r="E4072"/>
          <cell r="F4072"/>
          <cell r="G4072"/>
          <cell r="H4072"/>
        </row>
        <row r="4073">
          <cell r="C4073"/>
          <cell r="D4073"/>
          <cell r="E4073"/>
          <cell r="F4073"/>
          <cell r="H4073"/>
        </row>
        <row r="4076">
          <cell r="G4076"/>
        </row>
        <row r="4078">
          <cell r="G4078"/>
          <cell r="H4078"/>
        </row>
      </sheetData>
      <sheetData sheetId="6"/>
      <sheetData sheetId="7"/>
      <sheetData sheetId="8"/>
      <sheetData sheetId="9"/>
      <sheetData sheetId="10"/>
      <sheetData sheetId="11"/>
      <sheetData sheetId="12"/>
      <sheetData sheetId="13"/>
      <sheetData sheetId="14"/>
      <sheetData sheetId="15"/>
      <sheetData sheetId="16"/>
      <sheetData sheetId="17">
        <row r="19">
          <cell r="A19" t="str">
            <v>02 - IGP-DI</v>
          </cell>
          <cell r="B19" t="str">
            <v>02</v>
          </cell>
          <cell r="C19" t="str">
            <v>ÍNDICE GERAL DE PREÇOS - DISPONIBILIDADE INTERNA</v>
          </cell>
          <cell r="D19">
            <v>161384</v>
          </cell>
          <cell r="E19">
            <v>1139.7339999999999</v>
          </cell>
          <cell r="F19">
            <v>738.26400000000001</v>
          </cell>
          <cell r="G19"/>
          <cell r="H19">
            <v>263.58</v>
          </cell>
          <cell r="I19">
            <v>3.3241000000000001</v>
          </cell>
        </row>
        <row r="20">
          <cell r="B20" t="str">
            <v>32</v>
          </cell>
          <cell r="C20" t="str">
            <v>AÇO, FERRO E DERIVADOS</v>
          </cell>
          <cell r="D20">
            <v>1006825</v>
          </cell>
          <cell r="E20"/>
          <cell r="F20"/>
          <cell r="G20">
            <v>637.95000000000005</v>
          </cell>
          <cell r="H20">
            <v>270.96800000000002</v>
          </cell>
          <cell r="I20">
            <v>1.3543000000000001</v>
          </cell>
        </row>
        <row r="21">
          <cell r="A21" t="str">
            <v>272 - Produtos siderurgicos</v>
          </cell>
          <cell r="B21" t="str">
            <v>272</v>
          </cell>
          <cell r="C21" t="str">
            <v>PRODUTOS SIDERÚRGICOS</v>
          </cell>
          <cell r="D21">
            <v>1136868</v>
          </cell>
          <cell r="E21">
            <v>370.61900000000003</v>
          </cell>
          <cell r="F21">
            <v>180.517</v>
          </cell>
          <cell r="G21">
            <v>135.53</v>
          </cell>
          <cell r="H21"/>
          <cell r="I21">
            <v>3.7035</v>
          </cell>
        </row>
        <row r="22">
          <cell r="A22" t="str">
            <v>273 - Tubos de ferro e aço</v>
          </cell>
          <cell r="B22" t="str">
            <v>273</v>
          </cell>
          <cell r="C22" t="str">
            <v>TUBOS DE FERRO E AÇO</v>
          </cell>
          <cell r="D22">
            <v>1136913</v>
          </cell>
          <cell r="E22">
            <v>419.67700000000002</v>
          </cell>
          <cell r="F22">
            <v>215.61199999999999</v>
          </cell>
          <cell r="G22">
            <v>123.41800000000001</v>
          </cell>
          <cell r="H22"/>
          <cell r="I22">
            <v>4.6052</v>
          </cell>
        </row>
        <row r="23">
          <cell r="A23" t="str">
            <v>35 - Edificações</v>
          </cell>
          <cell r="B23" t="str">
            <v>35</v>
          </cell>
          <cell r="C23" t="str">
            <v>CUSTO NACIONAL DE CONSTRUÇÃO CIVIL E OBRA PÚBLICAS - EDIFICAÇÕES</v>
          </cell>
          <cell r="D23">
            <v>159428</v>
          </cell>
          <cell r="E23">
            <v>1050.701</v>
          </cell>
          <cell r="F23">
            <v>775.22500000000002</v>
          </cell>
          <cell r="G23"/>
          <cell r="H23">
            <v>236.83</v>
          </cell>
          <cell r="I23">
            <v>3.4365000000000001</v>
          </cell>
        </row>
        <row r="24">
          <cell r="A24" t="str">
            <v>38 - Terraplenagem</v>
          </cell>
          <cell r="B24" t="str">
            <v>38</v>
          </cell>
          <cell r="C24" t="str">
            <v>CUSTO NACIONAL DE CONSTRUÇÃO CIVIL E OBRA PÚBLICAS - TERRAPLENAGEM</v>
          </cell>
          <cell r="D24">
            <v>157956</v>
          </cell>
          <cell r="E24">
            <v>487.16699999999997</v>
          </cell>
          <cell r="F24">
            <v>327.00900000000001</v>
          </cell>
          <cell r="G24"/>
          <cell r="H24">
            <v>133.13900000000001</v>
          </cell>
          <cell r="I24">
            <v>2.6591</v>
          </cell>
        </row>
        <row r="25">
          <cell r="A25" t="str">
            <v>40 - Estr.obras-conc.armado</v>
          </cell>
          <cell r="B25" t="str">
            <v>40</v>
          </cell>
          <cell r="C25" t="str">
            <v>CUSTO NACIONAL DE CONSTRUÇÃO CIVIL E OBRA PÚBLICAS - ESTRUTURAS E OBRAS EM CONCRETO ARMADO</v>
          </cell>
          <cell r="D25">
            <v>159665</v>
          </cell>
          <cell r="E25">
            <v>837.91899999999998</v>
          </cell>
          <cell r="F25">
            <v>558.92200000000003</v>
          </cell>
          <cell r="G25"/>
          <cell r="H25">
            <v>225.01400000000001</v>
          </cell>
          <cell r="I25">
            <v>2.7239</v>
          </cell>
        </row>
        <row r="26">
          <cell r="B26"/>
          <cell r="I26"/>
        </row>
        <row r="27">
          <cell r="B27"/>
          <cell r="D27" t="str">
            <v>COLUNAS</v>
          </cell>
          <cell r="E27" t="str">
            <v>FÓRMULAS</v>
          </cell>
          <cell r="G27" t="str">
            <v>RESULTADO</v>
          </cell>
          <cell r="H27" t="str">
            <v>CÁLCULO DO FATOR</v>
          </cell>
          <cell r="I27"/>
        </row>
        <row r="28">
          <cell r="B28"/>
          <cell r="D28" t="str">
            <v>Coluna 32</v>
          </cell>
          <cell r="E28" t="str">
            <v>1+ ( (I1 - I0) / I0)</v>
          </cell>
          <cell r="F28"/>
          <cell r="G28">
            <v>2.3543370434885302</v>
          </cell>
          <cell r="H28" t="str">
            <v xml:space="preserve"> [( 2,3543 - 1)] = 1,3543</v>
          </cell>
          <cell r="I28"/>
        </row>
        <row r="29">
          <cell r="B29"/>
          <cell r="D29"/>
          <cell r="I29"/>
        </row>
        <row r="30">
          <cell r="B30"/>
          <cell r="D30" t="str">
            <v>Coluna 273</v>
          </cell>
          <cell r="E30" t="str">
            <v>1+ ( (I2 - I1) / I1)</v>
          </cell>
          <cell r="F30"/>
          <cell r="G30">
            <v>3.4004521220567501</v>
          </cell>
          <cell r="H30" t="str">
            <v>[( 1,3543*2,35005)] = 3,1827</v>
          </cell>
          <cell r="I30"/>
        </row>
      </sheetData>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sheetName val="SEINFRA"/>
      <sheetName val="BDI"/>
      <sheetName val="BDI (materiais)"/>
      <sheetName val="Reajuste Atual"/>
      <sheetName val="RECUPERAÇÃO OBRAS"/>
      <sheetName val="Orçamento Obras Implantar"/>
      <sheetName val="RESUMO"/>
      <sheetName val="RESUMO (2)"/>
      <sheetName val="RESUMO GERAL"/>
      <sheetName val="DESMATAMENTO"/>
      <sheetName val="Tomadas Parcelas Isoladas"/>
      <sheetName val="Planilha3"/>
    </sheetNames>
    <sheetDataSet>
      <sheetData sheetId="0"/>
      <sheetData sheetId="1"/>
      <sheetData sheetId="2"/>
      <sheetData sheetId="3"/>
      <sheetData sheetId="4"/>
      <sheetData sheetId="5"/>
      <sheetData sheetId="6"/>
      <sheetData sheetId="7">
        <row r="14">
          <cell r="G14">
            <v>1189449.9938334946</v>
          </cell>
        </row>
        <row r="15">
          <cell r="G15">
            <v>509764.28307149769</v>
          </cell>
        </row>
        <row r="16">
          <cell r="G16">
            <v>1699214.2769049923</v>
          </cell>
        </row>
        <row r="17">
          <cell r="G17">
            <v>15467436.628740454</v>
          </cell>
        </row>
        <row r="18">
          <cell r="G18">
            <v>1189449.9938334946</v>
          </cell>
        </row>
        <row r="19">
          <cell r="G19">
            <v>509764.28307149769</v>
          </cell>
        </row>
        <row r="22">
          <cell r="G22">
            <v>54806.126375256426</v>
          </cell>
        </row>
        <row r="23">
          <cell r="G23">
            <v>12411.218005055998</v>
          </cell>
        </row>
        <row r="25">
          <cell r="G25">
            <v>39272.47237251771</v>
          </cell>
        </row>
        <row r="26">
          <cell r="G26">
            <v>889.24109999999996</v>
          </cell>
        </row>
        <row r="28">
          <cell r="G28">
            <v>419399.07113130484</v>
          </cell>
        </row>
        <row r="29">
          <cell r="G29">
            <v>1463257.0059359327</v>
          </cell>
        </row>
        <row r="30">
          <cell r="G30">
            <v>924843.84885338775</v>
          </cell>
        </row>
        <row r="32">
          <cell r="G32">
            <v>26698.377880650001</v>
          </cell>
        </row>
        <row r="35">
          <cell r="G35">
            <v>341562.97842651518</v>
          </cell>
        </row>
        <row r="36">
          <cell r="G36">
            <v>288716.6622946944</v>
          </cell>
        </row>
        <row r="39">
          <cell r="G39">
            <v>488405.53546429914</v>
          </cell>
        </row>
        <row r="41">
          <cell r="G41">
            <v>230622.50093621167</v>
          </cell>
        </row>
        <row r="42">
          <cell r="G42">
            <v>30971.166502016</v>
          </cell>
        </row>
        <row r="44">
          <cell r="G44">
            <v>205681.84506296791</v>
          </cell>
        </row>
        <row r="45">
          <cell r="G45">
            <v>152073.11204247555</v>
          </cell>
        </row>
        <row r="46">
          <cell r="G46">
            <v>169003.59620208168</v>
          </cell>
        </row>
        <row r="48">
          <cell r="G48">
            <v>86248.823535802352</v>
          </cell>
        </row>
        <row r="50">
          <cell r="G50">
            <v>98189.819964978524</v>
          </cell>
        </row>
        <row r="51">
          <cell r="G51">
            <v>217995.5571193088</v>
          </cell>
        </row>
        <row r="53">
          <cell r="G53">
            <v>348136.58453517995</v>
          </cell>
        </row>
        <row r="54">
          <cell r="G54">
            <v>7398.7497780351996</v>
          </cell>
        </row>
        <row r="56">
          <cell r="G56">
            <v>592762.91068893916</v>
          </cell>
        </row>
        <row r="57">
          <cell r="G57">
            <v>439137.93289749755</v>
          </cell>
        </row>
        <row r="59">
          <cell r="G59">
            <v>204213.419652713</v>
          </cell>
        </row>
        <row r="60">
          <cell r="G60">
            <v>331995.13380716799</v>
          </cell>
        </row>
        <row r="62">
          <cell r="G62">
            <v>191195.29832969996</v>
          </cell>
        </row>
        <row r="64">
          <cell r="G64">
            <v>1006840.1931666333</v>
          </cell>
        </row>
        <row r="65">
          <cell r="G65">
            <v>6836077.0368122794</v>
          </cell>
        </row>
        <row r="66">
          <cell r="G66">
            <v>1041309.2837263396</v>
          </cell>
        </row>
        <row r="68">
          <cell r="G68">
            <v>2398807.8171902648</v>
          </cell>
        </row>
        <row r="69">
          <cell r="G69">
            <v>5506306.7424988765</v>
          </cell>
        </row>
        <row r="70">
          <cell r="G70">
            <v>9739201.0797500573</v>
          </cell>
        </row>
        <row r="71">
          <cell r="G71">
            <v>434610.83203447377</v>
          </cell>
        </row>
        <row r="72">
          <cell r="G72">
            <v>1464535.1519282432</v>
          </cell>
        </row>
        <row r="73">
          <cell r="G73">
            <v>243477.05874356985</v>
          </cell>
        </row>
        <row r="74">
          <cell r="G74">
            <v>477121.93579714571</v>
          </cell>
        </row>
        <row r="76">
          <cell r="G76">
            <v>2922745.0869413144</v>
          </cell>
        </row>
        <row r="77">
          <cell r="G77">
            <v>402654.52450778958</v>
          </cell>
        </row>
        <row r="80">
          <cell r="G80">
            <v>969699.27282156958</v>
          </cell>
        </row>
        <row r="81">
          <cell r="G81">
            <v>257739.62497542001</v>
          </cell>
        </row>
        <row r="83">
          <cell r="G83">
            <v>153890.87836651117</v>
          </cell>
        </row>
        <row r="84">
          <cell r="G84">
            <v>21199.589607060025</v>
          </cell>
        </row>
        <row r="89">
          <cell r="G89">
            <v>2060097.9555600001</v>
          </cell>
        </row>
        <row r="90">
          <cell r="G90">
            <v>211744.22896000001</v>
          </cell>
        </row>
        <row r="92">
          <cell r="G92">
            <v>7255252.2815955002</v>
          </cell>
        </row>
        <row r="93">
          <cell r="G93">
            <v>3613877.499078</v>
          </cell>
        </row>
        <row r="95">
          <cell r="G95">
            <v>2179072.196004</v>
          </cell>
        </row>
        <row r="96">
          <cell r="G96">
            <v>106092.39150400001</v>
          </cell>
        </row>
        <row r="98">
          <cell r="G98">
            <v>1962766.6926890824</v>
          </cell>
        </row>
        <row r="99">
          <cell r="G99">
            <v>3686343.179100642</v>
          </cell>
        </row>
        <row r="101">
          <cell r="G101">
            <v>777363.89599905885</v>
          </cell>
        </row>
        <row r="102">
          <cell r="G102">
            <v>1459995.2742061175</v>
          </cell>
        </row>
      </sheetData>
      <sheetData sheetId="8"/>
      <sheetData sheetId="9">
        <row r="13">
          <cell r="C13">
            <v>30726431.839889351</v>
          </cell>
        </row>
        <row r="15">
          <cell r="C15">
            <v>4860947.9000000004</v>
          </cell>
        </row>
      </sheetData>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1"/>
      <sheetName val="Quadro 2"/>
      <sheetName val="Quadro 3"/>
      <sheetName val="QUADRO 4"/>
      <sheetName val="QUADRO 5"/>
      <sheetName val="CPU-1"/>
      <sheetName val="171-C"/>
      <sheetName val="101-C"/>
      <sheetName val="SICRO"/>
      <sheetName val="SINAPI"/>
      <sheetName val="BDI"/>
      <sheetName val="BDI (materiais)"/>
      <sheetName val="RECUPERAÇÃO OBRAS"/>
      <sheetName val="EBAS NOVAS"/>
      <sheetName val="RESUMO"/>
      <sheetName val="RESUMO (2)"/>
      <sheetName val="RESUMO GERAL"/>
      <sheetName val="PRELIMINARES"/>
      <sheetName val="REDE DISTRIBUIÇÃO"/>
      <sheetName val="ESTRADAS"/>
      <sheetName val="DRENAGEM"/>
      <sheetName val="EBP NORTE"/>
      <sheetName val="EBP SUL"/>
      <sheetName val="EBS-EB9"/>
      <sheetName val="CANAIS"/>
      <sheetName val="EQUIP. REDE DISTRIBUIÇÃO"/>
      <sheetName val="EQUIP.EBP-NORTE"/>
      <sheetName val="EQUIP EBP SUL-EBS-EB9"/>
      <sheetName val="EQUIP. CANAIS"/>
      <sheetName val="MONTAGEM REDE DISTRIBUIÇÃO"/>
      <sheetName val="MONTAGEM EBP NORTE"/>
      <sheetName val="MONTAGEM EBP SUL"/>
      <sheetName val="MONTAGEM EBS-EB9"/>
      <sheetName val="MONTAGEM CANAIS"/>
      <sheetName val="ELE-EB9"/>
      <sheetName val="ELET-EBPSUL"/>
      <sheetName val="ELET-EBS"/>
      <sheetName val="ELET-EBPNORTE"/>
      <sheetName val="SEINF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9">
          <cell r="D29">
            <v>8</v>
          </cell>
          <cell r="G29">
            <v>248593.30967165035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2"/>
  <sheetViews>
    <sheetView workbookViewId="0">
      <selection activeCell="B3" sqref="B3:J56"/>
    </sheetView>
  </sheetViews>
  <sheetFormatPr defaultRowHeight="15"/>
  <cols>
    <col min="2" max="2" width="13.7109375" style="525" customWidth="1"/>
    <col min="3" max="3" width="57.85546875" style="2" customWidth="1"/>
    <col min="4" max="4" width="10.42578125" style="1" customWidth="1"/>
    <col min="5" max="5" width="20" style="715" bestFit="1" customWidth="1"/>
    <col min="6" max="6" width="22" style="715" customWidth="1"/>
    <col min="7" max="7" width="25.42578125" style="711" customWidth="1"/>
    <col min="8" max="8" width="7.7109375" style="711" customWidth="1"/>
    <col min="9" max="9" width="17" style="711" customWidth="1"/>
    <col min="10" max="10" width="15.42578125" bestFit="1" customWidth="1"/>
    <col min="11" max="11" width="18.28515625" bestFit="1" customWidth="1"/>
    <col min="12" max="12" width="16" customWidth="1"/>
    <col min="13" max="13" width="13.42578125" customWidth="1"/>
    <col min="14" max="14" width="14.5703125" customWidth="1"/>
    <col min="15" max="15" width="15.7109375" customWidth="1"/>
  </cols>
  <sheetData>
    <row r="1" spans="1:15">
      <c r="B1"/>
      <c r="C1"/>
      <c r="D1"/>
      <c r="E1"/>
      <c r="F1"/>
      <c r="G1"/>
      <c r="H1"/>
      <c r="I1"/>
    </row>
    <row r="2" spans="1:15" ht="15.75" thickBot="1">
      <c r="B2"/>
      <c r="C2"/>
      <c r="D2"/>
      <c r="E2"/>
      <c r="F2"/>
      <c r="G2"/>
      <c r="H2"/>
      <c r="I2"/>
    </row>
    <row r="3" spans="1:15">
      <c r="B3" s="1045" t="s">
        <v>0</v>
      </c>
      <c r="C3" s="1047" t="s">
        <v>1520</v>
      </c>
      <c r="D3" s="1049" t="s">
        <v>11</v>
      </c>
      <c r="E3" s="625" t="s">
        <v>3469</v>
      </c>
      <c r="F3" s="626"/>
      <c r="G3" s="1051" t="s">
        <v>2745</v>
      </c>
      <c r="H3" s="1052"/>
      <c r="I3" s="1052"/>
      <c r="J3" s="1053" t="s">
        <v>3470</v>
      </c>
      <c r="L3" s="627" t="s">
        <v>3471</v>
      </c>
      <c r="M3" s="628" t="s">
        <v>1400</v>
      </c>
      <c r="N3" s="628" t="s">
        <v>1546</v>
      </c>
      <c r="O3" s="628" t="s">
        <v>3472</v>
      </c>
    </row>
    <row r="4" spans="1:15">
      <c r="B4" s="1046"/>
      <c r="C4" s="1048"/>
      <c r="D4" s="1050"/>
      <c r="E4" s="629" t="s">
        <v>3473</v>
      </c>
      <c r="F4" s="630" t="s">
        <v>3474</v>
      </c>
      <c r="G4" s="631" t="s">
        <v>1491</v>
      </c>
      <c r="H4" s="632" t="s">
        <v>1490</v>
      </c>
      <c r="I4" s="633" t="s">
        <v>3475</v>
      </c>
      <c r="J4" s="1054"/>
      <c r="L4" s="634"/>
      <c r="M4" s="635">
        <v>0.4</v>
      </c>
      <c r="N4" s="635">
        <v>0.375</v>
      </c>
      <c r="O4" s="634"/>
    </row>
    <row r="5" spans="1:15">
      <c r="B5" s="636" t="s">
        <v>14</v>
      </c>
      <c r="C5" s="637" t="s">
        <v>1388</v>
      </c>
      <c r="D5" s="638"/>
      <c r="E5" s="639"/>
      <c r="F5" s="640"/>
      <c r="G5" s="641"/>
      <c r="H5" s="642"/>
      <c r="I5" s="643"/>
      <c r="J5" s="644"/>
      <c r="L5" s="634"/>
      <c r="M5" s="634"/>
      <c r="N5" s="634"/>
      <c r="O5" s="634"/>
    </row>
    <row r="6" spans="1:15" ht="32.25" customHeight="1">
      <c r="B6" s="645"/>
      <c r="C6" s="646" t="s">
        <v>3476</v>
      </c>
      <c r="D6" s="647"/>
      <c r="E6" s="648">
        <f>E7+E24+E35+E41+E50</f>
        <v>33681246.06476026</v>
      </c>
      <c r="F6" s="648"/>
      <c r="G6" s="649"/>
      <c r="H6" s="650"/>
      <c r="I6" s="651">
        <f>I7+I24+I35+I41+I50</f>
        <v>134078054.61439042</v>
      </c>
      <c r="J6" s="652"/>
      <c r="L6" s="634"/>
      <c r="M6" s="634"/>
      <c r="N6" s="634"/>
      <c r="O6" s="634"/>
    </row>
    <row r="7" spans="1:15">
      <c r="B7" s="653" t="s">
        <v>19</v>
      </c>
      <c r="C7" s="654" t="s">
        <v>3477</v>
      </c>
      <c r="D7" s="655"/>
      <c r="E7" s="656">
        <f>E8+E11+E17</f>
        <v>11577938.132544003</v>
      </c>
      <c r="F7" s="657"/>
      <c r="G7" s="649"/>
      <c r="H7" s="650"/>
      <c r="I7" s="658">
        <f>I8+I11+I17</f>
        <v>45464103.054231063</v>
      </c>
      <c r="J7" s="659"/>
      <c r="L7" s="660">
        <v>1660.74</v>
      </c>
      <c r="M7" s="661">
        <f>L7/($M$4+1)</f>
        <v>1186.2428571428572</v>
      </c>
      <c r="N7" s="661">
        <f>L7/($N$4+1)</f>
        <v>1207.810909090909</v>
      </c>
      <c r="O7" s="661">
        <f>IF(A9="S",M7,N7)</f>
        <v>1186.2428571428572</v>
      </c>
    </row>
    <row r="8" spans="1:15">
      <c r="B8" s="653" t="s">
        <v>20</v>
      </c>
      <c r="C8" s="662" t="s">
        <v>1407</v>
      </c>
      <c r="D8" s="663"/>
      <c r="E8" s="664">
        <f>SUM(E9:E10)</f>
        <v>4105494.3475390207</v>
      </c>
      <c r="F8" s="657"/>
      <c r="G8" s="649"/>
      <c r="H8" s="650"/>
      <c r="I8" s="665">
        <f>SUM(I9:I10)</f>
        <v>15245211.131569304</v>
      </c>
      <c r="J8" s="666"/>
      <c r="L8" s="667"/>
      <c r="M8" s="668"/>
      <c r="N8" s="668"/>
      <c r="O8" s="668"/>
    </row>
    <row r="9" spans="1:15">
      <c r="A9" s="669" t="s">
        <v>3478</v>
      </c>
      <c r="B9" s="653"/>
      <c r="C9" s="670" t="s">
        <v>3060</v>
      </c>
      <c r="D9" s="671" t="s">
        <v>3479</v>
      </c>
      <c r="E9" s="672">
        <f>O9</f>
        <v>3518000.7930434779</v>
      </c>
      <c r="F9" s="657" t="s">
        <v>3480</v>
      </c>
      <c r="G9" s="673" t="s">
        <v>1526</v>
      </c>
      <c r="H9" s="650">
        <f>VLOOKUP(G9,'Reajuste Atual'!$L$19:$M$25,2,FALSE)</f>
        <v>2.6478999999999999</v>
      </c>
      <c r="I9" s="674">
        <f>E9*(1+H9)</f>
        <v>12833315.092943303</v>
      </c>
      <c r="J9" s="675"/>
      <c r="L9" s="667">
        <v>4837251.0904347822</v>
      </c>
      <c r="M9" s="661">
        <f t="shared" ref="M9:M10" si="0">L9/($M$4+1)</f>
        <v>3455179.3503105589</v>
      </c>
      <c r="N9" s="661">
        <f t="shared" ref="N9:N10" si="1">L9/($N$4+1)</f>
        <v>3518000.7930434779</v>
      </c>
      <c r="O9" s="661">
        <f>IF(A11="S",M9,N9)</f>
        <v>3518000.7930434779</v>
      </c>
    </row>
    <row r="10" spans="1:15">
      <c r="A10" s="669" t="s">
        <v>3478</v>
      </c>
      <c r="B10" s="653"/>
      <c r="C10" s="670" t="s">
        <v>3481</v>
      </c>
      <c r="D10" s="671" t="s">
        <v>3482</v>
      </c>
      <c r="E10" s="672">
        <f>O10</f>
        <v>587493.55449554254</v>
      </c>
      <c r="F10" s="657" t="s">
        <v>3480</v>
      </c>
      <c r="G10" s="673" t="s">
        <v>1521</v>
      </c>
      <c r="H10" s="650">
        <f>VLOOKUP(G10,'Reajuste Atual'!$L$19:$M$25,2,FALSE)</f>
        <v>3.1053999999999999</v>
      </c>
      <c r="I10" s="674">
        <f>E10*(1+H10)</f>
        <v>2411896.0386260003</v>
      </c>
      <c r="J10" s="675"/>
      <c r="L10" s="667">
        <v>807803.63743137103</v>
      </c>
      <c r="M10" s="661">
        <f t="shared" si="0"/>
        <v>577002.59816526505</v>
      </c>
      <c r="N10" s="661">
        <f t="shared" si="1"/>
        <v>587493.55449554254</v>
      </c>
      <c r="O10" s="661">
        <f>IF(A12="S",M10,N10)</f>
        <v>587493.55449554254</v>
      </c>
    </row>
    <row r="11" spans="1:15">
      <c r="A11" s="676"/>
      <c r="B11" s="653" t="s">
        <v>21</v>
      </c>
      <c r="C11" s="677" t="s">
        <v>1546</v>
      </c>
      <c r="D11" s="678"/>
      <c r="E11" s="664">
        <f>SUM(E12:E15)</f>
        <v>4487590.7699978678</v>
      </c>
      <c r="F11" s="657"/>
      <c r="G11" s="649"/>
      <c r="H11" s="650"/>
      <c r="I11" s="665">
        <f>SUM(I12:I15)</f>
        <v>18423355.147149242</v>
      </c>
      <c r="J11" s="666"/>
      <c r="L11" s="667"/>
      <c r="M11" s="668"/>
      <c r="N11" s="668"/>
      <c r="O11" s="668"/>
    </row>
    <row r="12" spans="1:15">
      <c r="A12" s="669" t="s">
        <v>3483</v>
      </c>
      <c r="B12" s="645"/>
      <c r="C12" s="679" t="s">
        <v>3484</v>
      </c>
      <c r="D12" s="671" t="s">
        <v>3482</v>
      </c>
      <c r="E12" s="672">
        <f>O12</f>
        <v>1934724.5567325428</v>
      </c>
      <c r="F12" s="657" t="s">
        <v>3480</v>
      </c>
      <c r="G12" s="673" t="s">
        <v>1521</v>
      </c>
      <c r="H12" s="650">
        <f>VLOOKUP(G12,'Reajuste Atual'!$L$19:$M$25,2,FALSE)</f>
        <v>3.1053999999999999</v>
      </c>
      <c r="I12" s="674">
        <f t="shared" ref="I12:I15" si="2">E12*(1+H12)</f>
        <v>7942818.1952097807</v>
      </c>
      <c r="J12" s="675"/>
      <c r="L12" s="667">
        <v>2660246.2655072464</v>
      </c>
      <c r="M12" s="661">
        <f t="shared" ref="M12:M15" si="3">L12/($M$4+1)</f>
        <v>1900175.9039337474</v>
      </c>
      <c r="N12" s="661">
        <f t="shared" ref="N12:N15" si="4">L12/($N$4+1)</f>
        <v>1934724.5567325428</v>
      </c>
      <c r="O12" s="661">
        <f>IF(A14="S",M12,N12)</f>
        <v>1934724.5567325428</v>
      </c>
    </row>
    <row r="13" spans="1:15">
      <c r="A13" s="669" t="s">
        <v>3483</v>
      </c>
      <c r="B13" s="645"/>
      <c r="C13" s="679" t="s">
        <v>3485</v>
      </c>
      <c r="D13" s="671" t="s">
        <v>3482</v>
      </c>
      <c r="E13" s="672">
        <f>O13</f>
        <v>139886.76781027665</v>
      </c>
      <c r="F13" s="657" t="s">
        <v>3480</v>
      </c>
      <c r="G13" s="673" t="s">
        <v>1521</v>
      </c>
      <c r="H13" s="650">
        <f>VLOOKUP(G13,'Reajuste Atual'!$L$19:$M$25,2,FALSE)</f>
        <v>3.1053999999999999</v>
      </c>
      <c r="I13" s="674">
        <f t="shared" si="2"/>
        <v>574291.13656830974</v>
      </c>
      <c r="J13" s="675"/>
      <c r="L13" s="667">
        <v>192344.30573913039</v>
      </c>
      <c r="M13" s="661">
        <f t="shared" si="3"/>
        <v>137388.78981366457</v>
      </c>
      <c r="N13" s="661">
        <f t="shared" si="4"/>
        <v>139886.76781027665</v>
      </c>
      <c r="O13" s="661">
        <f>IF(A15="S",M13,N13)</f>
        <v>139886.76781027665</v>
      </c>
    </row>
    <row r="14" spans="1:15">
      <c r="A14" s="669" t="s">
        <v>3483</v>
      </c>
      <c r="B14" s="645"/>
      <c r="C14" s="679" t="s">
        <v>3486</v>
      </c>
      <c r="D14" s="671" t="s">
        <v>3482</v>
      </c>
      <c r="E14" s="672">
        <f>O14</f>
        <v>1621379.9669038213</v>
      </c>
      <c r="F14" s="657" t="s">
        <v>3480</v>
      </c>
      <c r="G14" s="673" t="s">
        <v>1521</v>
      </c>
      <c r="H14" s="650">
        <f>VLOOKUP(G14,'Reajuste Atual'!$L$19:$M$25,2,FALSE)</f>
        <v>3.1053999999999999</v>
      </c>
      <c r="I14" s="674">
        <f t="shared" si="2"/>
        <v>6656413.3161269473</v>
      </c>
      <c r="J14" s="675"/>
      <c r="L14" s="667">
        <v>2229397.4544927543</v>
      </c>
      <c r="M14" s="661">
        <f t="shared" si="3"/>
        <v>1592426.7532091103</v>
      </c>
      <c r="N14" s="661">
        <f t="shared" si="4"/>
        <v>1621379.9669038213</v>
      </c>
      <c r="O14" s="661">
        <f>IF(A16="S",M14,N14)</f>
        <v>1621379.9669038213</v>
      </c>
    </row>
    <row r="15" spans="1:15">
      <c r="A15" s="669" t="s">
        <v>3483</v>
      </c>
      <c r="B15" s="645"/>
      <c r="C15" s="679" t="s">
        <v>3487</v>
      </c>
      <c r="D15" s="671" t="s">
        <v>3482</v>
      </c>
      <c r="E15" s="672">
        <f>O15</f>
        <v>791599.47855122678</v>
      </c>
      <c r="F15" s="657" t="s">
        <v>3480</v>
      </c>
      <c r="G15" s="673" t="s">
        <v>1521</v>
      </c>
      <c r="H15" s="650">
        <f>VLOOKUP(G15,'Reajuste Atual'!$L$19:$M$25,2,FALSE)</f>
        <v>3.1053999999999999</v>
      </c>
      <c r="I15" s="674">
        <f t="shared" si="2"/>
        <v>3249832.4992442061</v>
      </c>
      <c r="J15" s="675"/>
      <c r="L15" s="667">
        <v>1088449.2830079368</v>
      </c>
      <c r="M15" s="661">
        <f t="shared" si="3"/>
        <v>777463.7735770978</v>
      </c>
      <c r="N15" s="661">
        <f t="shared" si="4"/>
        <v>791599.47855122678</v>
      </c>
      <c r="O15" s="661">
        <f>IF(A17="S",M15,N15)</f>
        <v>791599.47855122678</v>
      </c>
    </row>
    <row r="16" spans="1:15">
      <c r="A16" s="676"/>
      <c r="B16" s="653"/>
      <c r="C16" s="680"/>
      <c r="D16" s="678"/>
      <c r="E16" s="672"/>
      <c r="F16" s="657"/>
      <c r="G16" s="649"/>
      <c r="H16" s="650"/>
      <c r="I16" s="674"/>
      <c r="J16" s="675"/>
      <c r="L16" s="667"/>
      <c r="M16" s="668"/>
      <c r="N16" s="668"/>
      <c r="O16" s="668"/>
    </row>
    <row r="17" spans="1:15">
      <c r="A17" s="676"/>
      <c r="B17" s="653" t="s">
        <v>3220</v>
      </c>
      <c r="C17" s="662" t="s">
        <v>3488</v>
      </c>
      <c r="D17" s="655"/>
      <c r="E17" s="664">
        <f>E18+E19</f>
        <v>2984853.0150071154</v>
      </c>
      <c r="F17" s="657"/>
      <c r="G17" s="649"/>
      <c r="H17" s="650"/>
      <c r="I17" s="681">
        <f>I18+I19</f>
        <v>11795536.775512513</v>
      </c>
      <c r="J17" s="682"/>
      <c r="L17" s="667"/>
      <c r="M17" s="668"/>
      <c r="N17" s="668"/>
      <c r="O17" s="668"/>
    </row>
    <row r="18" spans="1:15">
      <c r="A18" s="669" t="s">
        <v>3478</v>
      </c>
      <c r="B18" s="653" t="s">
        <v>3489</v>
      </c>
      <c r="C18" s="680" t="s">
        <v>1394</v>
      </c>
      <c r="D18" s="678"/>
      <c r="E18" s="664">
        <f>O18</f>
        <v>704376.69733860344</v>
      </c>
      <c r="F18" s="657" t="s">
        <v>3480</v>
      </c>
      <c r="G18" s="673" t="s">
        <v>1523</v>
      </c>
      <c r="H18" s="650">
        <f>VLOOKUP(G18,'Reajuste Atual'!$L$19:$M$25,2,FALSE)</f>
        <v>2.4544999999999999</v>
      </c>
      <c r="I18" s="674">
        <f>E18*(1+H18)</f>
        <v>2433269.3009562055</v>
      </c>
      <c r="J18" s="675"/>
      <c r="L18" s="667">
        <v>968517.95884057973</v>
      </c>
      <c r="M18" s="661">
        <f>L18/($M$4+1)</f>
        <v>691798.54202898557</v>
      </c>
      <c r="N18" s="661">
        <f>L18/($N$4+1)</f>
        <v>704376.69733860344</v>
      </c>
      <c r="O18" s="661">
        <f>IF(A20="S",M18,N18)</f>
        <v>704376.69733860344</v>
      </c>
    </row>
    <row r="19" spans="1:15">
      <c r="A19" s="676"/>
      <c r="B19" s="653" t="s">
        <v>3490</v>
      </c>
      <c r="C19" s="677" t="s">
        <v>1546</v>
      </c>
      <c r="D19" s="678"/>
      <c r="E19" s="656">
        <f>SUM(E20:E21)</f>
        <v>2280476.317668512</v>
      </c>
      <c r="F19" s="657"/>
      <c r="G19" s="649"/>
      <c r="H19" s="650"/>
      <c r="I19" s="683">
        <f>SUM(I20:I21)</f>
        <v>9362267.4745563082</v>
      </c>
      <c r="J19" s="684"/>
      <c r="L19" s="667"/>
      <c r="M19" s="668"/>
      <c r="N19" s="668"/>
      <c r="O19" s="668"/>
    </row>
    <row r="20" spans="1:15">
      <c r="A20" s="669" t="s">
        <v>3483</v>
      </c>
      <c r="B20" s="645"/>
      <c r="C20" s="685" t="s">
        <v>1397</v>
      </c>
      <c r="D20" s="678"/>
      <c r="E20" s="672">
        <f>O20</f>
        <v>2027140.7746361007</v>
      </c>
      <c r="F20" s="657" t="s">
        <v>3480</v>
      </c>
      <c r="G20" s="673" t="s">
        <v>1521</v>
      </c>
      <c r="H20" s="650">
        <f>VLOOKUP(G20,'Reajuste Atual'!$L$19:$M$25,2,FALSE)</f>
        <v>3.1053999999999999</v>
      </c>
      <c r="I20" s="674">
        <f t="shared" ref="I20:I21" si="5">E20*(1+H20)</f>
        <v>8322223.7361910474</v>
      </c>
      <c r="J20" s="675"/>
      <c r="L20" s="667">
        <v>2787318.5651246384</v>
      </c>
      <c r="M20" s="661">
        <f t="shared" ref="M20:M21" si="6">L20/($M$4+1)</f>
        <v>1990941.8322318846</v>
      </c>
      <c r="N20" s="661">
        <f t="shared" ref="N20:N21" si="7">L20/($N$4+1)</f>
        <v>2027140.7746361007</v>
      </c>
      <c r="O20" s="661">
        <f>IF(A22="S",M20,N20)</f>
        <v>2027140.7746361007</v>
      </c>
    </row>
    <row r="21" spans="1:15">
      <c r="A21" s="669" t="s">
        <v>3483</v>
      </c>
      <c r="B21" s="645"/>
      <c r="C21" s="685" t="s">
        <v>3491</v>
      </c>
      <c r="D21" s="678"/>
      <c r="E21" s="672">
        <f>O21</f>
        <v>253335.54303241105</v>
      </c>
      <c r="F21" s="657" t="s">
        <v>3480</v>
      </c>
      <c r="G21" s="673" t="s">
        <v>1521</v>
      </c>
      <c r="H21" s="650">
        <f>VLOOKUP(G21,'Reajuste Atual'!$L$19:$M$25,2,FALSE)</f>
        <v>3.1053999999999999</v>
      </c>
      <c r="I21" s="674">
        <f t="shared" si="5"/>
        <v>1040043.7383652602</v>
      </c>
      <c r="J21" s="675"/>
      <c r="L21" s="667">
        <v>348336.37166956521</v>
      </c>
      <c r="M21" s="661">
        <f t="shared" si="6"/>
        <v>248811.69404968945</v>
      </c>
      <c r="N21" s="661">
        <f t="shared" si="7"/>
        <v>253335.54303241105</v>
      </c>
      <c r="O21" s="661">
        <f>IF(A23="S",M21,N21)</f>
        <v>253335.54303241105</v>
      </c>
    </row>
    <row r="22" spans="1:15">
      <c r="A22" s="676"/>
      <c r="B22" s="645"/>
      <c r="C22" s="685"/>
      <c r="D22" s="647"/>
      <c r="E22" s="686"/>
      <c r="F22" s="657"/>
      <c r="G22" s="649"/>
      <c r="H22" s="650"/>
      <c r="I22" s="674"/>
      <c r="J22" s="675"/>
      <c r="L22" s="667"/>
      <c r="M22" s="668"/>
      <c r="N22" s="668"/>
      <c r="O22" s="668"/>
    </row>
    <row r="23" spans="1:15">
      <c r="A23" s="676"/>
      <c r="B23" s="645"/>
      <c r="C23" s="685"/>
      <c r="D23" s="647"/>
      <c r="E23" s="686"/>
      <c r="F23" s="657"/>
      <c r="G23" s="649"/>
      <c r="H23" s="650"/>
      <c r="I23" s="674"/>
      <c r="J23" s="675"/>
      <c r="L23" s="667"/>
      <c r="M23" s="668"/>
      <c r="N23" s="668"/>
      <c r="O23" s="668"/>
    </row>
    <row r="24" spans="1:15">
      <c r="A24" s="676"/>
      <c r="B24" s="653" t="s">
        <v>22</v>
      </c>
      <c r="C24" s="654" t="s">
        <v>3492</v>
      </c>
      <c r="D24" s="663"/>
      <c r="E24" s="664">
        <f>E25+E29</f>
        <v>5954044.4492244814</v>
      </c>
      <c r="F24" s="687"/>
      <c r="G24" s="649"/>
      <c r="H24" s="650"/>
      <c r="I24" s="688">
        <f>I25+I29</f>
        <v>24401863.289376538</v>
      </c>
      <c r="J24" s="675"/>
      <c r="L24" s="667"/>
      <c r="M24" s="668"/>
      <c r="N24" s="668"/>
      <c r="O24" s="668"/>
    </row>
    <row r="25" spans="1:15">
      <c r="A25" s="676"/>
      <c r="B25" s="653" t="s">
        <v>23</v>
      </c>
      <c r="C25" s="662" t="s">
        <v>1407</v>
      </c>
      <c r="D25" s="663"/>
      <c r="E25" s="664">
        <f>SUM(E26:E28)</f>
        <v>886257.00195175258</v>
      </c>
      <c r="F25" s="687"/>
      <c r="G25" s="649"/>
      <c r="H25" s="650"/>
      <c r="I25" s="688">
        <f>SUM(I26:I28)</f>
        <v>3596568.7033430818</v>
      </c>
      <c r="J25" s="675"/>
      <c r="L25" s="667"/>
      <c r="M25" s="668"/>
      <c r="N25" s="668"/>
      <c r="O25" s="668"/>
    </row>
    <row r="26" spans="1:15">
      <c r="A26" s="669" t="s">
        <v>3478</v>
      </c>
      <c r="B26" s="653"/>
      <c r="C26" s="670" t="s">
        <v>3060</v>
      </c>
      <c r="D26" s="689"/>
      <c r="E26" s="672">
        <f>O26</f>
        <v>91520.857857142866</v>
      </c>
      <c r="F26" s="687" t="s">
        <v>3493</v>
      </c>
      <c r="G26" s="673" t="s">
        <v>1526</v>
      </c>
      <c r="H26" s="650">
        <f>VLOOKUP(G26,'Reajuste Atual'!$L$19:$M$25,2,FALSE)</f>
        <v>2.6478999999999999</v>
      </c>
      <c r="I26" s="674">
        <f t="shared" ref="I26:I28" si="8">E26*(1+H26)</f>
        <v>333858.93737707147</v>
      </c>
      <c r="J26" s="690" t="s">
        <v>3494</v>
      </c>
      <c r="L26" s="667">
        <v>128129.201</v>
      </c>
      <c r="M26" s="661">
        <f t="shared" ref="M26:M28" si="9">L26/($M$4+1)</f>
        <v>91520.857857142866</v>
      </c>
      <c r="N26" s="661">
        <f t="shared" ref="N26:N28" si="10">L26/($N$4+1)</f>
        <v>93184.87345454545</v>
      </c>
      <c r="O26" s="661">
        <f>IF(A28="S",M26,N26)</f>
        <v>91520.857857142866</v>
      </c>
    </row>
    <row r="27" spans="1:15">
      <c r="A27" s="669" t="s">
        <v>3478</v>
      </c>
      <c r="B27" s="653"/>
      <c r="C27" s="670" t="s">
        <v>3495</v>
      </c>
      <c r="D27" s="689"/>
      <c r="E27" s="672">
        <f>O27</f>
        <v>38922.523636363629</v>
      </c>
      <c r="F27" s="687" t="s">
        <v>3493</v>
      </c>
      <c r="G27" s="673" t="s">
        <v>1521</v>
      </c>
      <c r="H27" s="650">
        <f>VLOOKUP(G27,'Reajuste Atual'!$L$19:$M$25,2,FALSE)</f>
        <v>3.1053999999999999</v>
      </c>
      <c r="I27" s="674">
        <f t="shared" si="8"/>
        <v>159792.52853672722</v>
      </c>
      <c r="J27" s="690" t="s">
        <v>3496</v>
      </c>
      <c r="L27" s="667">
        <v>53518.469999999994</v>
      </c>
      <c r="M27" s="661">
        <f t="shared" si="9"/>
        <v>38227.478571428568</v>
      </c>
      <c r="N27" s="661">
        <f t="shared" si="10"/>
        <v>38922.523636363629</v>
      </c>
      <c r="O27" s="661">
        <f>IF(A29="S",M27,N27)</f>
        <v>38922.523636363629</v>
      </c>
    </row>
    <row r="28" spans="1:15">
      <c r="A28" s="669" t="s">
        <v>3478</v>
      </c>
      <c r="B28" s="653"/>
      <c r="C28" s="691" t="s">
        <v>3497</v>
      </c>
      <c r="D28" s="655"/>
      <c r="E28" s="692">
        <f>O28</f>
        <v>755813.62045824609</v>
      </c>
      <c r="F28" s="693" t="s">
        <v>3480</v>
      </c>
      <c r="G28" s="673" t="s">
        <v>1521</v>
      </c>
      <c r="H28" s="650">
        <f>VLOOKUP(G28,'Reajuste Atual'!$L$19:$M$25,2,FALSE)</f>
        <v>3.1053999999999999</v>
      </c>
      <c r="I28" s="674">
        <f t="shared" si="8"/>
        <v>3102917.2374292831</v>
      </c>
      <c r="J28" s="690"/>
      <c r="L28" s="667">
        <v>1039243.7281300884</v>
      </c>
      <c r="M28" s="661">
        <f t="shared" si="9"/>
        <v>742316.94866434892</v>
      </c>
      <c r="N28" s="661">
        <f t="shared" si="10"/>
        <v>755813.62045824609</v>
      </c>
      <c r="O28" s="661">
        <f>IF(A30="S",M28,N28)</f>
        <v>755813.62045824609</v>
      </c>
    </row>
    <row r="29" spans="1:15">
      <c r="A29" s="676"/>
      <c r="B29" s="653" t="s">
        <v>24</v>
      </c>
      <c r="C29" s="677" t="s">
        <v>1546</v>
      </c>
      <c r="D29" s="678"/>
      <c r="E29" s="664">
        <f>SUM(E30:E33)</f>
        <v>5067787.4472727291</v>
      </c>
      <c r="F29" s="52"/>
      <c r="G29" s="649"/>
      <c r="H29" s="650"/>
      <c r="I29" s="688">
        <f>SUM(I30:I33)</f>
        <v>20805294.586033456</v>
      </c>
      <c r="J29" s="690"/>
      <c r="L29" s="667"/>
      <c r="M29" s="668"/>
      <c r="N29" s="668"/>
      <c r="O29" s="668"/>
    </row>
    <row r="30" spans="1:15">
      <c r="A30" s="669" t="s">
        <v>3483</v>
      </c>
      <c r="B30" s="645"/>
      <c r="C30" s="685" t="s">
        <v>3484</v>
      </c>
      <c r="D30" s="678"/>
      <c r="E30" s="672">
        <f>O30</f>
        <v>2527706.0290909093</v>
      </c>
      <c r="F30" s="687" t="s">
        <v>3493</v>
      </c>
      <c r="G30" s="673" t="s">
        <v>1521</v>
      </c>
      <c r="H30" s="650">
        <f>VLOOKUP(G30,'Reajuste Atual'!$L$19:$M$25,2,FALSE)</f>
        <v>3.1053999999999999</v>
      </c>
      <c r="I30" s="674">
        <f t="shared" ref="I30:I33" si="11">E30*(1+H30)</f>
        <v>10377244.331829818</v>
      </c>
      <c r="J30" s="690" t="s">
        <v>3498</v>
      </c>
      <c r="L30" s="667">
        <v>3475595.79</v>
      </c>
      <c r="M30" s="661">
        <f t="shared" ref="M30:M33" si="12">L30/($M$4+1)</f>
        <v>2482568.4214285715</v>
      </c>
      <c r="N30" s="661">
        <f t="shared" ref="N30:N33" si="13">L30/($N$4+1)</f>
        <v>2527706.0290909093</v>
      </c>
      <c r="O30" s="661">
        <f>IF(A32="S",M30,N30)</f>
        <v>2527706.0290909093</v>
      </c>
    </row>
    <row r="31" spans="1:15">
      <c r="A31" s="669" t="s">
        <v>3483</v>
      </c>
      <c r="B31" s="645"/>
      <c r="C31" s="685" t="s">
        <v>3499</v>
      </c>
      <c r="D31" s="678"/>
      <c r="E31" s="672">
        <f>O31</f>
        <v>74429.039999999994</v>
      </c>
      <c r="F31" s="687" t="s">
        <v>3493</v>
      </c>
      <c r="G31" s="673" t="s">
        <v>1521</v>
      </c>
      <c r="H31" s="650">
        <f>VLOOKUP(G31,'Reajuste Atual'!$L$19:$M$25,2,FALSE)</f>
        <v>3.1053999999999999</v>
      </c>
      <c r="I31" s="674">
        <f t="shared" si="11"/>
        <v>305560.98081599991</v>
      </c>
      <c r="J31" s="690" t="s">
        <v>3500</v>
      </c>
      <c r="L31" s="667">
        <v>102339.93</v>
      </c>
      <c r="M31" s="661">
        <f t="shared" si="12"/>
        <v>73099.95</v>
      </c>
      <c r="N31" s="661">
        <f t="shared" si="13"/>
        <v>74429.039999999994</v>
      </c>
      <c r="O31" s="661">
        <f>IF(A33="S",M31,N31)</f>
        <v>74429.039999999994</v>
      </c>
    </row>
    <row r="32" spans="1:15">
      <c r="A32" s="669" t="s">
        <v>3483</v>
      </c>
      <c r="B32" s="645"/>
      <c r="C32" s="685" t="s">
        <v>1392</v>
      </c>
      <c r="D32" s="678"/>
      <c r="E32" s="672">
        <f>O32</f>
        <v>314205.88363636367</v>
      </c>
      <c r="F32" s="687" t="s">
        <v>3493</v>
      </c>
      <c r="G32" s="673" t="s">
        <v>1521</v>
      </c>
      <c r="H32" s="650">
        <f>VLOOKUP(G32,'Reajuste Atual'!$L$19:$M$25,2,FALSE)</f>
        <v>3.1053999999999999</v>
      </c>
      <c r="I32" s="674">
        <f t="shared" si="11"/>
        <v>1289940.8346807272</v>
      </c>
      <c r="J32" s="690" t="s">
        <v>3501</v>
      </c>
      <c r="L32" s="667">
        <v>432033.09</v>
      </c>
      <c r="M32" s="661">
        <f t="shared" si="12"/>
        <v>308595.0642857143</v>
      </c>
      <c r="N32" s="661">
        <f t="shared" si="13"/>
        <v>314205.88363636367</v>
      </c>
      <c r="O32" s="661">
        <f>IF(A34="S",M32,N32)</f>
        <v>314205.88363636367</v>
      </c>
    </row>
    <row r="33" spans="1:15">
      <c r="A33" s="669" t="s">
        <v>3483</v>
      </c>
      <c r="B33" s="645"/>
      <c r="C33" s="694" t="s">
        <v>3502</v>
      </c>
      <c r="D33" s="655"/>
      <c r="E33" s="692">
        <f>O33</f>
        <v>2151446.4945454556</v>
      </c>
      <c r="F33" s="693" t="s">
        <v>3480</v>
      </c>
      <c r="G33" s="673" t="s">
        <v>1521</v>
      </c>
      <c r="H33" s="650">
        <f>VLOOKUP(G33,'Reajuste Atual'!$L$19:$M$25,2,FALSE)</f>
        <v>3.1053999999999999</v>
      </c>
      <c r="I33" s="674">
        <f t="shared" si="11"/>
        <v>8832548.4387069121</v>
      </c>
      <c r="J33" s="690"/>
      <c r="L33" s="667">
        <v>2958238.9300000011</v>
      </c>
      <c r="M33" s="661">
        <f t="shared" si="12"/>
        <v>2113027.8071428579</v>
      </c>
      <c r="N33" s="661">
        <f t="shared" si="13"/>
        <v>2151446.4945454556</v>
      </c>
      <c r="O33" s="661">
        <f>IF(A35="S",M33,N33)</f>
        <v>2151446.4945454556</v>
      </c>
    </row>
    <row r="34" spans="1:15">
      <c r="A34" s="676"/>
      <c r="B34" s="653"/>
      <c r="C34" s="680"/>
      <c r="D34" s="678"/>
      <c r="E34" s="672"/>
      <c r="F34" s="687"/>
      <c r="G34" s="649"/>
      <c r="H34" s="650"/>
      <c r="I34" s="674"/>
      <c r="J34" s="690"/>
      <c r="L34" s="667"/>
      <c r="M34" s="668"/>
      <c r="N34" s="668"/>
      <c r="O34" s="668"/>
    </row>
    <row r="35" spans="1:15">
      <c r="A35" s="676"/>
      <c r="B35" s="653" t="s">
        <v>27</v>
      </c>
      <c r="C35" s="662" t="s">
        <v>3488</v>
      </c>
      <c r="D35" s="663"/>
      <c r="E35" s="664">
        <f>E36+E37</f>
        <v>3448213.9450181816</v>
      </c>
      <c r="F35" s="687"/>
      <c r="G35" s="649"/>
      <c r="H35" s="650"/>
      <c r="I35" s="664">
        <f>I36+I37</f>
        <v>13595371.290129278</v>
      </c>
      <c r="J35" s="690"/>
      <c r="L35" s="667"/>
      <c r="M35" s="668"/>
      <c r="N35" s="668"/>
      <c r="O35" s="668"/>
    </row>
    <row r="36" spans="1:15">
      <c r="A36" s="669" t="s">
        <v>3478</v>
      </c>
      <c r="B36" s="653" t="s">
        <v>28</v>
      </c>
      <c r="C36" s="680" t="s">
        <v>1394</v>
      </c>
      <c r="D36" s="678"/>
      <c r="E36" s="664">
        <f>O36</f>
        <v>861770.22545454546</v>
      </c>
      <c r="F36" s="695" t="s">
        <v>3503</v>
      </c>
      <c r="G36" s="673" t="s">
        <v>1523</v>
      </c>
      <c r="H36" s="650">
        <f>VLOOKUP(G36,'Reajuste Atual'!$L$19:$M$25,2,FALSE)</f>
        <v>2.4544999999999999</v>
      </c>
      <c r="I36" s="688">
        <f>E36*(1+H36)</f>
        <v>2976985.2438327274</v>
      </c>
      <c r="J36" s="690" t="s">
        <v>3504</v>
      </c>
      <c r="L36" s="667">
        <v>1184934.06</v>
      </c>
      <c r="M36" s="661">
        <f>L36/($M$4+1)</f>
        <v>846381.4714285715</v>
      </c>
      <c r="N36" s="661">
        <f>L36/($N$4+1)</f>
        <v>861770.22545454546</v>
      </c>
      <c r="O36" s="661">
        <f>IF(A38="S",M36,N36)</f>
        <v>861770.22545454546</v>
      </c>
    </row>
    <row r="37" spans="1:15">
      <c r="A37" s="676"/>
      <c r="B37" s="653" t="s">
        <v>30</v>
      </c>
      <c r="C37" s="677" t="s">
        <v>1546</v>
      </c>
      <c r="D37" s="678"/>
      <c r="E37" s="656">
        <f>SUM(E38:E39)</f>
        <v>2586443.719563636</v>
      </c>
      <c r="F37" s="657"/>
      <c r="G37" s="649"/>
      <c r="H37" s="650"/>
      <c r="I37" s="696">
        <f>SUM(I38:I39)</f>
        <v>10618386.04629655</v>
      </c>
      <c r="J37" s="690"/>
      <c r="L37" s="667"/>
      <c r="M37" s="668"/>
      <c r="N37" s="668"/>
      <c r="O37" s="668"/>
    </row>
    <row r="38" spans="1:15">
      <c r="A38" s="669" t="s">
        <v>3483</v>
      </c>
      <c r="B38" s="645"/>
      <c r="C38" s="685" t="s">
        <v>1397</v>
      </c>
      <c r="D38" s="678"/>
      <c r="E38" s="672">
        <f>O38</f>
        <v>2251257.4763636361</v>
      </c>
      <c r="F38" s="687" t="s">
        <v>3493</v>
      </c>
      <c r="G38" s="673" t="s">
        <v>1521</v>
      </c>
      <c r="H38" s="650">
        <f>VLOOKUP(G38,'Reajuste Atual'!$L$19:$M$25,2,FALSE)</f>
        <v>3.1053999999999999</v>
      </c>
      <c r="I38" s="674">
        <f t="shared" ref="I38:I39" si="14">E38*(1+H38)</f>
        <v>9242312.4434632696</v>
      </c>
      <c r="J38" s="690" t="s">
        <v>3505</v>
      </c>
      <c r="L38" s="667">
        <v>3095479.03</v>
      </c>
      <c r="M38" s="661">
        <f t="shared" ref="M38:M39" si="15">L38/($M$4+1)</f>
        <v>2211056.4500000002</v>
      </c>
      <c r="N38" s="661">
        <f t="shared" ref="N38:N39" si="16">L38/($N$4+1)</f>
        <v>2251257.4763636361</v>
      </c>
      <c r="O38" s="661">
        <f>IF(A40="S",M38,N38)</f>
        <v>2251257.4763636361</v>
      </c>
    </row>
    <row r="39" spans="1:15">
      <c r="A39" s="669" t="s">
        <v>3483</v>
      </c>
      <c r="B39" s="645"/>
      <c r="C39" s="685" t="s">
        <v>3506</v>
      </c>
      <c r="D39" s="678"/>
      <c r="E39" s="672">
        <f>O39</f>
        <v>335186.24319999997</v>
      </c>
      <c r="F39" s="687" t="s">
        <v>3507</v>
      </c>
      <c r="G39" s="673" t="s">
        <v>1521</v>
      </c>
      <c r="H39" s="650">
        <f>VLOOKUP(G39,'Reajuste Atual'!$L$19:$M$25,2,FALSE)</f>
        <v>3.1053999999999999</v>
      </c>
      <c r="I39" s="674">
        <f t="shared" si="14"/>
        <v>1376073.6028332796</v>
      </c>
      <c r="J39" s="690" t="s">
        <v>3508</v>
      </c>
      <c r="L39" s="667">
        <v>460881.08439999999</v>
      </c>
      <c r="M39" s="661">
        <f t="shared" si="15"/>
        <v>329200.7745714286</v>
      </c>
      <c r="N39" s="661">
        <f t="shared" si="16"/>
        <v>335186.24319999997</v>
      </c>
      <c r="O39" s="661">
        <f>IF(A41="S",M39,N39)</f>
        <v>335186.24319999997</v>
      </c>
    </row>
    <row r="40" spans="1:15">
      <c r="A40" s="676"/>
      <c r="B40" s="697"/>
      <c r="C40" s="698"/>
      <c r="D40" s="699"/>
      <c r="E40" s="686"/>
      <c r="F40" s="657"/>
      <c r="G40" s="649"/>
      <c r="H40" s="650"/>
      <c r="I40" s="674"/>
      <c r="J40" s="690"/>
      <c r="L40" s="667"/>
      <c r="M40" s="668"/>
      <c r="N40" s="668"/>
      <c r="O40" s="668"/>
    </row>
    <row r="41" spans="1:15">
      <c r="A41" s="676"/>
      <c r="B41" s="653" t="s">
        <v>34</v>
      </c>
      <c r="C41" s="662" t="s">
        <v>3509</v>
      </c>
      <c r="D41" s="663"/>
      <c r="E41" s="664">
        <f>SUM(E42:E44)</f>
        <v>8740379.1911372356</v>
      </c>
      <c r="F41" s="695"/>
      <c r="G41" s="649"/>
      <c r="H41" s="650"/>
      <c r="I41" s="664">
        <f>SUM(I42:I44)</f>
        <v>34964947.028531164</v>
      </c>
      <c r="J41" s="690"/>
      <c r="L41" s="667"/>
      <c r="M41" s="668"/>
      <c r="N41" s="668"/>
      <c r="O41" s="668"/>
    </row>
    <row r="42" spans="1:15">
      <c r="A42" s="669" t="s">
        <v>3478</v>
      </c>
      <c r="B42" s="653" t="s">
        <v>35</v>
      </c>
      <c r="C42" s="680" t="s">
        <v>3510</v>
      </c>
      <c r="D42" s="678"/>
      <c r="E42" s="664">
        <f>O42</f>
        <v>2006132.6836363636</v>
      </c>
      <c r="F42" s="695" t="s">
        <v>3511</v>
      </c>
      <c r="G42" s="673" t="s">
        <v>1526</v>
      </c>
      <c r="H42" s="650">
        <f>VLOOKUP(G42,'Reajuste Atual'!$L$19:$M$25,2,FALSE)</f>
        <v>2.6478999999999999</v>
      </c>
      <c r="I42" s="688">
        <f t="shared" ref="I42:I43" si="17">E42*(1+H42)</f>
        <v>7318171.416637091</v>
      </c>
      <c r="J42" s="690" t="s">
        <v>3512</v>
      </c>
      <c r="L42" s="667">
        <v>2758432.44</v>
      </c>
      <c r="M42" s="661">
        <f t="shared" ref="M42:M43" si="18">L42/($M$4+1)</f>
        <v>1970308.8857142858</v>
      </c>
      <c r="N42" s="661">
        <f t="shared" ref="N42:N43" si="19">L42/($N$4+1)</f>
        <v>2006132.6836363636</v>
      </c>
      <c r="O42" s="661">
        <f>IF(A44="S",M42,N42)</f>
        <v>2006132.6836363636</v>
      </c>
    </row>
    <row r="43" spans="1:15">
      <c r="A43" s="669" t="s">
        <v>3478</v>
      </c>
      <c r="B43" s="653" t="s">
        <v>37</v>
      </c>
      <c r="C43" s="680" t="s">
        <v>3513</v>
      </c>
      <c r="D43" s="678"/>
      <c r="E43" s="664">
        <f>O43</f>
        <v>779558.75500370073</v>
      </c>
      <c r="F43" s="687" t="s">
        <v>3493</v>
      </c>
      <c r="G43" s="673" t="s">
        <v>1521</v>
      </c>
      <c r="H43" s="650">
        <f>VLOOKUP(G43,'Reajuste Atual'!$L$19:$M$25,2,FALSE)</f>
        <v>3.1053999999999999</v>
      </c>
      <c r="I43" s="688">
        <f t="shared" si="17"/>
        <v>3200400.5127921924</v>
      </c>
      <c r="J43" s="690" t="s">
        <v>3514</v>
      </c>
      <c r="L43" s="667">
        <v>1071893.2881300885</v>
      </c>
      <c r="M43" s="661">
        <f t="shared" si="18"/>
        <v>765638.06295006326</v>
      </c>
      <c r="N43" s="661">
        <f t="shared" si="19"/>
        <v>779558.75500370073</v>
      </c>
      <c r="O43" s="661">
        <f>IF(A45="S",M43,N43)</f>
        <v>779558.75500370073</v>
      </c>
    </row>
    <row r="44" spans="1:15">
      <c r="A44" s="676"/>
      <c r="B44" s="653" t="s">
        <v>38</v>
      </c>
      <c r="C44" s="677" t="s">
        <v>3515</v>
      </c>
      <c r="D44" s="678"/>
      <c r="E44" s="664">
        <f>SUM(E45:E48)</f>
        <v>5954687.7524971701</v>
      </c>
      <c r="F44" s="687" t="s">
        <v>3493</v>
      </c>
      <c r="G44" s="649"/>
      <c r="H44" s="650"/>
      <c r="I44" s="700">
        <f>SUM(I45:I48)</f>
        <v>24446375.099101882</v>
      </c>
      <c r="J44" s="690"/>
      <c r="L44" s="667"/>
      <c r="M44" s="668"/>
      <c r="N44" s="668"/>
      <c r="O44" s="668"/>
    </row>
    <row r="45" spans="1:15">
      <c r="A45" s="669" t="s">
        <v>3483</v>
      </c>
      <c r="B45" s="653"/>
      <c r="C45" s="679" t="s">
        <v>3484</v>
      </c>
      <c r="D45" s="678"/>
      <c r="E45" s="672">
        <f>O45</f>
        <v>2567230.6618181821</v>
      </c>
      <c r="F45" s="687" t="s">
        <v>3493</v>
      </c>
      <c r="G45" s="673" t="s">
        <v>1521</v>
      </c>
      <c r="H45" s="650">
        <f>VLOOKUP(G45,'Reajuste Atual'!$L$19:$M$25,2,FALSE)</f>
        <v>3.1053999999999999</v>
      </c>
      <c r="I45" s="674">
        <f t="shared" ref="I45:I48" si="20">E45*(1+H45)</f>
        <v>10539508.759028364</v>
      </c>
      <c r="J45" s="690" t="s">
        <v>3516</v>
      </c>
      <c r="L45" s="667">
        <v>3529942.16</v>
      </c>
      <c r="M45" s="661">
        <f t="shared" ref="M45:M48" si="21">L45/($M$4+1)</f>
        <v>2521387.2571428572</v>
      </c>
      <c r="N45" s="661">
        <f t="shared" ref="N45:N48" si="22">L45/($N$4+1)</f>
        <v>2567230.6618181821</v>
      </c>
      <c r="O45" s="661">
        <f>IF(A47="S",M45,N45)</f>
        <v>2567230.6618181821</v>
      </c>
    </row>
    <row r="46" spans="1:15">
      <c r="A46" s="669" t="s">
        <v>3483</v>
      </c>
      <c r="B46" s="653"/>
      <c r="C46" s="679" t="s">
        <v>3485</v>
      </c>
      <c r="D46" s="678"/>
      <c r="E46" s="672">
        <f>O46</f>
        <v>185618.98036363634</v>
      </c>
      <c r="F46" s="687" t="s">
        <v>3493</v>
      </c>
      <c r="G46" s="673" t="s">
        <v>1521</v>
      </c>
      <c r="H46" s="650">
        <f>VLOOKUP(G46,'Reajuste Atual'!$L$19:$M$25,2,FALSE)</f>
        <v>3.1053999999999999</v>
      </c>
      <c r="I46" s="674">
        <f t="shared" si="20"/>
        <v>762040.16198487254</v>
      </c>
      <c r="J46" s="690" t="s">
        <v>3517</v>
      </c>
      <c r="L46" s="667">
        <v>255226.09799999997</v>
      </c>
      <c r="M46" s="661">
        <f t="shared" si="21"/>
        <v>182304.35571428572</v>
      </c>
      <c r="N46" s="661">
        <f t="shared" si="22"/>
        <v>185618.98036363634</v>
      </c>
      <c r="O46" s="661">
        <f>IF(A48="S",M46,N46)</f>
        <v>185618.98036363634</v>
      </c>
    </row>
    <row r="47" spans="1:15">
      <c r="A47" s="669" t="s">
        <v>3483</v>
      </c>
      <c r="B47" s="653"/>
      <c r="C47" s="679" t="s">
        <v>3486</v>
      </c>
      <c r="D47" s="678"/>
      <c r="E47" s="672">
        <f>O47</f>
        <v>2151446.4945454556</v>
      </c>
      <c r="F47" s="687" t="s">
        <v>3493</v>
      </c>
      <c r="G47" s="673" t="s">
        <v>1521</v>
      </c>
      <c r="H47" s="650">
        <f>VLOOKUP(G47,'Reajuste Atual'!$L$19:$M$25,2,FALSE)</f>
        <v>3.1053999999999999</v>
      </c>
      <c r="I47" s="674">
        <f t="shared" si="20"/>
        <v>8832548.4387069121</v>
      </c>
      <c r="J47" s="690" t="s">
        <v>3518</v>
      </c>
      <c r="L47" s="667">
        <v>2958238.9300000011</v>
      </c>
      <c r="M47" s="661">
        <f t="shared" si="21"/>
        <v>2113027.8071428579</v>
      </c>
      <c r="N47" s="661">
        <f t="shared" si="22"/>
        <v>2151446.4945454556</v>
      </c>
      <c r="O47" s="661">
        <f>IF(A49="S",M47,N47)</f>
        <v>2151446.4945454556</v>
      </c>
    </row>
    <row r="48" spans="1:15">
      <c r="A48" s="669" t="s">
        <v>3483</v>
      </c>
      <c r="B48" s="653"/>
      <c r="C48" s="679" t="s">
        <v>3487</v>
      </c>
      <c r="D48" s="678"/>
      <c r="E48" s="672">
        <f>O48</f>
        <v>1050391.6157698969</v>
      </c>
      <c r="F48" s="687" t="s">
        <v>3493</v>
      </c>
      <c r="G48" s="673" t="s">
        <v>1521</v>
      </c>
      <c r="H48" s="650">
        <f>VLOOKUP(G48,'Reajuste Atual'!$L$19:$M$25,2,FALSE)</f>
        <v>3.1053999999999999</v>
      </c>
      <c r="I48" s="674">
        <f t="shared" si="20"/>
        <v>4312277.7393817343</v>
      </c>
      <c r="J48" s="690" t="s">
        <v>3519</v>
      </c>
      <c r="L48" s="667">
        <v>1444288.4716836084</v>
      </c>
      <c r="M48" s="661">
        <f t="shared" si="21"/>
        <v>1031634.6226311489</v>
      </c>
      <c r="N48" s="661">
        <f t="shared" si="22"/>
        <v>1050391.6157698969</v>
      </c>
      <c r="O48" s="661">
        <f>IF(A50="S",M48,N48)</f>
        <v>1050391.6157698969</v>
      </c>
    </row>
    <row r="49" spans="1:15">
      <c r="A49" s="676"/>
      <c r="B49" s="653"/>
      <c r="C49" s="679"/>
      <c r="D49" s="678"/>
      <c r="E49" s="672"/>
      <c r="F49" s="687"/>
      <c r="G49" s="649"/>
      <c r="H49" s="650"/>
      <c r="I49" s="674"/>
      <c r="J49" s="690"/>
      <c r="L49" s="667"/>
      <c r="M49" s="668"/>
      <c r="N49" s="668"/>
      <c r="O49" s="668"/>
    </row>
    <row r="50" spans="1:15">
      <c r="A50" s="676"/>
      <c r="B50" s="653" t="s">
        <v>43</v>
      </c>
      <c r="C50" s="677" t="s">
        <v>3520</v>
      </c>
      <c r="D50" s="678"/>
      <c r="E50" s="664">
        <f>SUM(E51:E53)</f>
        <v>3960670.3468363639</v>
      </c>
      <c r="F50" s="687"/>
      <c r="G50" s="649"/>
      <c r="H50" s="650"/>
      <c r="I50" s="664">
        <f>SUM(I51:I53)</f>
        <v>15651769.95212237</v>
      </c>
      <c r="J50" s="690"/>
      <c r="L50" s="667"/>
      <c r="M50" s="668"/>
      <c r="N50" s="668"/>
      <c r="O50" s="668"/>
    </row>
    <row r="51" spans="1:15">
      <c r="A51" s="669" t="s">
        <v>3478</v>
      </c>
      <c r="B51" s="653"/>
      <c r="C51" s="679" t="s">
        <v>3521</v>
      </c>
      <c r="D51" s="678"/>
      <c r="E51" s="672">
        <f>O51</f>
        <v>934653.69454545458</v>
      </c>
      <c r="F51" s="695" t="s">
        <v>3503</v>
      </c>
      <c r="G51" s="673" t="s">
        <v>1523</v>
      </c>
      <c r="H51" s="650">
        <f>VLOOKUP(G51,'Reajuste Atual'!$L$19:$M$25,2,FALSE)</f>
        <v>2.4544999999999999</v>
      </c>
      <c r="I51" s="674">
        <f t="shared" ref="I51:I53" si="23">E51*(1+H51)</f>
        <v>3228761.1878072727</v>
      </c>
      <c r="J51" s="690" t="s">
        <v>3522</v>
      </c>
      <c r="L51" s="667">
        <v>1285148.83</v>
      </c>
      <c r="M51" s="661">
        <f t="shared" ref="M51:M53" si="24">L51/($M$4+1)</f>
        <v>917963.45000000007</v>
      </c>
      <c r="N51" s="661">
        <f t="shared" ref="N51:N53" si="25">L51/($N$4+1)</f>
        <v>934653.69454545458</v>
      </c>
      <c r="O51" s="661">
        <f>IF(A53="S",M51,N51)</f>
        <v>934653.69454545458</v>
      </c>
    </row>
    <row r="52" spans="1:15">
      <c r="A52" s="669" t="s">
        <v>3483</v>
      </c>
      <c r="B52" s="653"/>
      <c r="C52" s="679" t="s">
        <v>3523</v>
      </c>
      <c r="D52" s="678"/>
      <c r="E52" s="672">
        <f>O52</f>
        <v>2689859.8740363638</v>
      </c>
      <c r="F52" s="687" t="s">
        <v>3493</v>
      </c>
      <c r="G52" s="673" t="s">
        <v>1521</v>
      </c>
      <c r="H52" s="650">
        <f>VLOOKUP(G52,'Reajuste Atual'!$L$19:$M$25,2,FALSE)</f>
        <v>3.1053999999999999</v>
      </c>
      <c r="I52" s="674">
        <f t="shared" si="23"/>
        <v>11042950.726868887</v>
      </c>
      <c r="J52" s="690" t="s">
        <v>3524</v>
      </c>
      <c r="L52" s="667">
        <v>3698557.3268000004</v>
      </c>
      <c r="M52" s="661">
        <f t="shared" si="24"/>
        <v>2641826.6620000005</v>
      </c>
      <c r="N52" s="661">
        <f t="shared" si="25"/>
        <v>2689859.8740363638</v>
      </c>
      <c r="O52" s="661">
        <f>IF(A54="S",M52,N52)</f>
        <v>2689859.8740363638</v>
      </c>
    </row>
    <row r="53" spans="1:15">
      <c r="A53" s="669" t="s">
        <v>3483</v>
      </c>
      <c r="B53" s="653"/>
      <c r="C53" s="679" t="s">
        <v>3506</v>
      </c>
      <c r="D53" s="678"/>
      <c r="E53" s="672">
        <f>O53</f>
        <v>336156.77825454541</v>
      </c>
      <c r="F53" s="687" t="s">
        <v>3493</v>
      </c>
      <c r="G53" s="673" t="s">
        <v>1521</v>
      </c>
      <c r="H53" s="650">
        <f>VLOOKUP(G53,'Reajuste Atual'!$L$19:$M$25,2,FALSE)</f>
        <v>3.1053999999999999</v>
      </c>
      <c r="I53" s="674">
        <f t="shared" si="23"/>
        <v>1380058.0374462106</v>
      </c>
      <c r="J53" s="690" t="s">
        <v>3525</v>
      </c>
      <c r="L53" s="667">
        <v>462215.57009999995</v>
      </c>
      <c r="M53" s="661">
        <f t="shared" si="24"/>
        <v>330153.97864285711</v>
      </c>
      <c r="N53" s="661">
        <f t="shared" si="25"/>
        <v>336156.77825454541</v>
      </c>
      <c r="O53" s="661">
        <f>IF(A55="S",M53,N53)</f>
        <v>336156.77825454541</v>
      </c>
    </row>
    <row r="54" spans="1:15">
      <c r="A54" s="676"/>
      <c r="B54" s="653"/>
      <c r="C54" s="677"/>
      <c r="D54" s="678"/>
      <c r="E54" s="664"/>
      <c r="F54" s="687"/>
      <c r="G54" s="649"/>
      <c r="H54" s="650"/>
      <c r="I54" s="674"/>
      <c r="J54" s="675"/>
      <c r="L54" s="668"/>
      <c r="M54" s="668"/>
      <c r="N54" s="668"/>
      <c r="O54" s="668"/>
    </row>
    <row r="55" spans="1:15">
      <c r="A55" s="676"/>
      <c r="B55" s="653"/>
      <c r="C55" s="677"/>
      <c r="D55" s="678"/>
      <c r="E55" s="664"/>
      <c r="F55" s="687"/>
      <c r="G55" s="649"/>
      <c r="H55" s="650"/>
      <c r="I55" s="674"/>
      <c r="J55" s="675"/>
      <c r="L55" s="668"/>
      <c r="M55" s="668"/>
      <c r="N55" s="668"/>
      <c r="O55" s="668"/>
    </row>
    <row r="56" spans="1:15" ht="15.75" thickBot="1">
      <c r="B56" s="701"/>
      <c r="C56" s="702"/>
      <c r="D56" s="703"/>
      <c r="E56" s="704"/>
      <c r="F56" s="705"/>
      <c r="G56" s="706"/>
      <c r="H56" s="707"/>
      <c r="I56" s="708"/>
      <c r="J56" s="709"/>
      <c r="L56" s="710"/>
      <c r="M56" s="710"/>
      <c r="N56" s="710"/>
      <c r="O56" s="710"/>
    </row>
    <row r="57" spans="1:15">
      <c r="E57" s="52"/>
      <c r="F57" s="52"/>
    </row>
    <row r="58" spans="1:15">
      <c r="E58" s="52"/>
      <c r="F58" s="52"/>
      <c r="G58" s="439"/>
      <c r="H58" s="712" t="s">
        <v>3309</v>
      </c>
    </row>
    <row r="59" spans="1:15">
      <c r="E59" s="52"/>
      <c r="F59" s="52"/>
      <c r="G59" s="713" t="s">
        <v>3526</v>
      </c>
      <c r="H59" s="714">
        <v>0.2462</v>
      </c>
    </row>
    <row r="60" spans="1:15">
      <c r="E60" s="52"/>
      <c r="F60" s="52"/>
      <c r="G60" s="713" t="s">
        <v>3454</v>
      </c>
      <c r="H60" s="714">
        <v>0.15279999999999999</v>
      </c>
    </row>
    <row r="61" spans="1:15">
      <c r="E61" s="52"/>
      <c r="F61" s="52"/>
    </row>
    <row r="62" spans="1:15">
      <c r="E62" s="52"/>
      <c r="F62" s="52"/>
    </row>
    <row r="63" spans="1:15">
      <c r="E63" s="52"/>
      <c r="F63" s="52"/>
    </row>
    <row r="64" spans="1:15">
      <c r="E64" s="52"/>
      <c r="F64" s="52"/>
    </row>
    <row r="65" spans="5:6">
      <c r="E65" s="52"/>
      <c r="F65" s="52"/>
    </row>
    <row r="66" spans="5:6">
      <c r="E66" s="52"/>
      <c r="F66" s="52"/>
    </row>
    <row r="67" spans="5:6">
      <c r="E67" s="52"/>
      <c r="F67" s="52"/>
    </row>
    <row r="68" spans="5:6">
      <c r="E68" s="52"/>
      <c r="F68" s="52"/>
    </row>
    <row r="69" spans="5:6">
      <c r="E69" s="52"/>
      <c r="F69" s="52"/>
    </row>
    <row r="70" spans="5:6">
      <c r="E70" s="52"/>
      <c r="F70" s="52"/>
    </row>
    <row r="71" spans="5:6">
      <c r="E71" s="52"/>
      <c r="F71" s="52"/>
    </row>
    <row r="72" spans="5:6">
      <c r="E72" s="52"/>
      <c r="F72" s="52"/>
    </row>
    <row r="73" spans="5:6">
      <c r="E73" s="52"/>
      <c r="F73" s="52"/>
    </row>
    <row r="74" spans="5:6">
      <c r="E74" s="52"/>
      <c r="F74" s="52"/>
    </row>
    <row r="75" spans="5:6">
      <c r="E75" s="52"/>
      <c r="F75" s="52"/>
    </row>
    <row r="76" spans="5:6">
      <c r="E76" s="52"/>
      <c r="F76" s="52"/>
    </row>
    <row r="77" spans="5:6">
      <c r="E77" s="52"/>
      <c r="F77" s="52"/>
    </row>
    <row r="78" spans="5:6">
      <c r="E78" s="52"/>
      <c r="F78" s="52"/>
    </row>
    <row r="79" spans="5:6">
      <c r="E79" s="52"/>
      <c r="F79" s="52"/>
    </row>
    <row r="80" spans="5:6">
      <c r="E80" s="52"/>
      <c r="F80" s="52"/>
    </row>
    <row r="81" spans="5:6">
      <c r="E81" s="52"/>
      <c r="F81" s="52"/>
    </row>
    <row r="82" spans="5:6">
      <c r="E82" s="52"/>
      <c r="F82" s="52"/>
    </row>
  </sheetData>
  <mergeCells count="5">
    <mergeCell ref="B3:B4"/>
    <mergeCell ref="C3:C4"/>
    <mergeCell ref="D3:D4"/>
    <mergeCell ref="G3:I3"/>
    <mergeCell ref="J3:J4"/>
  </mergeCells>
  <conditionalFormatting sqref="H59:H60">
    <cfRule type="expression" dxfId="17" priority="1" stopIfTrue="1">
      <formula>#REF!="Não"</formula>
    </cfRule>
  </conditionalFormatting>
  <pageMargins left="0.51181102362204722" right="0.51181102362204722" top="0.78740157480314965" bottom="0.78740157480314965"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6"/>
  <sheetViews>
    <sheetView showGridLines="0" topLeftCell="A4" zoomScaleNormal="100" zoomScaleSheetLayoutView="100" workbookViewId="0">
      <selection activeCell="E6" sqref="E6:E7"/>
    </sheetView>
  </sheetViews>
  <sheetFormatPr defaultRowHeight="15"/>
  <cols>
    <col min="1" max="1" width="7.85546875" style="718" customWidth="1"/>
    <col min="2" max="2" width="49.140625" style="718" customWidth="1"/>
    <col min="3" max="3" width="10.7109375" style="718" customWidth="1"/>
    <col min="4" max="4" width="13.5703125" style="718" customWidth="1"/>
    <col min="5" max="5" width="13.42578125" style="718" customWidth="1"/>
    <col min="6" max="6" width="11.85546875" style="718" customWidth="1"/>
    <col min="7" max="7" width="14.28515625" style="718" customWidth="1"/>
    <col min="8" max="8" width="9.140625" style="439"/>
    <col min="9" max="9" width="20.42578125" style="439" customWidth="1"/>
    <col min="10" max="10" width="15.28515625" style="439" customWidth="1"/>
    <col min="11" max="11" width="6.7109375" style="439" customWidth="1"/>
    <col min="12" max="12" width="13.5703125" style="439" customWidth="1"/>
    <col min="13" max="256" width="9.140625" style="439"/>
    <col min="257" max="257" width="7.85546875" style="439" customWidth="1"/>
    <col min="258" max="258" width="56.7109375" style="439" customWidth="1"/>
    <col min="259" max="259" width="10.7109375" style="439" customWidth="1"/>
    <col min="260" max="260" width="13.5703125" style="439" customWidth="1"/>
    <col min="261" max="262" width="11.85546875" style="439" customWidth="1"/>
    <col min="263" max="263" width="13.140625" style="439" customWidth="1"/>
    <col min="264" max="264" width="9.140625" style="439"/>
    <col min="265" max="265" width="12.7109375" style="439" bestFit="1" customWidth="1"/>
    <col min="266" max="512" width="9.140625" style="439"/>
    <col min="513" max="513" width="7.85546875" style="439" customWidth="1"/>
    <col min="514" max="514" width="56.7109375" style="439" customWidth="1"/>
    <col min="515" max="515" width="10.7109375" style="439" customWidth="1"/>
    <col min="516" max="516" width="13.5703125" style="439" customWidth="1"/>
    <col min="517" max="518" width="11.85546875" style="439" customWidth="1"/>
    <col min="519" max="519" width="13.140625" style="439" customWidth="1"/>
    <col min="520" max="520" width="9.140625" style="439"/>
    <col min="521" max="521" width="12.7109375" style="439" bestFit="1" customWidth="1"/>
    <col min="522" max="768" width="9.140625" style="439"/>
    <col min="769" max="769" width="7.85546875" style="439" customWidth="1"/>
    <col min="770" max="770" width="56.7109375" style="439" customWidth="1"/>
    <col min="771" max="771" width="10.7109375" style="439" customWidth="1"/>
    <col min="772" max="772" width="13.5703125" style="439" customWidth="1"/>
    <col min="773" max="774" width="11.85546875" style="439" customWidth="1"/>
    <col min="775" max="775" width="13.140625" style="439" customWidth="1"/>
    <col min="776" max="776" width="9.140625" style="439"/>
    <col min="777" max="777" width="12.7109375" style="439" bestFit="1" customWidth="1"/>
    <col min="778" max="1024" width="9.140625" style="439"/>
    <col min="1025" max="1025" width="7.85546875" style="439" customWidth="1"/>
    <col min="1026" max="1026" width="56.7109375" style="439" customWidth="1"/>
    <col min="1027" max="1027" width="10.7109375" style="439" customWidth="1"/>
    <col min="1028" max="1028" width="13.5703125" style="439" customWidth="1"/>
    <col min="1029" max="1030" width="11.85546875" style="439" customWidth="1"/>
    <col min="1031" max="1031" width="13.140625" style="439" customWidth="1"/>
    <col min="1032" max="1032" width="9.140625" style="439"/>
    <col min="1033" max="1033" width="12.7109375" style="439" bestFit="1" customWidth="1"/>
    <col min="1034" max="1280" width="9.140625" style="439"/>
    <col min="1281" max="1281" width="7.85546875" style="439" customWidth="1"/>
    <col min="1282" max="1282" width="56.7109375" style="439" customWidth="1"/>
    <col min="1283" max="1283" width="10.7109375" style="439" customWidth="1"/>
    <col min="1284" max="1284" width="13.5703125" style="439" customWidth="1"/>
    <col min="1285" max="1286" width="11.85546875" style="439" customWidth="1"/>
    <col min="1287" max="1287" width="13.140625" style="439" customWidth="1"/>
    <col min="1288" max="1288" width="9.140625" style="439"/>
    <col min="1289" max="1289" width="12.7109375" style="439" bestFit="1" customWidth="1"/>
    <col min="1290" max="1536" width="9.140625" style="439"/>
    <col min="1537" max="1537" width="7.85546875" style="439" customWidth="1"/>
    <col min="1538" max="1538" width="56.7109375" style="439" customWidth="1"/>
    <col min="1539" max="1539" width="10.7109375" style="439" customWidth="1"/>
    <col min="1540" max="1540" width="13.5703125" style="439" customWidth="1"/>
    <col min="1541" max="1542" width="11.85546875" style="439" customWidth="1"/>
    <col min="1543" max="1543" width="13.140625" style="439" customWidth="1"/>
    <col min="1544" max="1544" width="9.140625" style="439"/>
    <col min="1545" max="1545" width="12.7109375" style="439" bestFit="1" customWidth="1"/>
    <col min="1546" max="1792" width="9.140625" style="439"/>
    <col min="1793" max="1793" width="7.85546875" style="439" customWidth="1"/>
    <col min="1794" max="1794" width="56.7109375" style="439" customWidth="1"/>
    <col min="1795" max="1795" width="10.7109375" style="439" customWidth="1"/>
    <col min="1796" max="1796" width="13.5703125" style="439" customWidth="1"/>
    <col min="1797" max="1798" width="11.85546875" style="439" customWidth="1"/>
    <col min="1799" max="1799" width="13.140625" style="439" customWidth="1"/>
    <col min="1800" max="1800" width="9.140625" style="439"/>
    <col min="1801" max="1801" width="12.7109375" style="439" bestFit="1" customWidth="1"/>
    <col min="1802" max="2048" width="9.140625" style="439"/>
    <col min="2049" max="2049" width="7.85546875" style="439" customWidth="1"/>
    <col min="2050" max="2050" width="56.7109375" style="439" customWidth="1"/>
    <col min="2051" max="2051" width="10.7109375" style="439" customWidth="1"/>
    <col min="2052" max="2052" width="13.5703125" style="439" customWidth="1"/>
    <col min="2053" max="2054" width="11.85546875" style="439" customWidth="1"/>
    <col min="2055" max="2055" width="13.140625" style="439" customWidth="1"/>
    <col min="2056" max="2056" width="9.140625" style="439"/>
    <col min="2057" max="2057" width="12.7109375" style="439" bestFit="1" customWidth="1"/>
    <col min="2058" max="2304" width="9.140625" style="439"/>
    <col min="2305" max="2305" width="7.85546875" style="439" customWidth="1"/>
    <col min="2306" max="2306" width="56.7109375" style="439" customWidth="1"/>
    <col min="2307" max="2307" width="10.7109375" style="439" customWidth="1"/>
    <col min="2308" max="2308" width="13.5703125" style="439" customWidth="1"/>
    <col min="2309" max="2310" width="11.85546875" style="439" customWidth="1"/>
    <col min="2311" max="2311" width="13.140625" style="439" customWidth="1"/>
    <col min="2312" max="2312" width="9.140625" style="439"/>
    <col min="2313" max="2313" width="12.7109375" style="439" bestFit="1" customWidth="1"/>
    <col min="2314" max="2560" width="9.140625" style="439"/>
    <col min="2561" max="2561" width="7.85546875" style="439" customWidth="1"/>
    <col min="2562" max="2562" width="56.7109375" style="439" customWidth="1"/>
    <col min="2563" max="2563" width="10.7109375" style="439" customWidth="1"/>
    <col min="2564" max="2564" width="13.5703125" style="439" customWidth="1"/>
    <col min="2565" max="2566" width="11.85546875" style="439" customWidth="1"/>
    <col min="2567" max="2567" width="13.140625" style="439" customWidth="1"/>
    <col min="2568" max="2568" width="9.140625" style="439"/>
    <col min="2569" max="2569" width="12.7109375" style="439" bestFit="1" customWidth="1"/>
    <col min="2570" max="2816" width="9.140625" style="439"/>
    <col min="2817" max="2817" width="7.85546875" style="439" customWidth="1"/>
    <col min="2818" max="2818" width="56.7109375" style="439" customWidth="1"/>
    <col min="2819" max="2819" width="10.7109375" style="439" customWidth="1"/>
    <col min="2820" max="2820" width="13.5703125" style="439" customWidth="1"/>
    <col min="2821" max="2822" width="11.85546875" style="439" customWidth="1"/>
    <col min="2823" max="2823" width="13.140625" style="439" customWidth="1"/>
    <col min="2824" max="2824" width="9.140625" style="439"/>
    <col min="2825" max="2825" width="12.7109375" style="439" bestFit="1" customWidth="1"/>
    <col min="2826" max="3072" width="9.140625" style="439"/>
    <col min="3073" max="3073" width="7.85546875" style="439" customWidth="1"/>
    <col min="3074" max="3074" width="56.7109375" style="439" customWidth="1"/>
    <col min="3075" max="3075" width="10.7109375" style="439" customWidth="1"/>
    <col min="3076" max="3076" width="13.5703125" style="439" customWidth="1"/>
    <col min="3077" max="3078" width="11.85546875" style="439" customWidth="1"/>
    <col min="3079" max="3079" width="13.140625" style="439" customWidth="1"/>
    <col min="3080" max="3080" width="9.140625" style="439"/>
    <col min="3081" max="3081" width="12.7109375" style="439" bestFit="1" customWidth="1"/>
    <col min="3082" max="3328" width="9.140625" style="439"/>
    <col min="3329" max="3329" width="7.85546875" style="439" customWidth="1"/>
    <col min="3330" max="3330" width="56.7109375" style="439" customWidth="1"/>
    <col min="3331" max="3331" width="10.7109375" style="439" customWidth="1"/>
    <col min="3332" max="3332" width="13.5703125" style="439" customWidth="1"/>
    <col min="3333" max="3334" width="11.85546875" style="439" customWidth="1"/>
    <col min="3335" max="3335" width="13.140625" style="439" customWidth="1"/>
    <col min="3336" max="3336" width="9.140625" style="439"/>
    <col min="3337" max="3337" width="12.7109375" style="439" bestFit="1" customWidth="1"/>
    <col min="3338" max="3584" width="9.140625" style="439"/>
    <col min="3585" max="3585" width="7.85546875" style="439" customWidth="1"/>
    <col min="3586" max="3586" width="56.7109375" style="439" customWidth="1"/>
    <col min="3587" max="3587" width="10.7109375" style="439" customWidth="1"/>
    <col min="3588" max="3588" width="13.5703125" style="439" customWidth="1"/>
    <col min="3589" max="3590" width="11.85546875" style="439" customWidth="1"/>
    <col min="3591" max="3591" width="13.140625" style="439" customWidth="1"/>
    <col min="3592" max="3592" width="9.140625" style="439"/>
    <col min="3593" max="3593" width="12.7109375" style="439" bestFit="1" customWidth="1"/>
    <col min="3594" max="3840" width="9.140625" style="439"/>
    <col min="3841" max="3841" width="7.85546875" style="439" customWidth="1"/>
    <col min="3842" max="3842" width="56.7109375" style="439" customWidth="1"/>
    <col min="3843" max="3843" width="10.7109375" style="439" customWidth="1"/>
    <col min="3844" max="3844" width="13.5703125" style="439" customWidth="1"/>
    <col min="3845" max="3846" width="11.85546875" style="439" customWidth="1"/>
    <col min="3847" max="3847" width="13.140625" style="439" customWidth="1"/>
    <col min="3848" max="3848" width="9.140625" style="439"/>
    <col min="3849" max="3849" width="12.7109375" style="439" bestFit="1" customWidth="1"/>
    <col min="3850" max="4096" width="9.140625" style="439"/>
    <col min="4097" max="4097" width="7.85546875" style="439" customWidth="1"/>
    <col min="4098" max="4098" width="56.7109375" style="439" customWidth="1"/>
    <col min="4099" max="4099" width="10.7109375" style="439" customWidth="1"/>
    <col min="4100" max="4100" width="13.5703125" style="439" customWidth="1"/>
    <col min="4101" max="4102" width="11.85546875" style="439" customWidth="1"/>
    <col min="4103" max="4103" width="13.140625" style="439" customWidth="1"/>
    <col min="4104" max="4104" width="9.140625" style="439"/>
    <col min="4105" max="4105" width="12.7109375" style="439" bestFit="1" customWidth="1"/>
    <col min="4106" max="4352" width="9.140625" style="439"/>
    <col min="4353" max="4353" width="7.85546875" style="439" customWidth="1"/>
    <col min="4354" max="4354" width="56.7109375" style="439" customWidth="1"/>
    <col min="4355" max="4355" width="10.7109375" style="439" customWidth="1"/>
    <col min="4356" max="4356" width="13.5703125" style="439" customWidth="1"/>
    <col min="4357" max="4358" width="11.85546875" style="439" customWidth="1"/>
    <col min="4359" max="4359" width="13.140625" style="439" customWidth="1"/>
    <col min="4360" max="4360" width="9.140625" style="439"/>
    <col min="4361" max="4361" width="12.7109375" style="439" bestFit="1" customWidth="1"/>
    <col min="4362" max="4608" width="9.140625" style="439"/>
    <col min="4609" max="4609" width="7.85546875" style="439" customWidth="1"/>
    <col min="4610" max="4610" width="56.7109375" style="439" customWidth="1"/>
    <col min="4611" max="4611" width="10.7109375" style="439" customWidth="1"/>
    <col min="4612" max="4612" width="13.5703125" style="439" customWidth="1"/>
    <col min="4613" max="4614" width="11.85546875" style="439" customWidth="1"/>
    <col min="4615" max="4615" width="13.140625" style="439" customWidth="1"/>
    <col min="4616" max="4616" width="9.140625" style="439"/>
    <col min="4617" max="4617" width="12.7109375" style="439" bestFit="1" customWidth="1"/>
    <col min="4618" max="4864" width="9.140625" style="439"/>
    <col min="4865" max="4865" width="7.85546875" style="439" customWidth="1"/>
    <col min="4866" max="4866" width="56.7109375" style="439" customWidth="1"/>
    <col min="4867" max="4867" width="10.7109375" style="439" customWidth="1"/>
    <col min="4868" max="4868" width="13.5703125" style="439" customWidth="1"/>
    <col min="4869" max="4870" width="11.85546875" style="439" customWidth="1"/>
    <col min="4871" max="4871" width="13.140625" style="439" customWidth="1"/>
    <col min="4872" max="4872" width="9.140625" style="439"/>
    <col min="4873" max="4873" width="12.7109375" style="439" bestFit="1" customWidth="1"/>
    <col min="4874" max="5120" width="9.140625" style="439"/>
    <col min="5121" max="5121" width="7.85546875" style="439" customWidth="1"/>
    <col min="5122" max="5122" width="56.7109375" style="439" customWidth="1"/>
    <col min="5123" max="5123" width="10.7109375" style="439" customWidth="1"/>
    <col min="5124" max="5124" width="13.5703125" style="439" customWidth="1"/>
    <col min="5125" max="5126" width="11.85546875" style="439" customWidth="1"/>
    <col min="5127" max="5127" width="13.140625" style="439" customWidth="1"/>
    <col min="5128" max="5128" width="9.140625" style="439"/>
    <col min="5129" max="5129" width="12.7109375" style="439" bestFit="1" customWidth="1"/>
    <col min="5130" max="5376" width="9.140625" style="439"/>
    <col min="5377" max="5377" width="7.85546875" style="439" customWidth="1"/>
    <col min="5378" max="5378" width="56.7109375" style="439" customWidth="1"/>
    <col min="5379" max="5379" width="10.7109375" style="439" customWidth="1"/>
    <col min="5380" max="5380" width="13.5703125" style="439" customWidth="1"/>
    <col min="5381" max="5382" width="11.85546875" style="439" customWidth="1"/>
    <col min="5383" max="5383" width="13.140625" style="439" customWidth="1"/>
    <col min="5384" max="5384" width="9.140625" style="439"/>
    <col min="5385" max="5385" width="12.7109375" style="439" bestFit="1" customWidth="1"/>
    <col min="5386" max="5632" width="9.140625" style="439"/>
    <col min="5633" max="5633" width="7.85546875" style="439" customWidth="1"/>
    <col min="5634" max="5634" width="56.7109375" style="439" customWidth="1"/>
    <col min="5635" max="5635" width="10.7109375" style="439" customWidth="1"/>
    <col min="5636" max="5636" width="13.5703125" style="439" customWidth="1"/>
    <col min="5637" max="5638" width="11.85546875" style="439" customWidth="1"/>
    <col min="5639" max="5639" width="13.140625" style="439" customWidth="1"/>
    <col min="5640" max="5640" width="9.140625" style="439"/>
    <col min="5641" max="5641" width="12.7109375" style="439" bestFit="1" customWidth="1"/>
    <col min="5642" max="5888" width="9.140625" style="439"/>
    <col min="5889" max="5889" width="7.85546875" style="439" customWidth="1"/>
    <col min="5890" max="5890" width="56.7109375" style="439" customWidth="1"/>
    <col min="5891" max="5891" width="10.7109375" style="439" customWidth="1"/>
    <col min="5892" max="5892" width="13.5703125" style="439" customWidth="1"/>
    <col min="5893" max="5894" width="11.85546875" style="439" customWidth="1"/>
    <col min="5895" max="5895" width="13.140625" style="439" customWidth="1"/>
    <col min="5896" max="5896" width="9.140625" style="439"/>
    <col min="5897" max="5897" width="12.7109375" style="439" bestFit="1" customWidth="1"/>
    <col min="5898" max="6144" width="9.140625" style="439"/>
    <col min="6145" max="6145" width="7.85546875" style="439" customWidth="1"/>
    <col min="6146" max="6146" width="56.7109375" style="439" customWidth="1"/>
    <col min="6147" max="6147" width="10.7109375" style="439" customWidth="1"/>
    <col min="6148" max="6148" width="13.5703125" style="439" customWidth="1"/>
    <col min="6149" max="6150" width="11.85546875" style="439" customWidth="1"/>
    <col min="6151" max="6151" width="13.140625" style="439" customWidth="1"/>
    <col min="6152" max="6152" width="9.140625" style="439"/>
    <col min="6153" max="6153" width="12.7109375" style="439" bestFit="1" customWidth="1"/>
    <col min="6154" max="6400" width="9.140625" style="439"/>
    <col min="6401" max="6401" width="7.85546875" style="439" customWidth="1"/>
    <col min="6402" max="6402" width="56.7109375" style="439" customWidth="1"/>
    <col min="6403" max="6403" width="10.7109375" style="439" customWidth="1"/>
    <col min="6404" max="6404" width="13.5703125" style="439" customWidth="1"/>
    <col min="6405" max="6406" width="11.85546875" style="439" customWidth="1"/>
    <col min="6407" max="6407" width="13.140625" style="439" customWidth="1"/>
    <col min="6408" max="6408" width="9.140625" style="439"/>
    <col min="6409" max="6409" width="12.7109375" style="439" bestFit="1" customWidth="1"/>
    <col min="6410" max="6656" width="9.140625" style="439"/>
    <col min="6657" max="6657" width="7.85546875" style="439" customWidth="1"/>
    <col min="6658" max="6658" width="56.7109375" style="439" customWidth="1"/>
    <col min="6659" max="6659" width="10.7109375" style="439" customWidth="1"/>
    <col min="6660" max="6660" width="13.5703125" style="439" customWidth="1"/>
    <col min="6661" max="6662" width="11.85546875" style="439" customWidth="1"/>
    <col min="6663" max="6663" width="13.140625" style="439" customWidth="1"/>
    <col min="6664" max="6664" width="9.140625" style="439"/>
    <col min="6665" max="6665" width="12.7109375" style="439" bestFit="1" customWidth="1"/>
    <col min="6666" max="6912" width="9.140625" style="439"/>
    <col min="6913" max="6913" width="7.85546875" style="439" customWidth="1"/>
    <col min="6914" max="6914" width="56.7109375" style="439" customWidth="1"/>
    <col min="6915" max="6915" width="10.7109375" style="439" customWidth="1"/>
    <col min="6916" max="6916" width="13.5703125" style="439" customWidth="1"/>
    <col min="6917" max="6918" width="11.85546875" style="439" customWidth="1"/>
    <col min="6919" max="6919" width="13.140625" style="439" customWidth="1"/>
    <col min="6920" max="6920" width="9.140625" style="439"/>
    <col min="6921" max="6921" width="12.7109375" style="439" bestFit="1" customWidth="1"/>
    <col min="6922" max="7168" width="9.140625" style="439"/>
    <col min="7169" max="7169" width="7.85546875" style="439" customWidth="1"/>
    <col min="7170" max="7170" width="56.7109375" style="439" customWidth="1"/>
    <col min="7171" max="7171" width="10.7109375" style="439" customWidth="1"/>
    <col min="7172" max="7172" width="13.5703125" style="439" customWidth="1"/>
    <col min="7173" max="7174" width="11.85546875" style="439" customWidth="1"/>
    <col min="7175" max="7175" width="13.140625" style="439" customWidth="1"/>
    <col min="7176" max="7176" width="9.140625" style="439"/>
    <col min="7177" max="7177" width="12.7109375" style="439" bestFit="1" customWidth="1"/>
    <col min="7178" max="7424" width="9.140625" style="439"/>
    <col min="7425" max="7425" width="7.85546875" style="439" customWidth="1"/>
    <col min="7426" max="7426" width="56.7109375" style="439" customWidth="1"/>
    <col min="7427" max="7427" width="10.7109375" style="439" customWidth="1"/>
    <col min="7428" max="7428" width="13.5703125" style="439" customWidth="1"/>
    <col min="7429" max="7430" width="11.85546875" style="439" customWidth="1"/>
    <col min="7431" max="7431" width="13.140625" style="439" customWidth="1"/>
    <col min="7432" max="7432" width="9.140625" style="439"/>
    <col min="7433" max="7433" width="12.7109375" style="439" bestFit="1" customWidth="1"/>
    <col min="7434" max="7680" width="9.140625" style="439"/>
    <col min="7681" max="7681" width="7.85546875" style="439" customWidth="1"/>
    <col min="7682" max="7682" width="56.7109375" style="439" customWidth="1"/>
    <col min="7683" max="7683" width="10.7109375" style="439" customWidth="1"/>
    <col min="7684" max="7684" width="13.5703125" style="439" customWidth="1"/>
    <col min="7685" max="7686" width="11.85546875" style="439" customWidth="1"/>
    <col min="7687" max="7687" width="13.140625" style="439" customWidth="1"/>
    <col min="7688" max="7688" width="9.140625" style="439"/>
    <col min="7689" max="7689" width="12.7109375" style="439" bestFit="1" customWidth="1"/>
    <col min="7690" max="7936" width="9.140625" style="439"/>
    <col min="7937" max="7937" width="7.85546875" style="439" customWidth="1"/>
    <col min="7938" max="7938" width="56.7109375" style="439" customWidth="1"/>
    <col min="7939" max="7939" width="10.7109375" style="439" customWidth="1"/>
    <col min="7940" max="7940" width="13.5703125" style="439" customWidth="1"/>
    <col min="7941" max="7942" width="11.85546875" style="439" customWidth="1"/>
    <col min="7943" max="7943" width="13.140625" style="439" customWidth="1"/>
    <col min="7944" max="7944" width="9.140625" style="439"/>
    <col min="7945" max="7945" width="12.7109375" style="439" bestFit="1" customWidth="1"/>
    <col min="7946" max="8192" width="9.140625" style="439"/>
    <col min="8193" max="8193" width="7.85546875" style="439" customWidth="1"/>
    <col min="8194" max="8194" width="56.7109375" style="439" customWidth="1"/>
    <col min="8195" max="8195" width="10.7109375" style="439" customWidth="1"/>
    <col min="8196" max="8196" width="13.5703125" style="439" customWidth="1"/>
    <col min="8197" max="8198" width="11.85546875" style="439" customWidth="1"/>
    <col min="8199" max="8199" width="13.140625" style="439" customWidth="1"/>
    <col min="8200" max="8200" width="9.140625" style="439"/>
    <col min="8201" max="8201" width="12.7109375" style="439" bestFit="1" customWidth="1"/>
    <col min="8202" max="8448" width="9.140625" style="439"/>
    <col min="8449" max="8449" width="7.85546875" style="439" customWidth="1"/>
    <col min="8450" max="8450" width="56.7109375" style="439" customWidth="1"/>
    <col min="8451" max="8451" width="10.7109375" style="439" customWidth="1"/>
    <col min="8452" max="8452" width="13.5703125" style="439" customWidth="1"/>
    <col min="8453" max="8454" width="11.85546875" style="439" customWidth="1"/>
    <col min="8455" max="8455" width="13.140625" style="439" customWidth="1"/>
    <col min="8456" max="8456" width="9.140625" style="439"/>
    <col min="8457" max="8457" width="12.7109375" style="439" bestFit="1" customWidth="1"/>
    <col min="8458" max="8704" width="9.140625" style="439"/>
    <col min="8705" max="8705" width="7.85546875" style="439" customWidth="1"/>
    <col min="8706" max="8706" width="56.7109375" style="439" customWidth="1"/>
    <col min="8707" max="8707" width="10.7109375" style="439" customWidth="1"/>
    <col min="8708" max="8708" width="13.5703125" style="439" customWidth="1"/>
    <col min="8709" max="8710" width="11.85546875" style="439" customWidth="1"/>
    <col min="8711" max="8711" width="13.140625" style="439" customWidth="1"/>
    <col min="8712" max="8712" width="9.140625" style="439"/>
    <col min="8713" max="8713" width="12.7109375" style="439" bestFit="1" customWidth="1"/>
    <col min="8714" max="8960" width="9.140625" style="439"/>
    <col min="8961" max="8961" width="7.85546875" style="439" customWidth="1"/>
    <col min="8962" max="8962" width="56.7109375" style="439" customWidth="1"/>
    <col min="8963" max="8963" width="10.7109375" style="439" customWidth="1"/>
    <col min="8964" max="8964" width="13.5703125" style="439" customWidth="1"/>
    <col min="8965" max="8966" width="11.85546875" style="439" customWidth="1"/>
    <col min="8967" max="8967" width="13.140625" style="439" customWidth="1"/>
    <col min="8968" max="8968" width="9.140625" style="439"/>
    <col min="8969" max="8969" width="12.7109375" style="439" bestFit="1" customWidth="1"/>
    <col min="8970" max="9216" width="9.140625" style="439"/>
    <col min="9217" max="9217" width="7.85546875" style="439" customWidth="1"/>
    <col min="9218" max="9218" width="56.7109375" style="439" customWidth="1"/>
    <col min="9219" max="9219" width="10.7109375" style="439" customWidth="1"/>
    <col min="9220" max="9220" width="13.5703125" style="439" customWidth="1"/>
    <col min="9221" max="9222" width="11.85546875" style="439" customWidth="1"/>
    <col min="9223" max="9223" width="13.140625" style="439" customWidth="1"/>
    <col min="9224" max="9224" width="9.140625" style="439"/>
    <col min="9225" max="9225" width="12.7109375" style="439" bestFit="1" customWidth="1"/>
    <col min="9226" max="9472" width="9.140625" style="439"/>
    <col min="9473" max="9473" width="7.85546875" style="439" customWidth="1"/>
    <col min="9474" max="9474" width="56.7109375" style="439" customWidth="1"/>
    <col min="9475" max="9475" width="10.7109375" style="439" customWidth="1"/>
    <col min="9476" max="9476" width="13.5703125" style="439" customWidth="1"/>
    <col min="9477" max="9478" width="11.85546875" style="439" customWidth="1"/>
    <col min="9479" max="9479" width="13.140625" style="439" customWidth="1"/>
    <col min="9480" max="9480" width="9.140625" style="439"/>
    <col min="9481" max="9481" width="12.7109375" style="439" bestFit="1" customWidth="1"/>
    <col min="9482" max="9728" width="9.140625" style="439"/>
    <col min="9729" max="9729" width="7.85546875" style="439" customWidth="1"/>
    <col min="9730" max="9730" width="56.7109375" style="439" customWidth="1"/>
    <col min="9731" max="9731" width="10.7109375" style="439" customWidth="1"/>
    <col min="9732" max="9732" width="13.5703125" style="439" customWidth="1"/>
    <col min="9733" max="9734" width="11.85546875" style="439" customWidth="1"/>
    <col min="9735" max="9735" width="13.140625" style="439" customWidth="1"/>
    <col min="9736" max="9736" width="9.140625" style="439"/>
    <col min="9737" max="9737" width="12.7109375" style="439" bestFit="1" customWidth="1"/>
    <col min="9738" max="9984" width="9.140625" style="439"/>
    <col min="9985" max="9985" width="7.85546875" style="439" customWidth="1"/>
    <col min="9986" max="9986" width="56.7109375" style="439" customWidth="1"/>
    <col min="9987" max="9987" width="10.7109375" style="439" customWidth="1"/>
    <col min="9988" max="9988" width="13.5703125" style="439" customWidth="1"/>
    <col min="9989" max="9990" width="11.85546875" style="439" customWidth="1"/>
    <col min="9991" max="9991" width="13.140625" style="439" customWidth="1"/>
    <col min="9992" max="9992" width="9.140625" style="439"/>
    <col min="9993" max="9993" width="12.7109375" style="439" bestFit="1" customWidth="1"/>
    <col min="9994" max="10240" width="9.140625" style="439"/>
    <col min="10241" max="10241" width="7.85546875" style="439" customWidth="1"/>
    <col min="10242" max="10242" width="56.7109375" style="439" customWidth="1"/>
    <col min="10243" max="10243" width="10.7109375" style="439" customWidth="1"/>
    <col min="10244" max="10244" width="13.5703125" style="439" customWidth="1"/>
    <col min="10245" max="10246" width="11.85546875" style="439" customWidth="1"/>
    <col min="10247" max="10247" width="13.140625" style="439" customWidth="1"/>
    <col min="10248" max="10248" width="9.140625" style="439"/>
    <col min="10249" max="10249" width="12.7109375" style="439" bestFit="1" customWidth="1"/>
    <col min="10250" max="10496" width="9.140625" style="439"/>
    <col min="10497" max="10497" width="7.85546875" style="439" customWidth="1"/>
    <col min="10498" max="10498" width="56.7109375" style="439" customWidth="1"/>
    <col min="10499" max="10499" width="10.7109375" style="439" customWidth="1"/>
    <col min="10500" max="10500" width="13.5703125" style="439" customWidth="1"/>
    <col min="10501" max="10502" width="11.85546875" style="439" customWidth="1"/>
    <col min="10503" max="10503" width="13.140625" style="439" customWidth="1"/>
    <col min="10504" max="10504" width="9.140625" style="439"/>
    <col min="10505" max="10505" width="12.7109375" style="439" bestFit="1" customWidth="1"/>
    <col min="10506" max="10752" width="9.140625" style="439"/>
    <col min="10753" max="10753" width="7.85546875" style="439" customWidth="1"/>
    <col min="10754" max="10754" width="56.7109375" style="439" customWidth="1"/>
    <col min="10755" max="10755" width="10.7109375" style="439" customWidth="1"/>
    <col min="10756" max="10756" width="13.5703125" style="439" customWidth="1"/>
    <col min="10757" max="10758" width="11.85546875" style="439" customWidth="1"/>
    <col min="10759" max="10759" width="13.140625" style="439" customWidth="1"/>
    <col min="10760" max="10760" width="9.140625" style="439"/>
    <col min="10761" max="10761" width="12.7109375" style="439" bestFit="1" customWidth="1"/>
    <col min="10762" max="11008" width="9.140625" style="439"/>
    <col min="11009" max="11009" width="7.85546875" style="439" customWidth="1"/>
    <col min="11010" max="11010" width="56.7109375" style="439" customWidth="1"/>
    <col min="11011" max="11011" width="10.7109375" style="439" customWidth="1"/>
    <col min="11012" max="11012" width="13.5703125" style="439" customWidth="1"/>
    <col min="11013" max="11014" width="11.85546875" style="439" customWidth="1"/>
    <col min="11015" max="11015" width="13.140625" style="439" customWidth="1"/>
    <col min="11016" max="11016" width="9.140625" style="439"/>
    <col min="11017" max="11017" width="12.7109375" style="439" bestFit="1" customWidth="1"/>
    <col min="11018" max="11264" width="9.140625" style="439"/>
    <col min="11265" max="11265" width="7.85546875" style="439" customWidth="1"/>
    <col min="11266" max="11266" width="56.7109375" style="439" customWidth="1"/>
    <col min="11267" max="11267" width="10.7109375" style="439" customWidth="1"/>
    <col min="11268" max="11268" width="13.5703125" style="439" customWidth="1"/>
    <col min="11269" max="11270" width="11.85546875" style="439" customWidth="1"/>
    <col min="11271" max="11271" width="13.140625" style="439" customWidth="1"/>
    <col min="11272" max="11272" width="9.140625" style="439"/>
    <col min="11273" max="11273" width="12.7109375" style="439" bestFit="1" customWidth="1"/>
    <col min="11274" max="11520" width="9.140625" style="439"/>
    <col min="11521" max="11521" width="7.85546875" style="439" customWidth="1"/>
    <col min="11522" max="11522" width="56.7109375" style="439" customWidth="1"/>
    <col min="11523" max="11523" width="10.7109375" style="439" customWidth="1"/>
    <col min="11524" max="11524" width="13.5703125" style="439" customWidth="1"/>
    <col min="11525" max="11526" width="11.85546875" style="439" customWidth="1"/>
    <col min="11527" max="11527" width="13.140625" style="439" customWidth="1"/>
    <col min="11528" max="11528" width="9.140625" style="439"/>
    <col min="11529" max="11529" width="12.7109375" style="439" bestFit="1" customWidth="1"/>
    <col min="11530" max="11776" width="9.140625" style="439"/>
    <col min="11777" max="11777" width="7.85546875" style="439" customWidth="1"/>
    <col min="11778" max="11778" width="56.7109375" style="439" customWidth="1"/>
    <col min="11779" max="11779" width="10.7109375" style="439" customWidth="1"/>
    <col min="11780" max="11780" width="13.5703125" style="439" customWidth="1"/>
    <col min="11781" max="11782" width="11.85546875" style="439" customWidth="1"/>
    <col min="11783" max="11783" width="13.140625" style="439" customWidth="1"/>
    <col min="11784" max="11784" width="9.140625" style="439"/>
    <col min="11785" max="11785" width="12.7109375" style="439" bestFit="1" customWidth="1"/>
    <col min="11786" max="12032" width="9.140625" style="439"/>
    <col min="12033" max="12033" width="7.85546875" style="439" customWidth="1"/>
    <col min="12034" max="12034" width="56.7109375" style="439" customWidth="1"/>
    <col min="12035" max="12035" width="10.7109375" style="439" customWidth="1"/>
    <col min="12036" max="12036" width="13.5703125" style="439" customWidth="1"/>
    <col min="12037" max="12038" width="11.85546875" style="439" customWidth="1"/>
    <col min="12039" max="12039" width="13.140625" style="439" customWidth="1"/>
    <col min="12040" max="12040" width="9.140625" style="439"/>
    <col min="12041" max="12041" width="12.7109375" style="439" bestFit="1" customWidth="1"/>
    <col min="12042" max="12288" width="9.140625" style="439"/>
    <col min="12289" max="12289" width="7.85546875" style="439" customWidth="1"/>
    <col min="12290" max="12290" width="56.7109375" style="439" customWidth="1"/>
    <col min="12291" max="12291" width="10.7109375" style="439" customWidth="1"/>
    <col min="12292" max="12292" width="13.5703125" style="439" customWidth="1"/>
    <col min="12293" max="12294" width="11.85546875" style="439" customWidth="1"/>
    <col min="12295" max="12295" width="13.140625" style="439" customWidth="1"/>
    <col min="12296" max="12296" width="9.140625" style="439"/>
    <col min="12297" max="12297" width="12.7109375" style="439" bestFit="1" customWidth="1"/>
    <col min="12298" max="12544" width="9.140625" style="439"/>
    <col min="12545" max="12545" width="7.85546875" style="439" customWidth="1"/>
    <col min="12546" max="12546" width="56.7109375" style="439" customWidth="1"/>
    <col min="12547" max="12547" width="10.7109375" style="439" customWidth="1"/>
    <col min="12548" max="12548" width="13.5703125" style="439" customWidth="1"/>
    <col min="12549" max="12550" width="11.85546875" style="439" customWidth="1"/>
    <col min="12551" max="12551" width="13.140625" style="439" customWidth="1"/>
    <col min="12552" max="12552" width="9.140625" style="439"/>
    <col min="12553" max="12553" width="12.7109375" style="439" bestFit="1" customWidth="1"/>
    <col min="12554" max="12800" width="9.140625" style="439"/>
    <col min="12801" max="12801" width="7.85546875" style="439" customWidth="1"/>
    <col min="12802" max="12802" width="56.7109375" style="439" customWidth="1"/>
    <col min="12803" max="12803" width="10.7109375" style="439" customWidth="1"/>
    <col min="12804" max="12804" width="13.5703125" style="439" customWidth="1"/>
    <col min="12805" max="12806" width="11.85546875" style="439" customWidth="1"/>
    <col min="12807" max="12807" width="13.140625" style="439" customWidth="1"/>
    <col min="12808" max="12808" width="9.140625" style="439"/>
    <col min="12809" max="12809" width="12.7109375" style="439" bestFit="1" customWidth="1"/>
    <col min="12810" max="13056" width="9.140625" style="439"/>
    <col min="13057" max="13057" width="7.85546875" style="439" customWidth="1"/>
    <col min="13058" max="13058" width="56.7109375" style="439" customWidth="1"/>
    <col min="13059" max="13059" width="10.7109375" style="439" customWidth="1"/>
    <col min="13060" max="13060" width="13.5703125" style="439" customWidth="1"/>
    <col min="13061" max="13062" width="11.85546875" style="439" customWidth="1"/>
    <col min="13063" max="13063" width="13.140625" style="439" customWidth="1"/>
    <col min="13064" max="13064" width="9.140625" style="439"/>
    <col min="13065" max="13065" width="12.7109375" style="439" bestFit="1" customWidth="1"/>
    <col min="13066" max="13312" width="9.140625" style="439"/>
    <col min="13313" max="13313" width="7.85546875" style="439" customWidth="1"/>
    <col min="13314" max="13314" width="56.7109375" style="439" customWidth="1"/>
    <col min="13315" max="13315" width="10.7109375" style="439" customWidth="1"/>
    <col min="13316" max="13316" width="13.5703125" style="439" customWidth="1"/>
    <col min="13317" max="13318" width="11.85546875" style="439" customWidth="1"/>
    <col min="13319" max="13319" width="13.140625" style="439" customWidth="1"/>
    <col min="13320" max="13320" width="9.140625" style="439"/>
    <col min="13321" max="13321" width="12.7109375" style="439" bestFit="1" customWidth="1"/>
    <col min="13322" max="13568" width="9.140625" style="439"/>
    <col min="13569" max="13569" width="7.85546875" style="439" customWidth="1"/>
    <col min="13570" max="13570" width="56.7109375" style="439" customWidth="1"/>
    <col min="13571" max="13571" width="10.7109375" style="439" customWidth="1"/>
    <col min="13572" max="13572" width="13.5703125" style="439" customWidth="1"/>
    <col min="13573" max="13574" width="11.85546875" style="439" customWidth="1"/>
    <col min="13575" max="13575" width="13.140625" style="439" customWidth="1"/>
    <col min="13576" max="13576" width="9.140625" style="439"/>
    <col min="13577" max="13577" width="12.7109375" style="439" bestFit="1" customWidth="1"/>
    <col min="13578" max="13824" width="9.140625" style="439"/>
    <col min="13825" max="13825" width="7.85546875" style="439" customWidth="1"/>
    <col min="13826" max="13826" width="56.7109375" style="439" customWidth="1"/>
    <col min="13827" max="13827" width="10.7109375" style="439" customWidth="1"/>
    <col min="13828" max="13828" width="13.5703125" style="439" customWidth="1"/>
    <col min="13829" max="13830" width="11.85546875" style="439" customWidth="1"/>
    <col min="13831" max="13831" width="13.140625" style="439" customWidth="1"/>
    <col min="13832" max="13832" width="9.140625" style="439"/>
    <col min="13833" max="13833" width="12.7109375" style="439" bestFit="1" customWidth="1"/>
    <col min="13834" max="14080" width="9.140625" style="439"/>
    <col min="14081" max="14081" width="7.85546875" style="439" customWidth="1"/>
    <col min="14082" max="14082" width="56.7109375" style="439" customWidth="1"/>
    <col min="14083" max="14083" width="10.7109375" style="439" customWidth="1"/>
    <col min="14084" max="14084" width="13.5703125" style="439" customWidth="1"/>
    <col min="14085" max="14086" width="11.85546875" style="439" customWidth="1"/>
    <col min="14087" max="14087" width="13.140625" style="439" customWidth="1"/>
    <col min="14088" max="14088" width="9.140625" style="439"/>
    <col min="14089" max="14089" width="12.7109375" style="439" bestFit="1" customWidth="1"/>
    <col min="14090" max="14336" width="9.140625" style="439"/>
    <col min="14337" max="14337" width="7.85546875" style="439" customWidth="1"/>
    <col min="14338" max="14338" width="56.7109375" style="439" customWidth="1"/>
    <col min="14339" max="14339" width="10.7109375" style="439" customWidth="1"/>
    <col min="14340" max="14340" width="13.5703125" style="439" customWidth="1"/>
    <col min="14341" max="14342" width="11.85546875" style="439" customWidth="1"/>
    <col min="14343" max="14343" width="13.140625" style="439" customWidth="1"/>
    <col min="14344" max="14344" width="9.140625" style="439"/>
    <col min="14345" max="14345" width="12.7109375" style="439" bestFit="1" customWidth="1"/>
    <col min="14346" max="14592" width="9.140625" style="439"/>
    <col min="14593" max="14593" width="7.85546875" style="439" customWidth="1"/>
    <col min="14594" max="14594" width="56.7109375" style="439" customWidth="1"/>
    <col min="14595" max="14595" width="10.7109375" style="439" customWidth="1"/>
    <col min="14596" max="14596" width="13.5703125" style="439" customWidth="1"/>
    <col min="14597" max="14598" width="11.85546875" style="439" customWidth="1"/>
    <col min="14599" max="14599" width="13.140625" style="439" customWidth="1"/>
    <col min="14600" max="14600" width="9.140625" style="439"/>
    <col min="14601" max="14601" width="12.7109375" style="439" bestFit="1" customWidth="1"/>
    <col min="14602" max="14848" width="9.140625" style="439"/>
    <col min="14849" max="14849" width="7.85546875" style="439" customWidth="1"/>
    <col min="14850" max="14850" width="56.7109375" style="439" customWidth="1"/>
    <col min="14851" max="14851" width="10.7109375" style="439" customWidth="1"/>
    <col min="14852" max="14852" width="13.5703125" style="439" customWidth="1"/>
    <col min="14853" max="14854" width="11.85546875" style="439" customWidth="1"/>
    <col min="14855" max="14855" width="13.140625" style="439" customWidth="1"/>
    <col min="14856" max="14856" width="9.140625" style="439"/>
    <col min="14857" max="14857" width="12.7109375" style="439" bestFit="1" customWidth="1"/>
    <col min="14858" max="15104" width="9.140625" style="439"/>
    <col min="15105" max="15105" width="7.85546875" style="439" customWidth="1"/>
    <col min="15106" max="15106" width="56.7109375" style="439" customWidth="1"/>
    <col min="15107" max="15107" width="10.7109375" style="439" customWidth="1"/>
    <col min="15108" max="15108" width="13.5703125" style="439" customWidth="1"/>
    <col min="15109" max="15110" width="11.85546875" style="439" customWidth="1"/>
    <col min="15111" max="15111" width="13.140625" style="439" customWidth="1"/>
    <col min="15112" max="15112" width="9.140625" style="439"/>
    <col min="15113" max="15113" width="12.7109375" style="439" bestFit="1" customWidth="1"/>
    <col min="15114" max="15360" width="9.140625" style="439"/>
    <col min="15361" max="15361" width="7.85546875" style="439" customWidth="1"/>
    <col min="15362" max="15362" width="56.7109375" style="439" customWidth="1"/>
    <col min="15363" max="15363" width="10.7109375" style="439" customWidth="1"/>
    <col min="15364" max="15364" width="13.5703125" style="439" customWidth="1"/>
    <col min="15365" max="15366" width="11.85546875" style="439" customWidth="1"/>
    <col min="15367" max="15367" width="13.140625" style="439" customWidth="1"/>
    <col min="15368" max="15368" width="9.140625" style="439"/>
    <col min="15369" max="15369" width="12.7109375" style="439" bestFit="1" customWidth="1"/>
    <col min="15370" max="15616" width="9.140625" style="439"/>
    <col min="15617" max="15617" width="7.85546875" style="439" customWidth="1"/>
    <col min="15618" max="15618" width="56.7109375" style="439" customWidth="1"/>
    <col min="15619" max="15619" width="10.7109375" style="439" customWidth="1"/>
    <col min="15620" max="15620" width="13.5703125" style="439" customWidth="1"/>
    <col min="15621" max="15622" width="11.85546875" style="439" customWidth="1"/>
    <col min="15623" max="15623" width="13.140625" style="439" customWidth="1"/>
    <col min="15624" max="15624" width="9.140625" style="439"/>
    <col min="15625" max="15625" width="12.7109375" style="439" bestFit="1" customWidth="1"/>
    <col min="15626" max="15872" width="9.140625" style="439"/>
    <col min="15873" max="15873" width="7.85546875" style="439" customWidth="1"/>
    <col min="15874" max="15874" width="56.7109375" style="439" customWidth="1"/>
    <col min="15875" max="15875" width="10.7109375" style="439" customWidth="1"/>
    <col min="15876" max="15876" width="13.5703125" style="439" customWidth="1"/>
    <col min="15877" max="15878" width="11.85546875" style="439" customWidth="1"/>
    <col min="15879" max="15879" width="13.140625" style="439" customWidth="1"/>
    <col min="15880" max="15880" width="9.140625" style="439"/>
    <col min="15881" max="15881" width="12.7109375" style="439" bestFit="1" customWidth="1"/>
    <col min="15882" max="16128" width="9.140625" style="439"/>
    <col min="16129" max="16129" width="7.85546875" style="439" customWidth="1"/>
    <col min="16130" max="16130" width="56.7109375" style="439" customWidth="1"/>
    <col min="16131" max="16131" width="10.7109375" style="439" customWidth="1"/>
    <col min="16132" max="16132" width="13.5703125" style="439" customWidth="1"/>
    <col min="16133" max="16134" width="11.85546875" style="439" customWidth="1"/>
    <col min="16135" max="16135" width="13.140625" style="439" customWidth="1"/>
    <col min="16136" max="16136" width="9.140625" style="439"/>
    <col min="16137" max="16137" width="12.7109375" style="439" bestFit="1" customWidth="1"/>
    <col min="16138" max="16384" width="9.140625" style="439"/>
  </cols>
  <sheetData>
    <row r="1" spans="1:8">
      <c r="A1" s="1058" t="s">
        <v>3527</v>
      </c>
      <c r="B1" s="1058"/>
      <c r="C1" s="1058"/>
      <c r="D1" s="1058"/>
      <c r="E1" s="1058"/>
      <c r="F1" s="1058"/>
      <c r="G1" s="1058"/>
    </row>
    <row r="2" spans="1:8">
      <c r="A2" s="1059" t="s">
        <v>3528</v>
      </c>
      <c r="B2" s="1059"/>
      <c r="C2" s="1059"/>
      <c r="D2" s="1059"/>
      <c r="E2" s="1059"/>
      <c r="F2" s="1059"/>
      <c r="G2" s="1059"/>
      <c r="H2" s="716"/>
    </row>
    <row r="3" spans="1:8" ht="14.25">
      <c r="A3" s="717"/>
      <c r="B3" s="717"/>
      <c r="C3" s="717"/>
      <c r="D3" s="717"/>
      <c r="E3" s="717"/>
      <c r="F3" s="717"/>
      <c r="G3" s="717"/>
    </row>
    <row r="4" spans="1:8" ht="15" customHeight="1">
      <c r="A4" s="1062" t="s">
        <v>3529</v>
      </c>
      <c r="B4" s="1062"/>
      <c r="C4" s="1062"/>
      <c r="D4" s="1062"/>
      <c r="E4" s="1062"/>
      <c r="F4" s="1062"/>
      <c r="G4" s="1062"/>
    </row>
    <row r="5" spans="1:8" ht="15" customHeight="1">
      <c r="A5" s="947"/>
      <c r="B5" s="947"/>
      <c r="C5" s="947"/>
      <c r="D5" s="947"/>
      <c r="E5" s="947"/>
      <c r="F5" s="947"/>
      <c r="G5" s="947"/>
    </row>
    <row r="6" spans="1:8" ht="15.75">
      <c r="A6" s="947"/>
      <c r="B6" s="947"/>
      <c r="C6" s="947"/>
      <c r="D6" s="947"/>
      <c r="E6" s="1063" t="s">
        <v>3309</v>
      </c>
      <c r="F6" s="949" t="s">
        <v>3526</v>
      </c>
      <c r="G6" s="950">
        <v>0.2462</v>
      </c>
    </row>
    <row r="7" spans="1:8">
      <c r="D7" s="719"/>
      <c r="E7" s="1063"/>
      <c r="F7" s="949" t="s">
        <v>3454</v>
      </c>
      <c r="G7" s="950">
        <v>0.15279999999999999</v>
      </c>
    </row>
    <row r="8" spans="1:8" ht="9" customHeight="1">
      <c r="D8" s="719"/>
      <c r="E8" s="952"/>
      <c r="F8" s="953"/>
      <c r="G8" s="954"/>
    </row>
    <row r="9" spans="1:8" ht="12.75">
      <c r="A9" s="1060" t="s">
        <v>0</v>
      </c>
      <c r="B9" s="1060" t="s">
        <v>1489</v>
      </c>
      <c r="C9" s="1060" t="s">
        <v>3246</v>
      </c>
      <c r="D9" s="1060" t="s">
        <v>3247</v>
      </c>
      <c r="E9" s="1060" t="s">
        <v>3530</v>
      </c>
      <c r="F9" s="1060"/>
      <c r="G9" s="1061"/>
    </row>
    <row r="10" spans="1:8" ht="12.75">
      <c r="A10" s="1060"/>
      <c r="B10" s="1060"/>
      <c r="C10" s="1060"/>
      <c r="D10" s="1060"/>
      <c r="E10" s="720" t="s">
        <v>3531</v>
      </c>
      <c r="F10" s="720" t="s">
        <v>3309</v>
      </c>
      <c r="G10" s="720" t="s">
        <v>3532</v>
      </c>
    </row>
    <row r="11" spans="1:8" ht="12.75">
      <c r="A11" s="721"/>
      <c r="B11" s="722" t="s">
        <v>3533</v>
      </c>
      <c r="C11" s="721"/>
      <c r="D11" s="721"/>
      <c r="E11" s="722"/>
      <c r="F11" s="722"/>
      <c r="G11" s="722"/>
    </row>
    <row r="12" spans="1:8" ht="12.75">
      <c r="A12" s="721"/>
      <c r="B12" s="722"/>
      <c r="C12" s="721"/>
      <c r="D12" s="721"/>
      <c r="E12" s="723">
        <f>E14+E21+E30+E35+E43</f>
        <v>134078054.61439042</v>
      </c>
      <c r="F12" s="722"/>
      <c r="G12" s="723">
        <f>G14+G21+G30+G35+G43</f>
        <v>158114322.28368324</v>
      </c>
    </row>
    <row r="13" spans="1:8" ht="12.75">
      <c r="A13" s="721"/>
      <c r="B13" s="722"/>
      <c r="C13" s="721"/>
      <c r="D13" s="721"/>
      <c r="E13" s="722"/>
      <c r="F13" s="722"/>
      <c r="G13" s="722"/>
    </row>
    <row r="14" spans="1:8" ht="12.75">
      <c r="A14" s="724" t="s">
        <v>3534</v>
      </c>
      <c r="B14" s="725" t="s">
        <v>3535</v>
      </c>
      <c r="C14" s="726"/>
      <c r="D14" s="727"/>
      <c r="E14" s="728">
        <f>SUM(E15:E18)</f>
        <v>45464103.054231063</v>
      </c>
      <c r="F14" s="729"/>
      <c r="G14" s="728">
        <f>SUM(G15:G18)</f>
        <v>54062188.073315457</v>
      </c>
    </row>
    <row r="15" spans="1:8" ht="12.75">
      <c r="A15" s="730" t="s">
        <v>20</v>
      </c>
      <c r="B15" s="731" t="s">
        <v>1400</v>
      </c>
      <c r="C15" s="732" t="s">
        <v>3536</v>
      </c>
      <c r="D15" s="733">
        <v>1</v>
      </c>
      <c r="E15" s="734">
        <f>'Orçamento EBPs'!I9</f>
        <v>12833315.092943303</v>
      </c>
      <c r="F15" s="735">
        <f>$G$6</f>
        <v>0.2462</v>
      </c>
      <c r="G15" s="734">
        <f>D15*((E15*F15)+E15)</f>
        <v>15992877.268825945</v>
      </c>
    </row>
    <row r="16" spans="1:8" ht="12.75">
      <c r="A16" s="730" t="s">
        <v>21</v>
      </c>
      <c r="B16" s="731" t="s">
        <v>1389</v>
      </c>
      <c r="C16" s="732" t="s">
        <v>3536</v>
      </c>
      <c r="D16" s="733">
        <v>1</v>
      </c>
      <c r="E16" s="734">
        <f>'Orçamento EBPs'!I10</f>
        <v>2411896.0386260003</v>
      </c>
      <c r="F16" s="735">
        <f>$G$6</f>
        <v>0.2462</v>
      </c>
      <c r="G16" s="734">
        <f>D16*((E16*F16)+E16)</f>
        <v>3005704.8433357216</v>
      </c>
    </row>
    <row r="17" spans="1:9" ht="12.75">
      <c r="A17" s="730" t="s">
        <v>3220</v>
      </c>
      <c r="B17" s="731" t="s">
        <v>3537</v>
      </c>
      <c r="C17" s="732" t="s">
        <v>3536</v>
      </c>
      <c r="D17" s="733">
        <v>1</v>
      </c>
      <c r="E17" s="734">
        <f>'Orçamento EBPs'!I11</f>
        <v>18423355.147149242</v>
      </c>
      <c r="F17" s="735">
        <f>$G$7</f>
        <v>0.15279999999999999</v>
      </c>
      <c r="G17" s="734">
        <f>D17*((E17*F17)+E17)</f>
        <v>21238443.813633647</v>
      </c>
    </row>
    <row r="18" spans="1:9" ht="12.75">
      <c r="A18" s="730" t="s">
        <v>3221</v>
      </c>
      <c r="B18" s="731" t="s">
        <v>3538</v>
      </c>
      <c r="C18" s="732"/>
      <c r="D18" s="733"/>
      <c r="E18" s="728">
        <f>SUM(E19:E20)</f>
        <v>11795536.775512513</v>
      </c>
      <c r="F18" s="735"/>
      <c r="G18" s="728">
        <f>SUM(G19:G20)</f>
        <v>13825162.147520136</v>
      </c>
    </row>
    <row r="19" spans="1:9" ht="12.75">
      <c r="A19" s="730" t="s">
        <v>3545</v>
      </c>
      <c r="B19" s="736" t="s">
        <v>1394</v>
      </c>
      <c r="C19" s="732" t="s">
        <v>3536</v>
      </c>
      <c r="D19" s="733">
        <v>1</v>
      </c>
      <c r="E19" s="734">
        <f>'Orçamento EBPs'!I18</f>
        <v>2433269.3009562055</v>
      </c>
      <c r="F19" s="735">
        <f>$G$6</f>
        <v>0.2462</v>
      </c>
      <c r="G19" s="734">
        <f>D19*((E19*F19)+E19)</f>
        <v>3032340.2028516233</v>
      </c>
    </row>
    <row r="20" spans="1:9" ht="12.75">
      <c r="A20" s="730" t="s">
        <v>3546</v>
      </c>
      <c r="B20" s="736" t="s">
        <v>1546</v>
      </c>
      <c r="C20" s="732" t="s">
        <v>3536</v>
      </c>
      <c r="D20" s="733">
        <v>1</v>
      </c>
      <c r="E20" s="734">
        <f>'Orçamento EBPs'!I19</f>
        <v>9362267.4745563082</v>
      </c>
      <c r="F20" s="735">
        <v>0.15279999999999999</v>
      </c>
      <c r="G20" s="734">
        <f>D20*((E20*F20)+E20)</f>
        <v>10792821.944668513</v>
      </c>
    </row>
    <row r="21" spans="1:9" ht="12.75">
      <c r="A21" s="724">
        <v>3</v>
      </c>
      <c r="B21" s="737" t="s">
        <v>3539</v>
      </c>
      <c r="C21" s="732"/>
      <c r="D21" s="733"/>
      <c r="E21" s="728">
        <f>SUM(E22:E25)</f>
        <v>24401863.289376538</v>
      </c>
      <c r="F21" s="735"/>
      <c r="G21" s="728">
        <f>SUM(G22:G25)</f>
        <v>28466387.516885519</v>
      </c>
    </row>
    <row r="22" spans="1:9" ht="12.75">
      <c r="A22" s="730" t="s">
        <v>23</v>
      </c>
      <c r="B22" s="731" t="s">
        <v>1400</v>
      </c>
      <c r="C22" s="732" t="s">
        <v>3536</v>
      </c>
      <c r="D22" s="733">
        <v>1</v>
      </c>
      <c r="E22" s="734">
        <f>'Orçamento EBPs'!I26</f>
        <v>333858.93737707147</v>
      </c>
      <c r="F22" s="735">
        <f>$G$6</f>
        <v>0.2462</v>
      </c>
      <c r="G22" s="734">
        <f>D22*((E22*F22)+E22)</f>
        <v>416055.00775930646</v>
      </c>
    </row>
    <row r="23" spans="1:9" ht="12.75">
      <c r="A23" s="730" t="s">
        <v>23</v>
      </c>
      <c r="B23" s="731" t="s">
        <v>3550</v>
      </c>
      <c r="C23" s="732" t="s">
        <v>3536</v>
      </c>
      <c r="D23" s="733">
        <v>1</v>
      </c>
      <c r="E23" s="734">
        <f>'Orçamento EBPs'!I27</f>
        <v>159792.52853672722</v>
      </c>
      <c r="F23" s="735">
        <f>$G$6</f>
        <v>0.2462</v>
      </c>
      <c r="G23" s="734">
        <f t="shared" ref="G23:G24" si="0">D23*((E23*F23)+E23)</f>
        <v>199133.44906246947</v>
      </c>
    </row>
    <row r="24" spans="1:9" ht="12.75">
      <c r="A24" s="730" t="s">
        <v>23</v>
      </c>
      <c r="B24" s="731" t="s">
        <v>2858</v>
      </c>
      <c r="C24" s="732" t="s">
        <v>3536</v>
      </c>
      <c r="D24" s="733">
        <v>1</v>
      </c>
      <c r="E24" s="734">
        <f>'Orçamento EBPs'!I28</f>
        <v>3102917.2374292831</v>
      </c>
      <c r="F24" s="735">
        <f>$G$6</f>
        <v>0.2462</v>
      </c>
      <c r="G24" s="734">
        <f t="shared" si="0"/>
        <v>3866855.4612843725</v>
      </c>
    </row>
    <row r="25" spans="1:9" ht="12.75">
      <c r="A25" s="730" t="s">
        <v>24</v>
      </c>
      <c r="B25" s="731" t="s">
        <v>3537</v>
      </c>
      <c r="C25" s="732"/>
      <c r="D25" s="733"/>
      <c r="E25" s="728">
        <f>SUM(E26:E29)</f>
        <v>20805294.586033456</v>
      </c>
      <c r="F25" s="735"/>
      <c r="G25" s="728">
        <f>SUM(G26:G29)</f>
        <v>23984343.598779369</v>
      </c>
    </row>
    <row r="26" spans="1:9" ht="12.75">
      <c r="A26" s="730" t="s">
        <v>25</v>
      </c>
      <c r="B26" s="731" t="s">
        <v>3551</v>
      </c>
      <c r="C26" s="732" t="s">
        <v>3536</v>
      </c>
      <c r="D26" s="733">
        <v>1</v>
      </c>
      <c r="E26" s="734">
        <f>'Orçamento EBPs'!I30</f>
        <v>10377244.331829818</v>
      </c>
      <c r="F26" s="735">
        <f>$G$7</f>
        <v>0.15279999999999999</v>
      </c>
      <c r="G26" s="734">
        <f t="shared" ref="G26:G29" si="1">D26*((E26*F26)+E26)</f>
        <v>11962887.265733413</v>
      </c>
    </row>
    <row r="27" spans="1:9" ht="12.75">
      <c r="A27" s="730" t="s">
        <v>26</v>
      </c>
      <c r="B27" s="731" t="s">
        <v>3552</v>
      </c>
      <c r="C27" s="732" t="s">
        <v>3536</v>
      </c>
      <c r="D27" s="733">
        <v>1</v>
      </c>
      <c r="E27" s="734">
        <f>'Orçamento EBPs'!I31</f>
        <v>305560.98081599991</v>
      </c>
      <c r="F27" s="735">
        <f>$G$7</f>
        <v>0.15279999999999999</v>
      </c>
      <c r="G27" s="734">
        <f t="shared" si="1"/>
        <v>352250.6986846847</v>
      </c>
    </row>
    <row r="28" spans="1:9" ht="12.75">
      <c r="A28" s="730" t="s">
        <v>3555</v>
      </c>
      <c r="B28" s="731" t="s">
        <v>3553</v>
      </c>
      <c r="C28" s="732" t="s">
        <v>3536</v>
      </c>
      <c r="D28" s="733">
        <v>1</v>
      </c>
      <c r="E28" s="734">
        <f>'Orçamento EBPs'!I32</f>
        <v>1289940.8346807272</v>
      </c>
      <c r="F28" s="735">
        <f>$G$7</f>
        <v>0.15279999999999999</v>
      </c>
      <c r="G28" s="734">
        <f t="shared" si="1"/>
        <v>1487043.7942199423</v>
      </c>
    </row>
    <row r="29" spans="1:9" ht="12.75">
      <c r="A29" s="730" t="s">
        <v>3556</v>
      </c>
      <c r="B29" s="731" t="s">
        <v>3554</v>
      </c>
      <c r="C29" s="732" t="s">
        <v>3536</v>
      </c>
      <c r="D29" s="733">
        <v>1</v>
      </c>
      <c r="E29" s="734">
        <f>'Orçamento EBPs'!I33</f>
        <v>8832548.4387069121</v>
      </c>
      <c r="F29" s="735">
        <f>$G$7</f>
        <v>0.15279999999999999</v>
      </c>
      <c r="G29" s="734">
        <f t="shared" si="1"/>
        <v>10182161.840141328</v>
      </c>
    </row>
    <row r="30" spans="1:9" ht="12.75">
      <c r="A30" s="724">
        <v>4</v>
      </c>
      <c r="B30" s="737" t="s">
        <v>3538</v>
      </c>
      <c r="C30" s="732"/>
      <c r="D30" s="733"/>
      <c r="E30" s="728">
        <f>SUM(E31:E32)</f>
        <v>13595371.290129278</v>
      </c>
      <c r="F30" s="735"/>
      <c r="G30" s="728">
        <f>SUM(G31:G32)</f>
        <v>15950794.445035007</v>
      </c>
    </row>
    <row r="31" spans="1:9" ht="12.75">
      <c r="A31" s="732" t="s">
        <v>28</v>
      </c>
      <c r="B31" s="731" t="s">
        <v>1394</v>
      </c>
      <c r="C31" s="732" t="s">
        <v>3536</v>
      </c>
      <c r="D31" s="733">
        <v>1</v>
      </c>
      <c r="E31" s="734">
        <f>'Orçamento EBPs'!I36</f>
        <v>2976985.2438327274</v>
      </c>
      <c r="F31" s="735">
        <f>$G$6</f>
        <v>0.2462</v>
      </c>
      <c r="G31" s="734">
        <f>D31*((E31*F31)+E31)</f>
        <v>3709919.0108643449</v>
      </c>
    </row>
    <row r="32" spans="1:9" ht="12.75">
      <c r="A32" s="732" t="s">
        <v>30</v>
      </c>
      <c r="B32" s="731" t="s">
        <v>3537</v>
      </c>
      <c r="C32" s="732"/>
      <c r="D32" s="733"/>
      <c r="E32" s="734">
        <f>SUM(E33:E34)</f>
        <v>10618386.04629655</v>
      </c>
      <c r="F32" s="735"/>
      <c r="G32" s="734">
        <f>SUM(G33:G34)</f>
        <v>12240875.434170661</v>
      </c>
      <c r="I32" s="738"/>
    </row>
    <row r="33" spans="1:9" ht="12.75">
      <c r="A33" s="732" t="s">
        <v>31</v>
      </c>
      <c r="B33" s="731" t="s">
        <v>3564</v>
      </c>
      <c r="C33" s="732" t="s">
        <v>3536</v>
      </c>
      <c r="D33" s="733">
        <v>1</v>
      </c>
      <c r="E33" s="734">
        <f>'Orçamento EBPs'!I38</f>
        <v>9242312.4434632696</v>
      </c>
      <c r="F33" s="735">
        <f>$G$7</f>
        <v>0.15279999999999999</v>
      </c>
      <c r="G33" s="734">
        <f t="shared" ref="G33:G34" si="2">D33*((E33*F33)+E33)</f>
        <v>10654537.784824457</v>
      </c>
      <c r="I33" s="738"/>
    </row>
    <row r="34" spans="1:9" ht="12.75">
      <c r="A34" s="732" t="s">
        <v>32</v>
      </c>
      <c r="B34" s="731" t="s">
        <v>3542</v>
      </c>
      <c r="C34" s="732" t="s">
        <v>3536</v>
      </c>
      <c r="D34" s="733">
        <v>1</v>
      </c>
      <c r="E34" s="734">
        <f>'Orçamento EBPs'!I39</f>
        <v>1376073.6028332796</v>
      </c>
      <c r="F34" s="735">
        <f>$G$7</f>
        <v>0.15279999999999999</v>
      </c>
      <c r="G34" s="734">
        <f t="shared" si="2"/>
        <v>1586337.6493462047</v>
      </c>
      <c r="I34" s="738"/>
    </row>
    <row r="35" spans="1:9" ht="12.75">
      <c r="A35" s="724" t="s">
        <v>34</v>
      </c>
      <c r="B35" s="737" t="s">
        <v>3509</v>
      </c>
      <c r="C35" s="732"/>
      <c r="D35" s="733"/>
      <c r="E35" s="728">
        <f>SUM(E36:E38)</f>
        <v>34964947.028531164</v>
      </c>
      <c r="F35" s="735"/>
      <c r="G35" s="728">
        <f>SUM(G36:G38)</f>
        <v>41290025.552699417</v>
      </c>
    </row>
    <row r="36" spans="1:9" ht="12.75">
      <c r="A36" s="732" t="s">
        <v>35</v>
      </c>
      <c r="B36" s="731" t="s">
        <v>3510</v>
      </c>
      <c r="C36" s="732" t="s">
        <v>3536</v>
      </c>
      <c r="D36" s="733">
        <v>1</v>
      </c>
      <c r="E36" s="734">
        <f>'Orçamento EBPs'!I42</f>
        <v>7318171.416637091</v>
      </c>
      <c r="F36" s="735">
        <f>$G$6</f>
        <v>0.2462</v>
      </c>
      <c r="G36" s="734">
        <f>D36*((E36*F36)+E36)</f>
        <v>9119905.2194131427</v>
      </c>
    </row>
    <row r="37" spans="1:9" ht="12.75">
      <c r="A37" s="732" t="s">
        <v>37</v>
      </c>
      <c r="B37" s="731" t="s">
        <v>3513</v>
      </c>
      <c r="C37" s="732" t="s">
        <v>3536</v>
      </c>
      <c r="D37" s="733">
        <v>1</v>
      </c>
      <c r="E37" s="734">
        <f>'Orçamento EBPs'!I43</f>
        <v>3200400.5127921924</v>
      </c>
      <c r="F37" s="735">
        <f>$G$6</f>
        <v>0.2462</v>
      </c>
      <c r="G37" s="734">
        <f>D37*((E37*F37)+E37)</f>
        <v>3988339.1190416301</v>
      </c>
    </row>
    <row r="38" spans="1:9" ht="12.75">
      <c r="A38" s="732" t="s">
        <v>38</v>
      </c>
      <c r="B38" s="731" t="s">
        <v>3515</v>
      </c>
      <c r="C38" s="732"/>
      <c r="D38" s="733"/>
      <c r="E38" s="734">
        <f>SUM(E39:E42)</f>
        <v>24446375.099101882</v>
      </c>
      <c r="F38" s="735"/>
      <c r="G38" s="734">
        <f>SUM(G39:G42)</f>
        <v>28181781.214244649</v>
      </c>
    </row>
    <row r="39" spans="1:9" ht="12.75">
      <c r="A39" s="730" t="s">
        <v>39</v>
      </c>
      <c r="B39" s="731" t="s">
        <v>3551</v>
      </c>
      <c r="C39" s="732" t="s">
        <v>3536</v>
      </c>
      <c r="D39" s="733">
        <v>1</v>
      </c>
      <c r="E39" s="734">
        <f>'Orçamento EBPs'!I45</f>
        <v>10539508.759028364</v>
      </c>
      <c r="F39" s="735">
        <f>$G$7</f>
        <v>0.15279999999999999</v>
      </c>
      <c r="G39" s="734">
        <f t="shared" ref="G39:G42" si="3">D39*((E39*F39)+E39)</f>
        <v>12149945.697407898</v>
      </c>
    </row>
    <row r="40" spans="1:9" ht="12.75">
      <c r="A40" s="730" t="s">
        <v>40</v>
      </c>
      <c r="B40" s="731" t="s">
        <v>3566</v>
      </c>
      <c r="C40" s="732" t="s">
        <v>3536</v>
      </c>
      <c r="D40" s="733">
        <v>1</v>
      </c>
      <c r="E40" s="734">
        <f>'Orçamento EBPs'!I46</f>
        <v>762040.16198487254</v>
      </c>
      <c r="F40" s="735">
        <f>$G$7</f>
        <v>0.15279999999999999</v>
      </c>
      <c r="G40" s="734">
        <f t="shared" si="3"/>
        <v>878479.89873616106</v>
      </c>
    </row>
    <row r="41" spans="1:9" ht="12.75">
      <c r="A41" s="730" t="s">
        <v>41</v>
      </c>
      <c r="B41" s="731" t="s">
        <v>3567</v>
      </c>
      <c r="C41" s="732" t="s">
        <v>3536</v>
      </c>
      <c r="D41" s="733">
        <v>1</v>
      </c>
      <c r="E41" s="734">
        <f>'Orçamento EBPs'!I47</f>
        <v>8832548.4387069121</v>
      </c>
      <c r="F41" s="735">
        <f>$G$7</f>
        <v>0.15279999999999999</v>
      </c>
      <c r="G41" s="734">
        <f t="shared" si="3"/>
        <v>10182161.840141328</v>
      </c>
    </row>
    <row r="42" spans="1:9" ht="12.75">
      <c r="A42" s="730" t="s">
        <v>42</v>
      </c>
      <c r="B42" s="731" t="s">
        <v>3568</v>
      </c>
      <c r="C42" s="732" t="s">
        <v>3536</v>
      </c>
      <c r="D42" s="733">
        <v>1</v>
      </c>
      <c r="E42" s="734">
        <f>'Orçamento EBPs'!I48</f>
        <v>4312277.7393817343</v>
      </c>
      <c r="F42" s="735">
        <f>$G$7</f>
        <v>0.15279999999999999</v>
      </c>
      <c r="G42" s="734">
        <f t="shared" si="3"/>
        <v>4971193.777959263</v>
      </c>
    </row>
    <row r="43" spans="1:9" ht="12.75">
      <c r="A43" s="724">
        <v>6</v>
      </c>
      <c r="B43" s="737" t="s">
        <v>3520</v>
      </c>
      <c r="C43" s="732"/>
      <c r="D43" s="733"/>
      <c r="E43" s="728">
        <f>SUM(E44:E46)</f>
        <v>15651769.95212237</v>
      </c>
      <c r="F43" s="735"/>
      <c r="G43" s="728">
        <f>SUM(G44:G46)</f>
        <v>18344926.695747867</v>
      </c>
    </row>
    <row r="44" spans="1:9" ht="12.75">
      <c r="A44" s="732" t="s">
        <v>45</v>
      </c>
      <c r="B44" s="731" t="s">
        <v>1407</v>
      </c>
      <c r="C44" s="732" t="s">
        <v>3536</v>
      </c>
      <c r="D44" s="733">
        <v>1</v>
      </c>
      <c r="E44" s="734">
        <f>'Orçamento EBPs'!I51</f>
        <v>3228761.1878072727</v>
      </c>
      <c r="F44" s="735">
        <f>$G$6</f>
        <v>0.2462</v>
      </c>
      <c r="G44" s="734">
        <f>D44*((E44*F44)+E44)</f>
        <v>4023682.1922454233</v>
      </c>
    </row>
    <row r="45" spans="1:9" ht="12.75">
      <c r="A45" s="732" t="s">
        <v>46</v>
      </c>
      <c r="B45" s="731" t="s">
        <v>3540</v>
      </c>
      <c r="C45" s="732" t="s">
        <v>3536</v>
      </c>
      <c r="D45" s="733">
        <v>1</v>
      </c>
      <c r="E45" s="734">
        <f>'Orçamento EBPs'!I52</f>
        <v>11042950.726868887</v>
      </c>
      <c r="F45" s="735">
        <f>$G$7</f>
        <v>0.15279999999999999</v>
      </c>
      <c r="G45" s="734">
        <f>D45*((E45*F45)+E45)</f>
        <v>12730313.597934453</v>
      </c>
    </row>
    <row r="46" spans="1:9" ht="12.75">
      <c r="A46" s="732" t="s">
        <v>3541</v>
      </c>
      <c r="B46" s="731" t="s">
        <v>3542</v>
      </c>
      <c r="C46" s="732" t="s">
        <v>3536</v>
      </c>
      <c r="D46" s="733">
        <v>1</v>
      </c>
      <c r="E46" s="734">
        <f>'Orçamento EBPs'!I53</f>
        <v>1380058.0374462106</v>
      </c>
      <c r="F46" s="735">
        <f>$G$7</f>
        <v>0.15279999999999999</v>
      </c>
      <c r="G46" s="734">
        <f>D46*((E46*F46)+E46)</f>
        <v>1590930.9055679915</v>
      </c>
    </row>
    <row r="47" spans="1:9" ht="12.75">
      <c r="A47" s="732"/>
      <c r="B47" s="739"/>
      <c r="C47" s="740"/>
      <c r="D47" s="741"/>
      <c r="E47" s="734"/>
      <c r="F47" s="742"/>
      <c r="G47" s="742"/>
    </row>
    <row r="48" spans="1:9" ht="12.75">
      <c r="A48" s="1055" t="s">
        <v>3543</v>
      </c>
      <c r="B48" s="1056"/>
      <c r="C48" s="1056"/>
      <c r="D48" s="1057"/>
      <c r="E48" s="743">
        <f>E43+E35+E30+E21+E14</f>
        <v>134078054.61439042</v>
      </c>
      <c r="F48" s="744"/>
      <c r="G48" s="743">
        <f>G43+G35+G30+G21+G14</f>
        <v>158114322.28368327</v>
      </c>
    </row>
    <row r="49" spans="1:9">
      <c r="A49" s="745"/>
      <c r="B49" s="746"/>
      <c r="C49" s="746"/>
      <c r="D49" s="746"/>
      <c r="E49" s="746"/>
    </row>
    <row r="50" spans="1:9">
      <c r="A50" s="747"/>
      <c r="B50" s="439"/>
      <c r="C50" s="439"/>
      <c r="H50" s="718"/>
    </row>
    <row r="51" spans="1:9">
      <c r="A51" s="747"/>
      <c r="B51" s="439"/>
      <c r="C51" s="439"/>
      <c r="G51" s="748"/>
      <c r="H51" s="718"/>
      <c r="I51" s="749"/>
    </row>
    <row r="52" spans="1:9">
      <c r="A52" s="747"/>
      <c r="B52" s="439"/>
      <c r="C52" s="439"/>
      <c r="G52" s="719"/>
      <c r="H52" s="718"/>
      <c r="I52" s="749"/>
    </row>
    <row r="53" spans="1:9">
      <c r="H53" s="718"/>
    </row>
    <row r="54" spans="1:9">
      <c r="H54" s="718"/>
    </row>
    <row r="55" spans="1:9">
      <c r="G55" s="749"/>
    </row>
    <row r="56" spans="1:9">
      <c r="G56" s="719"/>
    </row>
  </sheetData>
  <mergeCells count="10">
    <mergeCell ref="A48:D48"/>
    <mergeCell ref="A1:G1"/>
    <mergeCell ref="A2:G2"/>
    <mergeCell ref="A9:A10"/>
    <mergeCell ref="B9:B10"/>
    <mergeCell ref="C9:C10"/>
    <mergeCell ref="D9:D10"/>
    <mergeCell ref="E9:G9"/>
    <mergeCell ref="A4:G4"/>
    <mergeCell ref="E6:E7"/>
  </mergeCells>
  <phoneticPr fontId="46" type="noConversion"/>
  <conditionalFormatting sqref="G6:G8">
    <cfRule type="expression" dxfId="16" priority="1" stopIfTrue="1">
      <formula>#REF!="Não"</formula>
    </cfRule>
  </conditionalFormatting>
  <printOptions horizontalCentered="1"/>
  <pageMargins left="0.51181102362204722" right="0.51181102362204722" top="0.78740157480314965" bottom="0.78740157480314965" header="0.31496062992125984" footer="0.31496062992125984"/>
  <pageSetup paperSize="9" scale="74"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pageSetUpPr autoPageBreaks="0" fitToPage="1"/>
  </sheetPr>
  <dimension ref="A1:BP363"/>
  <sheetViews>
    <sheetView showGridLines="0" showZeros="0" showRuler="0" showWhiteSpace="0" view="pageBreakPreview" zoomScale="70" zoomScaleNormal="55" zoomScaleSheetLayoutView="70" zoomScalePageLayoutView="60" workbookViewId="0">
      <pane ySplit="22" topLeftCell="A23" activePane="bottomLeft" state="frozen"/>
      <selection activeCell="C315" sqref="C315"/>
      <selection pane="bottomLeft" activeCell="C34" sqref="C34"/>
    </sheetView>
  </sheetViews>
  <sheetFormatPr defaultColWidth="9.140625" defaultRowHeight="15.75" outlineLevelRow="1"/>
  <cols>
    <col min="1" max="1" width="9.140625" style="50"/>
    <col min="2" max="2" width="12" style="48" customWidth="1"/>
    <col min="3" max="3" width="98" style="49" customWidth="1"/>
    <col min="4" max="4" width="9.140625" style="141" customWidth="1"/>
    <col min="5" max="5" width="19.7109375" style="50" customWidth="1"/>
    <col min="6" max="6" width="17.42578125" style="50" customWidth="1"/>
    <col min="7" max="8" width="22" style="50" customWidth="1"/>
    <col min="9" max="9" width="28.85546875" style="50" customWidth="1"/>
    <col min="10" max="10" width="14" style="50" customWidth="1"/>
    <col min="11" max="11" width="15" style="50" customWidth="1"/>
    <col min="12" max="12" width="18.28515625" style="50" customWidth="1"/>
    <col min="13" max="13" width="14.7109375" style="50" customWidth="1"/>
    <col min="14" max="14" width="17.5703125" style="50" customWidth="1"/>
    <col min="15" max="15" width="17.7109375" style="50" customWidth="1"/>
    <col min="16" max="16384" width="9.140625" style="50"/>
  </cols>
  <sheetData>
    <row r="1" spans="2:12">
      <c r="G1" s="244"/>
      <c r="H1" s="244"/>
    </row>
    <row r="2" spans="2:12" hidden="1">
      <c r="L2" s="124" t="s">
        <v>2750</v>
      </c>
    </row>
    <row r="3" spans="2:12" hidden="1">
      <c r="B3" s="142"/>
      <c r="C3" s="143"/>
      <c r="D3" s="144"/>
      <c r="E3" s="143"/>
      <c r="F3" s="143"/>
      <c r="G3" s="143"/>
      <c r="H3" s="143"/>
      <c r="I3" s="143"/>
      <c r="J3" s="143"/>
      <c r="K3" s="186"/>
      <c r="L3" s="755" t="e">
        <f>ROUND(#REF!*#REF!,2)</f>
        <v>#REF!</v>
      </c>
    </row>
    <row r="4" spans="2:12" ht="18.75" hidden="1">
      <c r="B4" s="1065" t="s">
        <v>3056</v>
      </c>
      <c r="C4" s="1066"/>
      <c r="D4" s="1066"/>
      <c r="E4" s="1066"/>
      <c r="F4" s="1066"/>
      <c r="G4" s="1066"/>
      <c r="H4" s="1066"/>
      <c r="I4" s="1066"/>
      <c r="J4" s="1066"/>
      <c r="K4" s="187"/>
      <c r="L4" s="755" t="e">
        <f>ROUND(#REF!*#REF!,2)</f>
        <v>#REF!</v>
      </c>
    </row>
    <row r="5" spans="2:12" ht="18.75" hidden="1">
      <c r="B5" s="1067" t="s">
        <v>4</v>
      </c>
      <c r="C5" s="1068"/>
      <c r="D5" s="1068"/>
      <c r="E5" s="1068"/>
      <c r="F5" s="1068"/>
      <c r="G5" s="1068"/>
      <c r="H5" s="1068"/>
      <c r="I5" s="1068"/>
      <c r="J5" s="1068"/>
      <c r="K5" s="187"/>
      <c r="L5" s="755" t="e">
        <f>ROUND(#REF!*#REF!,2)</f>
        <v>#REF!</v>
      </c>
    </row>
    <row r="6" spans="2:12" ht="18.75" hidden="1">
      <c r="B6" s="1067" t="s">
        <v>1527</v>
      </c>
      <c r="C6" s="1068"/>
      <c r="D6" s="1068"/>
      <c r="E6" s="1068"/>
      <c r="F6" s="1068"/>
      <c r="G6" s="1068"/>
      <c r="H6" s="1068"/>
      <c r="I6" s="1068"/>
      <c r="J6" s="1068"/>
      <c r="K6" s="187"/>
      <c r="L6" s="755" t="e">
        <f>ROUND(#REF!*#REF!,2)</f>
        <v>#REF!</v>
      </c>
    </row>
    <row r="7" spans="2:12" ht="16.5" hidden="1" thickBot="1">
      <c r="B7" s="147"/>
      <c r="C7" s="148"/>
      <c r="D7" s="149"/>
      <c r="E7" s="150"/>
      <c r="F7" s="150"/>
      <c r="G7" s="150"/>
      <c r="H7" s="150"/>
      <c r="I7" s="150"/>
      <c r="J7" s="150"/>
      <c r="K7" s="188"/>
      <c r="L7" s="755" t="e">
        <f>ROUND(#REF!*#REF!,2)</f>
        <v>#REF!</v>
      </c>
    </row>
    <row r="8" spans="2:12" ht="24" hidden="1" thickBot="1">
      <c r="B8" s="1069" t="s">
        <v>3058</v>
      </c>
      <c r="C8" s="1070"/>
      <c r="D8" s="1070"/>
      <c r="E8" s="1070"/>
      <c r="F8" s="1070"/>
      <c r="G8" s="1070"/>
      <c r="H8" s="1070"/>
      <c r="I8" s="1070"/>
      <c r="J8" s="1070"/>
      <c r="K8" s="189"/>
      <c r="L8" s="755" t="e">
        <f>ROUND(#REF!*#REF!,2)</f>
        <v>#REF!</v>
      </c>
    </row>
    <row r="9" spans="2:12" hidden="1">
      <c r="B9" s="152" t="s">
        <v>7</v>
      </c>
      <c r="C9" s="153" t="s">
        <v>1519</v>
      </c>
      <c r="D9" s="154"/>
      <c r="E9" s="196" t="s">
        <v>1535</v>
      </c>
      <c r="F9" s="145"/>
      <c r="G9" s="145"/>
      <c r="H9" s="145"/>
      <c r="I9" s="198"/>
      <c r="J9" s="1071" t="e">
        <f>CONCATENATE(#REF!," ",#REF!)</f>
        <v>#REF!</v>
      </c>
      <c r="K9" s="160"/>
      <c r="L9" s="207" t="e">
        <f>SUM(L3:L8)</f>
        <v>#REF!</v>
      </c>
    </row>
    <row r="10" spans="2:12" hidden="1">
      <c r="B10" s="155" t="s">
        <v>6</v>
      </c>
      <c r="C10" s="156" t="s">
        <v>1530</v>
      </c>
      <c r="D10" s="157"/>
      <c r="E10" s="197" t="s">
        <v>5</v>
      </c>
      <c r="F10" s="146"/>
      <c r="G10" s="159"/>
      <c r="H10" s="159"/>
      <c r="I10" s="756"/>
      <c r="J10" s="1072"/>
      <c r="K10" s="160"/>
      <c r="L10" s="123"/>
    </row>
    <row r="11" spans="2:12" hidden="1">
      <c r="B11" s="155" t="s">
        <v>8</v>
      </c>
      <c r="C11" s="156" t="s">
        <v>1483</v>
      </c>
      <c r="D11" s="157"/>
      <c r="E11" s="197" t="s">
        <v>1537</v>
      </c>
      <c r="F11" s="146"/>
      <c r="G11" s="159"/>
      <c r="H11" s="159"/>
      <c r="I11" s="756"/>
      <c r="J11" s="1072"/>
      <c r="K11" s="160"/>
    </row>
    <row r="12" spans="2:12" hidden="1">
      <c r="B12" s="155" t="s">
        <v>9</v>
      </c>
      <c r="C12" s="156" t="s">
        <v>1488</v>
      </c>
      <c r="D12" s="157"/>
      <c r="E12" s="197" t="s">
        <v>3057</v>
      </c>
      <c r="F12" s="146"/>
      <c r="G12" s="159"/>
      <c r="H12" s="159"/>
      <c r="I12" s="199"/>
      <c r="J12" s="1072" t="e">
        <f>CONCATENATE(#REF!," ",#REF!)</f>
        <v>#REF!</v>
      </c>
      <c r="K12" s="161"/>
    </row>
    <row r="13" spans="2:12" hidden="1">
      <c r="B13" s="155" t="s">
        <v>10</v>
      </c>
      <c r="C13" s="162">
        <v>79745584.319999993</v>
      </c>
      <c r="D13" s="163"/>
      <c r="E13" s="197" t="e">
        <f>#REF!</f>
        <v>#REF!</v>
      </c>
      <c r="F13" s="146"/>
      <c r="G13" s="159"/>
      <c r="H13" s="159"/>
      <c r="I13" s="756"/>
      <c r="J13" s="1072"/>
      <c r="K13" s="160"/>
    </row>
    <row r="14" spans="2:12" hidden="1">
      <c r="B14" s="164" t="s">
        <v>1529</v>
      </c>
      <c r="C14" s="157"/>
      <c r="D14" s="163"/>
      <c r="E14" s="197" t="e">
        <f>#REF!</f>
        <v>#REF!</v>
      </c>
      <c r="F14" s="146"/>
      <c r="G14" s="159"/>
      <c r="H14" s="159"/>
      <c r="I14" s="756"/>
      <c r="J14" s="1072"/>
      <c r="K14" s="160"/>
    </row>
    <row r="15" spans="2:12" hidden="1">
      <c r="B15" s="165"/>
      <c r="C15" s="157"/>
      <c r="D15" s="163"/>
      <c r="E15" s="197" t="e">
        <f>#REF!</f>
        <v>#REF!</v>
      </c>
      <c r="F15" s="146"/>
      <c r="G15" s="146"/>
      <c r="H15" s="146"/>
      <c r="I15" s="199"/>
      <c r="J15" s="1073" t="e">
        <f>CONCATENATE(#REF!," ",#REF!)</f>
        <v>#REF!</v>
      </c>
      <c r="K15" s="161"/>
    </row>
    <row r="16" spans="2:12" hidden="1">
      <c r="B16" s="165"/>
      <c r="C16" s="157"/>
      <c r="D16" s="163"/>
      <c r="E16" s="158"/>
      <c r="F16" s="146"/>
      <c r="G16" s="146"/>
      <c r="H16" s="146"/>
      <c r="I16" s="199"/>
      <c r="J16" s="1074"/>
      <c r="K16" s="161"/>
    </row>
    <row r="17" spans="1:15" hidden="1">
      <c r="B17" s="165"/>
      <c r="C17" s="157"/>
      <c r="D17" s="163"/>
      <c r="E17" s="158"/>
      <c r="F17" s="146"/>
      <c r="G17" s="146"/>
      <c r="H17" s="146"/>
      <c r="I17" s="199"/>
      <c r="J17" s="1074"/>
      <c r="K17" s="161"/>
    </row>
    <row r="18" spans="1:15" hidden="1">
      <c r="B18" s="165"/>
      <c r="C18" s="157"/>
      <c r="D18" s="163"/>
      <c r="E18" s="158"/>
      <c r="F18" s="146"/>
      <c r="G18" s="146"/>
      <c r="H18" s="146"/>
      <c r="I18" s="756"/>
      <c r="J18" s="1074"/>
      <c r="K18" s="160"/>
    </row>
    <row r="19" spans="1:15" ht="16.5" hidden="1" thickBot="1">
      <c r="B19" s="165"/>
      <c r="C19" s="168"/>
      <c r="D19" s="169"/>
      <c r="E19" s="170"/>
      <c r="F19" s="151"/>
      <c r="G19" s="151"/>
      <c r="H19" s="151"/>
      <c r="I19" s="168"/>
      <c r="J19" s="1075"/>
      <c r="K19" s="138"/>
    </row>
    <row r="20" spans="1:15">
      <c r="B20" s="955"/>
      <c r="C20" s="372"/>
      <c r="D20" s="373"/>
      <c r="E20" s="126"/>
      <c r="F20" s="126"/>
      <c r="G20" s="757"/>
      <c r="H20" s="757"/>
      <c r="I20" s="126"/>
      <c r="J20" s="126"/>
      <c r="K20" s="126"/>
    </row>
    <row r="21" spans="1:15" ht="24" customHeight="1">
      <c r="B21" s="758"/>
      <c r="C21" s="758"/>
      <c r="D21" s="758"/>
      <c r="E21" s="1076"/>
      <c r="F21" s="1076"/>
      <c r="G21" s="1076"/>
      <c r="H21" s="760" t="s">
        <v>3570</v>
      </c>
      <c r="I21" s="1077" t="s">
        <v>2745</v>
      </c>
      <c r="J21" s="1078"/>
      <c r="K21" s="137"/>
    </row>
    <row r="22" spans="1:15" ht="38.25" customHeight="1" thickBot="1">
      <c r="B22" s="375" t="s">
        <v>0</v>
      </c>
      <c r="C22" s="376" t="s">
        <v>1520</v>
      </c>
      <c r="D22" s="375" t="s">
        <v>11</v>
      </c>
      <c r="E22" s="108" t="s">
        <v>1531</v>
      </c>
      <c r="F22" s="108" t="s">
        <v>3571</v>
      </c>
      <c r="G22" s="108" t="s">
        <v>3190</v>
      </c>
      <c r="H22" s="108" t="s">
        <v>3572</v>
      </c>
      <c r="I22" s="377" t="s">
        <v>1491</v>
      </c>
      <c r="J22" s="377" t="s">
        <v>1490</v>
      </c>
      <c r="K22" s="209"/>
      <c r="L22" s="761" t="s">
        <v>3471</v>
      </c>
      <c r="M22" s="762" t="s">
        <v>1400</v>
      </c>
      <c r="N22" s="762" t="s">
        <v>1546</v>
      </c>
      <c r="O22" s="762" t="s">
        <v>3472</v>
      </c>
    </row>
    <row r="23" spans="1:15" s="98" customFormat="1">
      <c r="B23" s="176" t="s">
        <v>53</v>
      </c>
      <c r="C23" s="101" t="s">
        <v>1410</v>
      </c>
      <c r="D23" s="74"/>
      <c r="E23" s="75"/>
      <c r="F23" s="75"/>
      <c r="G23" s="75">
        <f>G24+G68+G97+G158+G178+G203+G231+G271+G279</f>
        <v>18538160.685688671</v>
      </c>
      <c r="H23" s="75">
        <f>H24+H68+H97+H158+H178+H203+H231+H271+H279</f>
        <v>74489925.337852508</v>
      </c>
      <c r="I23" s="110"/>
      <c r="J23" s="73"/>
      <c r="K23" s="195"/>
      <c r="L23" s="763"/>
      <c r="M23" s="764">
        <v>0.4</v>
      </c>
      <c r="N23" s="764">
        <v>0.375</v>
      </c>
      <c r="O23" s="763"/>
    </row>
    <row r="24" spans="1:15" s="98" customFormat="1" outlineLevel="1">
      <c r="B24" s="178" t="s">
        <v>54</v>
      </c>
      <c r="C24" s="102" t="s">
        <v>1411</v>
      </c>
      <c r="D24" s="91"/>
      <c r="E24" s="63">
        <f>15768+1236</f>
        <v>17004</v>
      </c>
      <c r="F24" s="63" t="s">
        <v>1472</v>
      </c>
      <c r="G24" s="63">
        <f>+G25+G45+G50+G60</f>
        <v>13858906.522285711</v>
      </c>
      <c r="H24" s="63">
        <f>+H25+H45+H50+H60</f>
        <v>56100769.785765842</v>
      </c>
      <c r="I24" s="111">
        <v>0</v>
      </c>
      <c r="J24" s="86"/>
      <c r="K24" s="191"/>
      <c r="L24" s="763"/>
      <c r="M24" s="763"/>
      <c r="N24" s="763"/>
      <c r="O24" s="763"/>
    </row>
    <row r="25" spans="1:15" s="98" customFormat="1" outlineLevel="1">
      <c r="B25" s="179" t="s">
        <v>55</v>
      </c>
      <c r="C25" s="104" t="s">
        <v>1412</v>
      </c>
      <c r="D25" s="81"/>
      <c r="E25" s="89"/>
      <c r="F25" s="89"/>
      <c r="G25" s="89">
        <f>SUM(G26:G44)</f>
        <v>13463724.040499998</v>
      </c>
      <c r="H25" s="89">
        <f>SUM(H26:H44)</f>
        <v>54628206.661802389</v>
      </c>
      <c r="I25" s="112">
        <v>0</v>
      </c>
      <c r="J25" s="84"/>
      <c r="K25" s="192"/>
      <c r="L25" s="763"/>
      <c r="M25" s="763"/>
      <c r="N25" s="763"/>
      <c r="O25" s="763"/>
    </row>
    <row r="26" spans="1:15" s="98" customFormat="1" outlineLevel="1">
      <c r="A26" s="141" t="s">
        <v>3478</v>
      </c>
      <c r="B26" s="175" t="s">
        <v>56</v>
      </c>
      <c r="C26" s="100" t="s">
        <v>1576</v>
      </c>
      <c r="D26" s="99" t="s">
        <v>1469</v>
      </c>
      <c r="E26" s="491">
        <v>91.210000000000008</v>
      </c>
      <c r="F26" s="20">
        <f>O26</f>
        <v>1186.2428571428572</v>
      </c>
      <c r="G26" s="19">
        <f t="shared" ref="G26:G44" si="0">E26*F26</f>
        <v>108197.21100000002</v>
      </c>
      <c r="H26" s="19">
        <f>G26*(1+J26)</f>
        <v>373767.26539950009</v>
      </c>
      <c r="I26" s="114" t="s">
        <v>1523</v>
      </c>
      <c r="J26" s="210">
        <f>VLOOKUP(I26,'Reajuste Atual'!$L$19:$M$25,2,FALSE)</f>
        <v>2.4544999999999999</v>
      </c>
      <c r="K26" s="190"/>
      <c r="L26" s="20">
        <v>1660.74</v>
      </c>
      <c r="M26" s="765">
        <f>L26/($M$23+1)</f>
        <v>1186.2428571428572</v>
      </c>
      <c r="N26" s="765">
        <f>L26/($N$23+1)</f>
        <v>1207.810909090909</v>
      </c>
      <c r="O26" s="765">
        <f t="shared" ref="O26:O89" si="1">IF(A26="S",M26,N26)</f>
        <v>1186.2428571428572</v>
      </c>
    </row>
    <row r="27" spans="1:15" s="98" customFormat="1" outlineLevel="1">
      <c r="A27" s="141" t="s">
        <v>3478</v>
      </c>
      <c r="B27" s="175" t="s">
        <v>57</v>
      </c>
      <c r="C27" s="100" t="s">
        <v>1622</v>
      </c>
      <c r="D27" s="99" t="s">
        <v>1467</v>
      </c>
      <c r="E27" s="491">
        <v>93609.55</v>
      </c>
      <c r="F27" s="20">
        <f t="shared" ref="F27:F44" si="2">O27</f>
        <v>1.3357142857142859</v>
      </c>
      <c r="G27" s="19">
        <f t="shared" si="0"/>
        <v>125035.61321428572</v>
      </c>
      <c r="H27" s="19">
        <f t="shared" ref="H27:H44" si="3">G27*(1+J27)</f>
        <v>431935.52584875003</v>
      </c>
      <c r="I27" s="114" t="s">
        <v>1523</v>
      </c>
      <c r="J27" s="210">
        <f>VLOOKUP(I27,'Reajuste Atual'!$L$19:$M$25,2,FALSE)</f>
        <v>2.4544999999999999</v>
      </c>
      <c r="K27" s="190"/>
      <c r="L27" s="20">
        <v>1.87</v>
      </c>
      <c r="M27" s="765">
        <f t="shared" ref="M27:M90" si="4">L27/($M$23+1)</f>
        <v>1.3357142857142859</v>
      </c>
      <c r="N27" s="765">
        <f t="shared" ref="N27:N90" si="5">L27/($N$23+1)</f>
        <v>1.36</v>
      </c>
      <c r="O27" s="765">
        <f t="shared" si="1"/>
        <v>1.3357142857142859</v>
      </c>
    </row>
    <row r="28" spans="1:15" s="98" customFormat="1" outlineLevel="1">
      <c r="A28" s="141" t="s">
        <v>3478</v>
      </c>
      <c r="B28" s="175" t="s">
        <v>58</v>
      </c>
      <c r="C28" s="100" t="s">
        <v>1568</v>
      </c>
      <c r="D28" s="99" t="s">
        <v>1467</v>
      </c>
      <c r="E28" s="491">
        <v>205623.71999999997</v>
      </c>
      <c r="F28" s="20">
        <f t="shared" si="2"/>
        <v>3.9571428571428573</v>
      </c>
      <c r="G28" s="19">
        <f t="shared" si="0"/>
        <v>813682.43485714274</v>
      </c>
      <c r="H28" s="19">
        <f t="shared" si="3"/>
        <v>2810865.9712139997</v>
      </c>
      <c r="I28" s="114" t="s">
        <v>1523</v>
      </c>
      <c r="J28" s="210">
        <f>VLOOKUP(I28,'Reajuste Atual'!$L$19:$M$25,2,FALSE)</f>
        <v>2.4544999999999999</v>
      </c>
      <c r="K28" s="190"/>
      <c r="L28" s="20">
        <v>5.54</v>
      </c>
      <c r="M28" s="765">
        <f t="shared" si="4"/>
        <v>3.9571428571428573</v>
      </c>
      <c r="N28" s="765">
        <f t="shared" si="5"/>
        <v>4.0290909090909093</v>
      </c>
      <c r="O28" s="765">
        <f t="shared" si="1"/>
        <v>3.9571428571428573</v>
      </c>
    </row>
    <row r="29" spans="1:15" s="98" customFormat="1" ht="31.5" outlineLevel="1">
      <c r="A29" s="141" t="s">
        <v>3478</v>
      </c>
      <c r="B29" s="175" t="s">
        <v>59</v>
      </c>
      <c r="C29" s="100" t="s">
        <v>1577</v>
      </c>
      <c r="D29" s="99" t="s">
        <v>1467</v>
      </c>
      <c r="E29" s="491">
        <v>228521.55</v>
      </c>
      <c r="F29" s="20">
        <f t="shared" si="2"/>
        <v>6.9214285714285717</v>
      </c>
      <c r="G29" s="19">
        <f t="shared" si="0"/>
        <v>1581695.5853571428</v>
      </c>
      <c r="H29" s="19">
        <f t="shared" si="3"/>
        <v>5463967.3996162498</v>
      </c>
      <c r="I29" s="114" t="s">
        <v>1523</v>
      </c>
      <c r="J29" s="210">
        <f>VLOOKUP(I29,'Reajuste Atual'!$L$19:$M$25,2,FALSE)</f>
        <v>2.4544999999999999</v>
      </c>
      <c r="K29" s="190"/>
      <c r="L29" s="20">
        <v>9.69</v>
      </c>
      <c r="M29" s="765">
        <f t="shared" si="4"/>
        <v>6.9214285714285717</v>
      </c>
      <c r="N29" s="765">
        <f t="shared" si="5"/>
        <v>7.0472727272727269</v>
      </c>
      <c r="O29" s="765">
        <f t="shared" si="1"/>
        <v>6.9214285714285717</v>
      </c>
    </row>
    <row r="30" spans="1:15" s="98" customFormat="1" outlineLevel="1">
      <c r="A30" s="141" t="s">
        <v>3478</v>
      </c>
      <c r="B30" s="175" t="s">
        <v>60</v>
      </c>
      <c r="C30" s="100" t="s">
        <v>1623</v>
      </c>
      <c r="D30" s="99" t="s">
        <v>1467</v>
      </c>
      <c r="E30" s="491">
        <v>84256.71</v>
      </c>
      <c r="F30" s="20">
        <f t="shared" si="2"/>
        <v>8.2500000000000018</v>
      </c>
      <c r="G30" s="19">
        <f t="shared" si="0"/>
        <v>695117.85750000016</v>
      </c>
      <c r="H30" s="19">
        <f t="shared" si="3"/>
        <v>2401284.6387337507</v>
      </c>
      <c r="I30" s="114" t="s">
        <v>1523</v>
      </c>
      <c r="J30" s="210">
        <f>VLOOKUP(I30,'Reajuste Atual'!$L$19:$M$25,2,FALSE)</f>
        <v>2.4544999999999999</v>
      </c>
      <c r="K30" s="190"/>
      <c r="L30" s="20">
        <v>11.55</v>
      </c>
      <c r="M30" s="765">
        <f t="shared" si="4"/>
        <v>8.2500000000000018</v>
      </c>
      <c r="N30" s="765">
        <f t="shared" si="5"/>
        <v>8.4</v>
      </c>
      <c r="O30" s="765">
        <f t="shared" si="1"/>
        <v>8.2500000000000018</v>
      </c>
    </row>
    <row r="31" spans="1:15" s="98" customFormat="1" outlineLevel="1">
      <c r="A31" s="141" t="s">
        <v>3478</v>
      </c>
      <c r="B31" s="175" t="s">
        <v>61</v>
      </c>
      <c r="C31" s="100" t="s">
        <v>1569</v>
      </c>
      <c r="D31" s="99" t="s">
        <v>1467</v>
      </c>
      <c r="E31" s="491">
        <v>50248.38</v>
      </c>
      <c r="F31" s="20">
        <f t="shared" si="2"/>
        <v>5.2928571428571436</v>
      </c>
      <c r="G31" s="19">
        <f t="shared" si="0"/>
        <v>265957.49700000003</v>
      </c>
      <c r="H31" s="19">
        <f t="shared" si="3"/>
        <v>918750.1733865001</v>
      </c>
      <c r="I31" s="114" t="s">
        <v>1523</v>
      </c>
      <c r="J31" s="210">
        <f>VLOOKUP(I31,'Reajuste Atual'!$L$19:$M$25,2,FALSE)</f>
        <v>2.4544999999999999</v>
      </c>
      <c r="K31" s="190"/>
      <c r="L31" s="20">
        <v>7.41</v>
      </c>
      <c r="M31" s="765">
        <f t="shared" si="4"/>
        <v>5.2928571428571436</v>
      </c>
      <c r="N31" s="765">
        <f t="shared" si="5"/>
        <v>5.3890909090909096</v>
      </c>
      <c r="O31" s="765">
        <f t="shared" si="1"/>
        <v>5.2928571428571436</v>
      </c>
    </row>
    <row r="32" spans="1:15" s="98" customFormat="1" outlineLevel="1">
      <c r="A32" s="141" t="s">
        <v>3478</v>
      </c>
      <c r="B32" s="175" t="s">
        <v>62</v>
      </c>
      <c r="C32" s="100" t="s">
        <v>1582</v>
      </c>
      <c r="D32" s="99" t="s">
        <v>1475</v>
      </c>
      <c r="E32" s="491">
        <v>1363118.46</v>
      </c>
      <c r="F32" s="20">
        <f t="shared" si="2"/>
        <v>0.8214285714285714</v>
      </c>
      <c r="G32" s="19">
        <f t="shared" si="0"/>
        <v>1119704.4492857142</v>
      </c>
      <c r="H32" s="19">
        <f t="shared" si="3"/>
        <v>3868019.0200574994</v>
      </c>
      <c r="I32" s="114" t="s">
        <v>1523</v>
      </c>
      <c r="J32" s="210">
        <f>VLOOKUP(I32,'Reajuste Atual'!$L$19:$M$25,2,FALSE)</f>
        <v>2.4544999999999999</v>
      </c>
      <c r="K32" s="190"/>
      <c r="L32" s="20">
        <v>1.1499999999999999</v>
      </c>
      <c r="M32" s="765">
        <f t="shared" si="4"/>
        <v>0.8214285714285714</v>
      </c>
      <c r="N32" s="765">
        <f t="shared" si="5"/>
        <v>0.83636363636363631</v>
      </c>
      <c r="O32" s="765">
        <f t="shared" si="1"/>
        <v>0.8214285714285714</v>
      </c>
    </row>
    <row r="33" spans="1:15" s="98" customFormat="1" outlineLevel="1">
      <c r="A33" s="141" t="s">
        <v>3478</v>
      </c>
      <c r="B33" s="175" t="s">
        <v>63</v>
      </c>
      <c r="C33" s="100" t="s">
        <v>1624</v>
      </c>
      <c r="D33" s="99" t="s">
        <v>1470</v>
      </c>
      <c r="E33" s="491">
        <v>1</v>
      </c>
      <c r="F33" s="20">
        <f t="shared" si="2"/>
        <v>3.407142857142857</v>
      </c>
      <c r="G33" s="19">
        <f t="shared" si="0"/>
        <v>3.407142857142857</v>
      </c>
      <c r="H33" s="19">
        <f t="shared" si="3"/>
        <v>11.769974999999999</v>
      </c>
      <c r="I33" s="114" t="s">
        <v>1523</v>
      </c>
      <c r="J33" s="210">
        <f>VLOOKUP(I33,'Reajuste Atual'!$L$19:$M$25,2,FALSE)</f>
        <v>2.4544999999999999</v>
      </c>
      <c r="K33" s="190"/>
      <c r="L33" s="20">
        <v>4.7699999999999996</v>
      </c>
      <c r="M33" s="765">
        <f t="shared" si="4"/>
        <v>3.407142857142857</v>
      </c>
      <c r="N33" s="765">
        <f t="shared" si="5"/>
        <v>3.4690909090909088</v>
      </c>
      <c r="O33" s="765">
        <f t="shared" si="1"/>
        <v>3.407142857142857</v>
      </c>
    </row>
    <row r="34" spans="1:15" s="98" customFormat="1" outlineLevel="1">
      <c r="A34" s="141" t="s">
        <v>3478</v>
      </c>
      <c r="B34" s="175" t="s">
        <v>64</v>
      </c>
      <c r="C34" s="100" t="s">
        <v>1625</v>
      </c>
      <c r="D34" s="99" t="s">
        <v>1470</v>
      </c>
      <c r="E34" s="491">
        <v>25661.3</v>
      </c>
      <c r="F34" s="20">
        <f t="shared" si="2"/>
        <v>13.75714285714286</v>
      </c>
      <c r="G34" s="19">
        <f t="shared" si="0"/>
        <v>353026.17000000004</v>
      </c>
      <c r="H34" s="19">
        <f t="shared" si="3"/>
        <v>1219528.904265</v>
      </c>
      <c r="I34" s="114" t="s">
        <v>1523</v>
      </c>
      <c r="J34" s="210">
        <f>VLOOKUP(I34,'Reajuste Atual'!$L$19:$M$25,2,FALSE)</f>
        <v>2.4544999999999999</v>
      </c>
      <c r="K34" s="190"/>
      <c r="L34" s="20">
        <v>19.260000000000002</v>
      </c>
      <c r="M34" s="765">
        <f t="shared" si="4"/>
        <v>13.75714285714286</v>
      </c>
      <c r="N34" s="765">
        <f t="shared" si="5"/>
        <v>14.007272727272728</v>
      </c>
      <c r="O34" s="765">
        <f t="shared" si="1"/>
        <v>13.75714285714286</v>
      </c>
    </row>
    <row r="35" spans="1:15" s="98" customFormat="1" outlineLevel="1">
      <c r="A35" s="141" t="s">
        <v>3478</v>
      </c>
      <c r="B35" s="175" t="s">
        <v>65</v>
      </c>
      <c r="C35" s="100" t="s">
        <v>1626</v>
      </c>
      <c r="D35" s="99" t="s">
        <v>1470</v>
      </c>
      <c r="E35" s="491">
        <v>199446.64</v>
      </c>
      <c r="F35" s="20">
        <f t="shared" si="2"/>
        <v>4.8285714285714283</v>
      </c>
      <c r="G35" s="19">
        <f t="shared" si="0"/>
        <v>963042.34742857143</v>
      </c>
      <c r="H35" s="19">
        <f t="shared" si="3"/>
        <v>3326829.7891919999</v>
      </c>
      <c r="I35" s="114" t="s">
        <v>1523</v>
      </c>
      <c r="J35" s="210">
        <f>VLOOKUP(I35,'Reajuste Atual'!$L$19:$M$25,2,FALSE)</f>
        <v>2.4544999999999999</v>
      </c>
      <c r="K35" s="190"/>
      <c r="L35" s="20">
        <v>6.76</v>
      </c>
      <c r="M35" s="765">
        <f t="shared" si="4"/>
        <v>4.8285714285714283</v>
      </c>
      <c r="N35" s="765">
        <f t="shared" si="5"/>
        <v>4.916363636363636</v>
      </c>
      <c r="O35" s="765">
        <f t="shared" si="1"/>
        <v>4.8285714285714283</v>
      </c>
    </row>
    <row r="36" spans="1:15" s="98" customFormat="1" outlineLevel="1">
      <c r="A36" s="141" t="s">
        <v>3478</v>
      </c>
      <c r="B36" s="175" t="s">
        <v>66</v>
      </c>
      <c r="C36" s="100" t="s">
        <v>1627</v>
      </c>
      <c r="D36" s="99" t="s">
        <v>1472</v>
      </c>
      <c r="E36" s="491">
        <v>0</v>
      </c>
      <c r="F36" s="20">
        <f t="shared" si="2"/>
        <v>55.05</v>
      </c>
      <c r="G36" s="19">
        <f t="shared" si="0"/>
        <v>0</v>
      </c>
      <c r="H36" s="19">
        <f t="shared" si="3"/>
        <v>0</v>
      </c>
      <c r="I36" s="114" t="s">
        <v>1522</v>
      </c>
      <c r="J36" s="210">
        <f>VLOOKUP(I36,'Reajuste Atual'!$L$19:$M$25,2,FALSE)</f>
        <v>3.5459999999999998</v>
      </c>
      <c r="K36" s="190"/>
      <c r="L36" s="20">
        <v>77.069999999999993</v>
      </c>
      <c r="M36" s="765">
        <f t="shared" si="4"/>
        <v>55.05</v>
      </c>
      <c r="N36" s="765">
        <f t="shared" si="5"/>
        <v>56.050909090909087</v>
      </c>
      <c r="O36" s="765">
        <f t="shared" si="1"/>
        <v>55.05</v>
      </c>
    </row>
    <row r="37" spans="1:15" s="98" customFormat="1" outlineLevel="1">
      <c r="A37" s="141" t="s">
        <v>3478</v>
      </c>
      <c r="B37" s="175" t="s">
        <v>67</v>
      </c>
      <c r="C37" s="100" t="s">
        <v>1628</v>
      </c>
      <c r="D37" s="99" t="s">
        <v>1470</v>
      </c>
      <c r="E37" s="491">
        <v>203074.8</v>
      </c>
      <c r="F37" s="20">
        <f t="shared" si="2"/>
        <v>15.607142857142859</v>
      </c>
      <c r="G37" s="19">
        <f t="shared" si="0"/>
        <v>3169417.4142857147</v>
      </c>
      <c r="H37" s="19">
        <f t="shared" si="3"/>
        <v>14408171.565342857</v>
      </c>
      <c r="I37" s="114" t="s">
        <v>1522</v>
      </c>
      <c r="J37" s="210">
        <f>VLOOKUP(I37,'Reajuste Atual'!$L$19:$M$25,2,FALSE)</f>
        <v>3.5459999999999998</v>
      </c>
      <c r="K37" s="190"/>
      <c r="L37" s="20">
        <v>21.85</v>
      </c>
      <c r="M37" s="765">
        <f t="shared" si="4"/>
        <v>15.607142857142859</v>
      </c>
      <c r="N37" s="765">
        <f t="shared" si="5"/>
        <v>15.890909090909092</v>
      </c>
      <c r="O37" s="765">
        <f t="shared" si="1"/>
        <v>15.607142857142859</v>
      </c>
    </row>
    <row r="38" spans="1:15" s="98" customFormat="1" outlineLevel="1">
      <c r="A38" s="141" t="s">
        <v>3478</v>
      </c>
      <c r="B38" s="175" t="s">
        <v>68</v>
      </c>
      <c r="C38" s="100" t="s">
        <v>1629</v>
      </c>
      <c r="D38" s="99" t="s">
        <v>1472</v>
      </c>
      <c r="E38" s="491">
        <v>8286.84</v>
      </c>
      <c r="F38" s="20">
        <f t="shared" si="2"/>
        <v>7.5642857142857149</v>
      </c>
      <c r="G38" s="19">
        <f t="shared" si="0"/>
        <v>62684.025428571433</v>
      </c>
      <c r="H38" s="19">
        <f t="shared" si="3"/>
        <v>284961.57959828567</v>
      </c>
      <c r="I38" s="114" t="s">
        <v>1522</v>
      </c>
      <c r="J38" s="210">
        <f>VLOOKUP(I38,'Reajuste Atual'!$L$19:$M$25,2,FALSE)</f>
        <v>3.5459999999999998</v>
      </c>
      <c r="K38" s="190"/>
      <c r="L38" s="20">
        <v>10.59</v>
      </c>
      <c r="M38" s="765">
        <f t="shared" si="4"/>
        <v>7.5642857142857149</v>
      </c>
      <c r="N38" s="765">
        <f t="shared" si="5"/>
        <v>7.7018181818181821</v>
      </c>
      <c r="O38" s="765">
        <f t="shared" si="1"/>
        <v>7.5642857142857149</v>
      </c>
    </row>
    <row r="39" spans="1:15" s="98" customFormat="1" outlineLevel="1">
      <c r="A39" s="141" t="s">
        <v>3478</v>
      </c>
      <c r="B39" s="175" t="s">
        <v>69</v>
      </c>
      <c r="C39" s="100" t="s">
        <v>1588</v>
      </c>
      <c r="D39" s="99" t="s">
        <v>1470</v>
      </c>
      <c r="E39" s="491">
        <v>238273.45</v>
      </c>
      <c r="F39" s="20">
        <f t="shared" si="2"/>
        <v>10.72857142857143</v>
      </c>
      <c r="G39" s="19">
        <f t="shared" si="0"/>
        <v>2556333.7278571432</v>
      </c>
      <c r="H39" s="19">
        <f t="shared" si="3"/>
        <v>11621093.12683857</v>
      </c>
      <c r="I39" s="114" t="s">
        <v>1522</v>
      </c>
      <c r="J39" s="210">
        <f>VLOOKUP(I39,'Reajuste Atual'!$L$19:$M$25,2,FALSE)</f>
        <v>3.5459999999999998</v>
      </c>
      <c r="K39" s="190"/>
      <c r="L39" s="20">
        <v>15.02</v>
      </c>
      <c r="M39" s="765">
        <f t="shared" si="4"/>
        <v>10.72857142857143</v>
      </c>
      <c r="N39" s="765">
        <f t="shared" si="5"/>
        <v>10.923636363636364</v>
      </c>
      <c r="O39" s="765">
        <f t="shared" si="1"/>
        <v>10.72857142857143</v>
      </c>
    </row>
    <row r="40" spans="1:15" s="98" customFormat="1" outlineLevel="1">
      <c r="A40" s="141" t="s">
        <v>3478</v>
      </c>
      <c r="B40" s="175" t="s">
        <v>70</v>
      </c>
      <c r="C40" s="100" t="s">
        <v>1630</v>
      </c>
      <c r="D40" s="99" t="s">
        <v>1470</v>
      </c>
      <c r="E40" s="491">
        <v>239837.82</v>
      </c>
      <c r="F40" s="20">
        <f t="shared" si="2"/>
        <v>3.3714285714285714</v>
      </c>
      <c r="G40" s="19">
        <f t="shared" si="0"/>
        <v>808596.07885714283</v>
      </c>
      <c r="H40" s="19">
        <f t="shared" si="3"/>
        <v>3675877.7744845706</v>
      </c>
      <c r="I40" s="114" t="s">
        <v>1522</v>
      </c>
      <c r="J40" s="210">
        <f>VLOOKUP(I40,'Reajuste Atual'!$L$19:$M$25,2,FALSE)</f>
        <v>3.5459999999999998</v>
      </c>
      <c r="K40" s="190"/>
      <c r="L40" s="20">
        <v>4.72</v>
      </c>
      <c r="M40" s="765">
        <f t="shared" si="4"/>
        <v>3.3714285714285714</v>
      </c>
      <c r="N40" s="765">
        <f t="shared" si="5"/>
        <v>3.4327272727272726</v>
      </c>
      <c r="O40" s="765">
        <f t="shared" si="1"/>
        <v>3.3714285714285714</v>
      </c>
    </row>
    <row r="41" spans="1:15" s="98" customFormat="1" outlineLevel="1">
      <c r="A41" s="141" t="s">
        <v>3478</v>
      </c>
      <c r="B41" s="175" t="s">
        <v>71</v>
      </c>
      <c r="C41" s="100" t="s">
        <v>1631</v>
      </c>
      <c r="D41" s="99" t="s">
        <v>1472</v>
      </c>
      <c r="E41" s="491">
        <v>27.5</v>
      </c>
      <c r="F41" s="20">
        <f t="shared" si="2"/>
        <v>30.685714285714287</v>
      </c>
      <c r="G41" s="19">
        <f t="shared" si="0"/>
        <v>843.85714285714289</v>
      </c>
      <c r="H41" s="19">
        <f t="shared" si="3"/>
        <v>3836.1745714285712</v>
      </c>
      <c r="I41" s="114" t="s">
        <v>1522</v>
      </c>
      <c r="J41" s="210">
        <f>VLOOKUP(I41,'Reajuste Atual'!$L$19:$M$25,2,FALSE)</f>
        <v>3.5459999999999998</v>
      </c>
      <c r="K41" s="190"/>
      <c r="L41" s="20">
        <v>42.96</v>
      </c>
      <c r="M41" s="765">
        <f t="shared" si="4"/>
        <v>30.685714285714287</v>
      </c>
      <c r="N41" s="765">
        <f t="shared" si="5"/>
        <v>31.243636363636366</v>
      </c>
      <c r="O41" s="765">
        <f t="shared" si="1"/>
        <v>30.685714285714287</v>
      </c>
    </row>
    <row r="42" spans="1:15" s="98" customFormat="1" outlineLevel="1">
      <c r="A42" s="141" t="s">
        <v>3478</v>
      </c>
      <c r="B42" s="175" t="s">
        <v>72</v>
      </c>
      <c r="C42" s="100" t="s">
        <v>1632</v>
      </c>
      <c r="D42" s="99" t="s">
        <v>1470</v>
      </c>
      <c r="E42" s="491">
        <v>266134.40000000002</v>
      </c>
      <c r="F42" s="20">
        <f t="shared" si="2"/>
        <v>0.58571428571428574</v>
      </c>
      <c r="G42" s="19">
        <f t="shared" si="0"/>
        <v>155878.72000000003</v>
      </c>
      <c r="H42" s="19">
        <f t="shared" si="3"/>
        <v>708624.66112000006</v>
      </c>
      <c r="I42" s="114" t="s">
        <v>1522</v>
      </c>
      <c r="J42" s="210">
        <f>VLOOKUP(I42,'Reajuste Atual'!$L$19:$M$25,2,FALSE)</f>
        <v>3.5459999999999998</v>
      </c>
      <c r="K42" s="190"/>
      <c r="L42" s="20">
        <v>0.82</v>
      </c>
      <c r="M42" s="765">
        <f t="shared" si="4"/>
        <v>0.58571428571428574</v>
      </c>
      <c r="N42" s="765">
        <f t="shared" si="5"/>
        <v>0.59636363636363632</v>
      </c>
      <c r="O42" s="765">
        <f t="shared" si="1"/>
        <v>0.58571428571428574</v>
      </c>
    </row>
    <row r="43" spans="1:15" s="98" customFormat="1" outlineLevel="1">
      <c r="A43" s="141" t="s">
        <v>3478</v>
      </c>
      <c r="B43" s="180" t="s">
        <v>73</v>
      </c>
      <c r="C43" s="100" t="s">
        <v>1633</v>
      </c>
      <c r="D43" s="21" t="s">
        <v>1470</v>
      </c>
      <c r="E43" s="491">
        <v>198466.99</v>
      </c>
      <c r="F43" s="20">
        <f t="shared" si="2"/>
        <v>3.4428571428571431</v>
      </c>
      <c r="G43" s="19">
        <f t="shared" si="0"/>
        <v>683293.49414285715</v>
      </c>
      <c r="H43" s="19">
        <f t="shared" si="3"/>
        <v>3106252.2243734282</v>
      </c>
      <c r="I43" s="114" t="s">
        <v>1522</v>
      </c>
      <c r="J43" s="210">
        <f>VLOOKUP(I43,'Reajuste Atual'!$L$19:$M$25,2,FALSE)</f>
        <v>3.5459999999999998</v>
      </c>
      <c r="K43" s="190"/>
      <c r="L43" s="20">
        <v>4.82</v>
      </c>
      <c r="M43" s="765">
        <f t="shared" si="4"/>
        <v>3.4428571428571431</v>
      </c>
      <c r="N43" s="765">
        <f t="shared" si="5"/>
        <v>3.5054545454545458</v>
      </c>
      <c r="O43" s="765">
        <f t="shared" si="1"/>
        <v>3.4428571428571431</v>
      </c>
    </row>
    <row r="44" spans="1:15" s="98" customFormat="1" outlineLevel="1">
      <c r="A44" s="141" t="s">
        <v>3478</v>
      </c>
      <c r="B44" s="180" t="s">
        <v>74</v>
      </c>
      <c r="C44" s="100" t="s">
        <v>1634</v>
      </c>
      <c r="D44" s="47" t="s">
        <v>1472</v>
      </c>
      <c r="E44" s="491">
        <v>49</v>
      </c>
      <c r="F44" s="20">
        <f t="shared" si="2"/>
        <v>24.778571428571428</v>
      </c>
      <c r="G44" s="19">
        <f t="shared" si="0"/>
        <v>1214.1500000000001</v>
      </c>
      <c r="H44" s="19">
        <f t="shared" si="3"/>
        <v>4429.0977849999999</v>
      </c>
      <c r="I44" s="114" t="s">
        <v>1526</v>
      </c>
      <c r="J44" s="210">
        <f>VLOOKUP(I44,'Reajuste Atual'!$L$19:$M$25,2,FALSE)</f>
        <v>2.6478999999999999</v>
      </c>
      <c r="K44" s="190"/>
      <c r="L44" s="20">
        <v>34.69</v>
      </c>
      <c r="M44" s="765">
        <f t="shared" si="4"/>
        <v>24.778571428571428</v>
      </c>
      <c r="N44" s="765">
        <f t="shared" si="5"/>
        <v>25.229090909090907</v>
      </c>
      <c r="O44" s="765">
        <f t="shared" si="1"/>
        <v>24.778571428571428</v>
      </c>
    </row>
    <row r="45" spans="1:15" s="98" customFormat="1" outlineLevel="1">
      <c r="B45" s="179" t="s">
        <v>75</v>
      </c>
      <c r="C45" s="104" t="s">
        <v>1413</v>
      </c>
      <c r="D45" s="87"/>
      <c r="E45" s="88"/>
      <c r="F45" s="88"/>
      <c r="G45" s="88">
        <f>SUM(G46:G49)</f>
        <v>48349.302857142859</v>
      </c>
      <c r="H45" s="88">
        <f>SUM(H46:H49)</f>
        <v>188255.77214857141</v>
      </c>
      <c r="I45" s="112">
        <v>0</v>
      </c>
      <c r="J45" s="84"/>
      <c r="K45" s="192"/>
      <c r="L45" s="88"/>
      <c r="M45" s="765">
        <f t="shared" si="4"/>
        <v>0</v>
      </c>
      <c r="N45" s="765">
        <f t="shared" si="5"/>
        <v>0</v>
      </c>
      <c r="O45" s="765">
        <f t="shared" si="1"/>
        <v>0</v>
      </c>
    </row>
    <row r="46" spans="1:15" s="98" customFormat="1" outlineLevel="1">
      <c r="A46" s="141" t="s">
        <v>3478</v>
      </c>
      <c r="B46" s="175" t="s">
        <v>76</v>
      </c>
      <c r="C46" s="100" t="s">
        <v>1621</v>
      </c>
      <c r="D46" s="99" t="s">
        <v>1467</v>
      </c>
      <c r="E46" s="491">
        <v>577</v>
      </c>
      <c r="F46" s="20">
        <f t="shared" ref="F46:F49" si="6">O46</f>
        <v>12.907142857142858</v>
      </c>
      <c r="G46" s="19">
        <f>E46*F46</f>
        <v>7447.4214285714297</v>
      </c>
      <c r="H46" s="19">
        <f t="shared" ref="H46:H49" si="7">G46*(1+J46)</f>
        <v>25727.117325000003</v>
      </c>
      <c r="I46" s="114" t="s">
        <v>1523</v>
      </c>
      <c r="J46" s="210">
        <f>VLOOKUP(I46,'Reajuste Atual'!$L$19:$M$25,2,FALSE)</f>
        <v>2.4544999999999999</v>
      </c>
      <c r="K46" s="190"/>
      <c r="L46" s="20">
        <v>18.07</v>
      </c>
      <c r="M46" s="765">
        <f t="shared" si="4"/>
        <v>12.907142857142858</v>
      </c>
      <c r="N46" s="765">
        <f t="shared" si="5"/>
        <v>13.141818181818183</v>
      </c>
      <c r="O46" s="765">
        <f t="shared" si="1"/>
        <v>12.907142857142858</v>
      </c>
    </row>
    <row r="47" spans="1:15" s="98" customFormat="1" outlineLevel="1">
      <c r="A47" s="141" t="s">
        <v>3478</v>
      </c>
      <c r="B47" s="175" t="s">
        <v>77</v>
      </c>
      <c r="C47" s="100" t="s">
        <v>1584</v>
      </c>
      <c r="D47" s="99" t="s">
        <v>1467</v>
      </c>
      <c r="E47" s="491">
        <v>461.6</v>
      </c>
      <c r="F47" s="20">
        <f t="shared" si="6"/>
        <v>45.142857142857146</v>
      </c>
      <c r="G47" s="19">
        <f>E47*F47</f>
        <v>20837.942857142858</v>
      </c>
      <c r="H47" s="19">
        <f t="shared" si="7"/>
        <v>71984.673599999995</v>
      </c>
      <c r="I47" s="114" t="s">
        <v>1523</v>
      </c>
      <c r="J47" s="210">
        <f>VLOOKUP(I47,'Reajuste Atual'!$L$19:$M$25,2,FALSE)</f>
        <v>2.4544999999999999</v>
      </c>
      <c r="K47" s="190"/>
      <c r="L47" s="20">
        <v>63.2</v>
      </c>
      <c r="M47" s="765">
        <f t="shared" si="4"/>
        <v>45.142857142857146</v>
      </c>
      <c r="N47" s="765">
        <f t="shared" si="5"/>
        <v>45.963636363636368</v>
      </c>
      <c r="O47" s="765">
        <f t="shared" si="1"/>
        <v>45.142857142857146</v>
      </c>
    </row>
    <row r="48" spans="1:15" s="98" customFormat="1" outlineLevel="1">
      <c r="A48" s="141" t="s">
        <v>3478</v>
      </c>
      <c r="B48" s="175" t="s">
        <v>78</v>
      </c>
      <c r="C48" s="100" t="s">
        <v>1630</v>
      </c>
      <c r="D48" s="99" t="s">
        <v>1470</v>
      </c>
      <c r="E48" s="491">
        <v>5770</v>
      </c>
      <c r="F48" s="20">
        <f t="shared" si="6"/>
        <v>3.3714285714285714</v>
      </c>
      <c r="G48" s="19">
        <f>E48*F48</f>
        <v>19453.142857142859</v>
      </c>
      <c r="H48" s="19">
        <f t="shared" si="7"/>
        <v>88433.987428571418</v>
      </c>
      <c r="I48" s="114" t="s">
        <v>1522</v>
      </c>
      <c r="J48" s="210">
        <f>VLOOKUP(I48,'Reajuste Atual'!$L$19:$M$25,2,FALSE)</f>
        <v>3.5459999999999998</v>
      </c>
      <c r="K48" s="190"/>
      <c r="L48" s="20">
        <v>4.72</v>
      </c>
      <c r="M48" s="765">
        <f t="shared" si="4"/>
        <v>3.3714285714285714</v>
      </c>
      <c r="N48" s="765">
        <f t="shared" si="5"/>
        <v>3.4327272727272726</v>
      </c>
      <c r="O48" s="765">
        <f t="shared" si="1"/>
        <v>3.3714285714285714</v>
      </c>
    </row>
    <row r="49" spans="1:15" s="98" customFormat="1" outlineLevel="1">
      <c r="A49" s="141" t="s">
        <v>3478</v>
      </c>
      <c r="B49" s="175" t="s">
        <v>79</v>
      </c>
      <c r="C49" s="100" t="s">
        <v>1635</v>
      </c>
      <c r="D49" s="99" t="s">
        <v>1467</v>
      </c>
      <c r="E49" s="491">
        <v>115.4</v>
      </c>
      <c r="F49" s="20">
        <f t="shared" si="6"/>
        <v>5.2928571428571436</v>
      </c>
      <c r="G49" s="19">
        <f>E49*F49</f>
        <v>610.79571428571444</v>
      </c>
      <c r="H49" s="19">
        <f t="shared" si="7"/>
        <v>2109.9937950000003</v>
      </c>
      <c r="I49" s="114" t="s">
        <v>1523</v>
      </c>
      <c r="J49" s="210">
        <f>VLOOKUP(I49,'Reajuste Atual'!$L$19:$M$25,2,FALSE)</f>
        <v>2.4544999999999999</v>
      </c>
      <c r="K49" s="190"/>
      <c r="L49" s="20">
        <v>7.41</v>
      </c>
      <c r="M49" s="765">
        <f t="shared" si="4"/>
        <v>5.2928571428571436</v>
      </c>
      <c r="N49" s="765">
        <f t="shared" si="5"/>
        <v>5.3890909090909096</v>
      </c>
      <c r="O49" s="765">
        <f t="shared" si="1"/>
        <v>5.2928571428571436</v>
      </c>
    </row>
    <row r="50" spans="1:15" s="98" customFormat="1" outlineLevel="1">
      <c r="B50" s="179" t="s">
        <v>80</v>
      </c>
      <c r="C50" s="104" t="s">
        <v>1414</v>
      </c>
      <c r="D50" s="81"/>
      <c r="E50" s="88"/>
      <c r="F50" s="83"/>
      <c r="G50" s="88">
        <f>SUM(G51:G59)</f>
        <v>326927.22050000005</v>
      </c>
      <c r="H50" s="88">
        <f>SUM(H51:H59)</f>
        <v>1210796.2476516431</v>
      </c>
      <c r="I50" s="112">
        <v>0</v>
      </c>
      <c r="J50" s="84"/>
      <c r="K50" s="192"/>
      <c r="L50" s="83"/>
      <c r="M50" s="765">
        <f t="shared" si="4"/>
        <v>0</v>
      </c>
      <c r="N50" s="765">
        <f t="shared" si="5"/>
        <v>0</v>
      </c>
      <c r="O50" s="765">
        <f t="shared" si="1"/>
        <v>0</v>
      </c>
    </row>
    <row r="51" spans="1:15" s="98" customFormat="1" outlineLevel="1">
      <c r="A51" s="141" t="s">
        <v>3478</v>
      </c>
      <c r="B51" s="175" t="s">
        <v>81</v>
      </c>
      <c r="C51" s="100" t="s">
        <v>1576</v>
      </c>
      <c r="D51" s="99" t="s">
        <v>1469</v>
      </c>
      <c r="E51" s="491">
        <v>1.61</v>
      </c>
      <c r="F51" s="20">
        <f t="shared" ref="F51:F59" si="8">O51</f>
        <v>1186.2428571428572</v>
      </c>
      <c r="G51" s="19">
        <f t="shared" ref="G51:G59" si="9">E51*F51</f>
        <v>1909.8510000000003</v>
      </c>
      <c r="H51" s="19">
        <f t="shared" ref="H51:H59" si="10">G51*(1+J51)</f>
        <v>6597.5802795000009</v>
      </c>
      <c r="I51" s="114" t="s">
        <v>1523</v>
      </c>
      <c r="J51" s="210">
        <f>VLOOKUP(I51,'Reajuste Atual'!$L$19:$M$25,2,FALSE)</f>
        <v>2.4544999999999999</v>
      </c>
      <c r="K51" s="190"/>
      <c r="L51" s="20">
        <v>1660.74</v>
      </c>
      <c r="M51" s="765">
        <f t="shared" si="4"/>
        <v>1186.2428571428572</v>
      </c>
      <c r="N51" s="765">
        <f t="shared" si="5"/>
        <v>1207.810909090909</v>
      </c>
      <c r="O51" s="765">
        <f t="shared" si="1"/>
        <v>1186.2428571428572</v>
      </c>
    </row>
    <row r="52" spans="1:15" s="98" customFormat="1" outlineLevel="1">
      <c r="A52" s="141" t="s">
        <v>3478</v>
      </c>
      <c r="B52" s="175" t="s">
        <v>82</v>
      </c>
      <c r="C52" s="100" t="s">
        <v>1622</v>
      </c>
      <c r="D52" s="99" t="s">
        <v>1467</v>
      </c>
      <c r="E52" s="491">
        <v>1236</v>
      </c>
      <c r="F52" s="20">
        <f t="shared" si="8"/>
        <v>1.3357142857142859</v>
      </c>
      <c r="G52" s="19">
        <f t="shared" si="9"/>
        <v>1650.9428571428573</v>
      </c>
      <c r="H52" s="19">
        <f t="shared" si="10"/>
        <v>5703.1821</v>
      </c>
      <c r="I52" s="114" t="s">
        <v>1523</v>
      </c>
      <c r="J52" s="210">
        <f>VLOOKUP(I52,'Reajuste Atual'!$L$19:$M$25,2,FALSE)</f>
        <v>2.4544999999999999</v>
      </c>
      <c r="K52" s="190"/>
      <c r="L52" s="20">
        <v>1.87</v>
      </c>
      <c r="M52" s="765">
        <f t="shared" si="4"/>
        <v>1.3357142857142859</v>
      </c>
      <c r="N52" s="765">
        <f t="shared" si="5"/>
        <v>1.36</v>
      </c>
      <c r="O52" s="765">
        <f t="shared" si="1"/>
        <v>1.3357142857142859</v>
      </c>
    </row>
    <row r="53" spans="1:15" s="98" customFormat="1" outlineLevel="1">
      <c r="A53" s="141" t="s">
        <v>3478</v>
      </c>
      <c r="B53" s="175" t="s">
        <v>83</v>
      </c>
      <c r="C53" s="100" t="s">
        <v>1573</v>
      </c>
      <c r="D53" s="99" t="s">
        <v>1467</v>
      </c>
      <c r="E53" s="491">
        <v>309</v>
      </c>
      <c r="F53" s="20">
        <f t="shared" si="8"/>
        <v>12.907142857142858</v>
      </c>
      <c r="G53" s="19">
        <f t="shared" si="9"/>
        <v>3988.3071428571434</v>
      </c>
      <c r="H53" s="19">
        <f t="shared" si="10"/>
        <v>13777.607025000001</v>
      </c>
      <c r="I53" s="114" t="s">
        <v>1523</v>
      </c>
      <c r="J53" s="210">
        <f>VLOOKUP(I53,'Reajuste Atual'!$L$19:$M$25,2,FALSE)</f>
        <v>2.4544999999999999</v>
      </c>
      <c r="K53" s="190"/>
      <c r="L53" s="20">
        <v>18.07</v>
      </c>
      <c r="M53" s="765">
        <f t="shared" si="4"/>
        <v>12.907142857142858</v>
      </c>
      <c r="N53" s="765">
        <f t="shared" si="5"/>
        <v>13.141818181818183</v>
      </c>
      <c r="O53" s="765">
        <f t="shared" si="1"/>
        <v>12.907142857142858</v>
      </c>
    </row>
    <row r="54" spans="1:15" s="98" customFormat="1" outlineLevel="1">
      <c r="A54" s="141" t="s">
        <v>3478</v>
      </c>
      <c r="B54" s="175" t="s">
        <v>84</v>
      </c>
      <c r="C54" s="100" t="s">
        <v>1582</v>
      </c>
      <c r="D54" s="99" t="s">
        <v>1475</v>
      </c>
      <c r="E54" s="491">
        <v>11750.5</v>
      </c>
      <c r="F54" s="20">
        <f t="shared" si="8"/>
        <v>0.8214285714285714</v>
      </c>
      <c r="G54" s="19">
        <f t="shared" si="9"/>
        <v>9652.1964285714275</v>
      </c>
      <c r="H54" s="19">
        <f t="shared" si="10"/>
        <v>33343.512562499993</v>
      </c>
      <c r="I54" s="114" t="s">
        <v>1523</v>
      </c>
      <c r="J54" s="210">
        <f>VLOOKUP(I54,'Reajuste Atual'!$L$19:$M$25,2,FALSE)</f>
        <v>2.4544999999999999</v>
      </c>
      <c r="K54" s="190"/>
      <c r="L54" s="20">
        <v>1.1499999999999999</v>
      </c>
      <c r="M54" s="765">
        <f t="shared" si="4"/>
        <v>0.8214285714285714</v>
      </c>
      <c r="N54" s="765">
        <f t="shared" si="5"/>
        <v>0.83636363636363631</v>
      </c>
      <c r="O54" s="765">
        <f t="shared" si="1"/>
        <v>0.8214285714285714</v>
      </c>
    </row>
    <row r="55" spans="1:15" s="98" customFormat="1" outlineLevel="1">
      <c r="A55" s="141" t="s">
        <v>3478</v>
      </c>
      <c r="B55" s="175" t="s">
        <v>85</v>
      </c>
      <c r="C55" s="100" t="s">
        <v>1570</v>
      </c>
      <c r="D55" s="99" t="s">
        <v>1470</v>
      </c>
      <c r="E55" s="491">
        <v>3093.7</v>
      </c>
      <c r="F55" s="20">
        <f t="shared" si="8"/>
        <v>38.228571428571435</v>
      </c>
      <c r="G55" s="19">
        <f t="shared" si="9"/>
        <v>118267.73142857144</v>
      </c>
      <c r="H55" s="19">
        <f t="shared" si="10"/>
        <v>431428.85747828573</v>
      </c>
      <c r="I55" s="114" t="s">
        <v>1526</v>
      </c>
      <c r="J55" s="210">
        <f>VLOOKUP(I55,'Reajuste Atual'!$L$19:$M$25,2,FALSE)</f>
        <v>2.6478999999999999</v>
      </c>
      <c r="K55" s="190"/>
      <c r="L55" s="20">
        <v>53.52</v>
      </c>
      <c r="M55" s="765">
        <f t="shared" si="4"/>
        <v>38.228571428571435</v>
      </c>
      <c r="N55" s="765">
        <f t="shared" si="5"/>
        <v>38.923636363636369</v>
      </c>
      <c r="O55" s="765">
        <f t="shared" si="1"/>
        <v>38.228571428571435</v>
      </c>
    </row>
    <row r="56" spans="1:15" s="98" customFormat="1" outlineLevel="1">
      <c r="A56" s="141" t="s">
        <v>3478</v>
      </c>
      <c r="B56" s="175" t="s">
        <v>86</v>
      </c>
      <c r="C56" s="100" t="s">
        <v>1571</v>
      </c>
      <c r="D56" s="99" t="s">
        <v>1471</v>
      </c>
      <c r="E56" s="491">
        <v>33124.800000000003</v>
      </c>
      <c r="F56" s="20">
        <f t="shared" si="8"/>
        <v>2.7642857142857147</v>
      </c>
      <c r="G56" s="19">
        <f t="shared" si="9"/>
        <v>91566.411428571446</v>
      </c>
      <c r="H56" s="19">
        <f t="shared" si="10"/>
        <v>334025.11225028575</v>
      </c>
      <c r="I56" s="114" t="s">
        <v>1526</v>
      </c>
      <c r="J56" s="210">
        <f>VLOOKUP(I56,'Reajuste Atual'!$L$19:$M$25,2,FALSE)</f>
        <v>2.6478999999999999</v>
      </c>
      <c r="K56" s="190"/>
      <c r="L56" s="20">
        <v>3.87</v>
      </c>
      <c r="M56" s="765">
        <f t="shared" si="4"/>
        <v>2.7642857142857147</v>
      </c>
      <c r="N56" s="765">
        <f t="shared" si="5"/>
        <v>2.8145454545454545</v>
      </c>
      <c r="O56" s="765">
        <f t="shared" si="1"/>
        <v>2.7642857142857147</v>
      </c>
    </row>
    <row r="57" spans="1:15" s="98" customFormat="1" outlineLevel="1">
      <c r="A57" s="141" t="s">
        <v>3478</v>
      </c>
      <c r="B57" s="175" t="s">
        <v>87</v>
      </c>
      <c r="C57" s="100" t="s">
        <v>1636</v>
      </c>
      <c r="D57" s="99" t="s">
        <v>1467</v>
      </c>
      <c r="E57" s="491">
        <v>370.8</v>
      </c>
      <c r="F57" s="20">
        <f t="shared" si="8"/>
        <v>203.15000000000003</v>
      </c>
      <c r="G57" s="19">
        <f t="shared" si="9"/>
        <v>75328.020000000019</v>
      </c>
      <c r="H57" s="19">
        <f t="shared" si="10"/>
        <v>274789.08415800007</v>
      </c>
      <c r="I57" s="114" t="s">
        <v>1526</v>
      </c>
      <c r="J57" s="210">
        <f>VLOOKUP(I57,'Reajuste Atual'!$L$19:$M$25,2,FALSE)</f>
        <v>2.6478999999999999</v>
      </c>
      <c r="K57" s="190"/>
      <c r="L57" s="20">
        <v>284.41000000000003</v>
      </c>
      <c r="M57" s="765">
        <f t="shared" si="4"/>
        <v>203.15000000000003</v>
      </c>
      <c r="N57" s="765">
        <f t="shared" si="5"/>
        <v>206.84363636363639</v>
      </c>
      <c r="O57" s="765">
        <f t="shared" si="1"/>
        <v>203.15000000000003</v>
      </c>
    </row>
    <row r="58" spans="1:15" s="98" customFormat="1" outlineLevel="1">
      <c r="A58" s="141" t="s">
        <v>3478</v>
      </c>
      <c r="B58" s="175" t="s">
        <v>88</v>
      </c>
      <c r="C58" s="100" t="s">
        <v>1629</v>
      </c>
      <c r="D58" s="99" t="s">
        <v>1472</v>
      </c>
      <c r="E58" s="491">
        <v>3182.47</v>
      </c>
      <c r="F58" s="20">
        <f t="shared" si="8"/>
        <v>7.5642857142857149</v>
      </c>
      <c r="G58" s="19">
        <f t="shared" si="9"/>
        <v>24073.112357142858</v>
      </c>
      <c r="H58" s="19">
        <f t="shared" si="10"/>
        <v>109436.36877557142</v>
      </c>
      <c r="I58" s="114" t="s">
        <v>1522</v>
      </c>
      <c r="J58" s="210">
        <f>VLOOKUP(I58,'Reajuste Atual'!$L$19:$M$25,2,FALSE)</f>
        <v>3.5459999999999998</v>
      </c>
      <c r="K58" s="190"/>
      <c r="L58" s="20">
        <v>10.59</v>
      </c>
      <c r="M58" s="765">
        <f t="shared" si="4"/>
        <v>7.5642857142857149</v>
      </c>
      <c r="N58" s="765">
        <f t="shared" si="5"/>
        <v>7.7018181818181821</v>
      </c>
      <c r="O58" s="765">
        <f t="shared" si="1"/>
        <v>7.5642857142857149</v>
      </c>
    </row>
    <row r="59" spans="1:15" s="98" customFormat="1" outlineLevel="1">
      <c r="A59" s="141" t="s">
        <v>3478</v>
      </c>
      <c r="B59" s="175" t="s">
        <v>89</v>
      </c>
      <c r="C59" s="100" t="s">
        <v>1569</v>
      </c>
      <c r="D59" s="99" t="s">
        <v>1472</v>
      </c>
      <c r="E59" s="491">
        <v>92.7</v>
      </c>
      <c r="F59" s="20">
        <f t="shared" si="8"/>
        <v>5.2928571428571436</v>
      </c>
      <c r="G59" s="19">
        <f t="shared" si="9"/>
        <v>490.64785714285722</v>
      </c>
      <c r="H59" s="19">
        <f t="shared" si="10"/>
        <v>1694.9430225000003</v>
      </c>
      <c r="I59" s="114" t="s">
        <v>1523</v>
      </c>
      <c r="J59" s="210">
        <f>VLOOKUP(I59,'Reajuste Atual'!$L$19:$M$25,2,FALSE)</f>
        <v>2.4544999999999999</v>
      </c>
      <c r="K59" s="190"/>
      <c r="L59" s="20">
        <v>7.41</v>
      </c>
      <c r="M59" s="765">
        <f t="shared" si="4"/>
        <v>5.2928571428571436</v>
      </c>
      <c r="N59" s="765">
        <f t="shared" si="5"/>
        <v>5.3890909090909096</v>
      </c>
      <c r="O59" s="765">
        <f t="shared" si="1"/>
        <v>5.2928571428571436</v>
      </c>
    </row>
    <row r="60" spans="1:15" s="98" customFormat="1" outlineLevel="1">
      <c r="B60" s="184" t="s">
        <v>90</v>
      </c>
      <c r="C60" s="105" t="s">
        <v>1415</v>
      </c>
      <c r="D60" s="93"/>
      <c r="E60" s="88"/>
      <c r="F60" s="83"/>
      <c r="G60" s="88">
        <f>SUM(G61:G67)</f>
        <v>19905.95842857143</v>
      </c>
      <c r="H60" s="88">
        <f>SUM(H61:H67)</f>
        <v>73511.104163235737</v>
      </c>
      <c r="I60" s="112">
        <v>0</v>
      </c>
      <c r="J60" s="84"/>
      <c r="K60" s="192"/>
      <c r="L60" s="83"/>
      <c r="M60" s="765">
        <f t="shared" si="4"/>
        <v>0</v>
      </c>
      <c r="N60" s="765">
        <f t="shared" si="5"/>
        <v>0</v>
      </c>
      <c r="O60" s="765">
        <f t="shared" si="1"/>
        <v>0</v>
      </c>
    </row>
    <row r="61" spans="1:15" s="98" customFormat="1" outlineLevel="1">
      <c r="A61" s="141" t="s">
        <v>3478</v>
      </c>
      <c r="B61" s="180" t="s">
        <v>91</v>
      </c>
      <c r="C61" s="100" t="s">
        <v>1572</v>
      </c>
      <c r="D61" s="21" t="s">
        <v>1467</v>
      </c>
      <c r="E61" s="491">
        <v>2.4</v>
      </c>
      <c r="F61" s="20">
        <f t="shared" ref="F61:F67" si="11">O61</f>
        <v>168.82857142857145</v>
      </c>
      <c r="G61" s="19">
        <f t="shared" ref="G61:G67" si="12">E61*F61</f>
        <v>405.18857142857149</v>
      </c>
      <c r="H61" s="19">
        <f t="shared" ref="H61:H67" si="13">G61*(1+J61)</f>
        <v>1478.087389714286</v>
      </c>
      <c r="I61" s="114" t="s">
        <v>1526</v>
      </c>
      <c r="J61" s="210">
        <f>VLOOKUP(I61,'Reajuste Atual'!$L$19:$M$25,2,FALSE)</f>
        <v>2.6478999999999999</v>
      </c>
      <c r="K61" s="190"/>
      <c r="L61" s="20">
        <v>236.36</v>
      </c>
      <c r="M61" s="765">
        <f t="shared" si="4"/>
        <v>168.82857142857145</v>
      </c>
      <c r="N61" s="765">
        <f t="shared" si="5"/>
        <v>171.89818181818183</v>
      </c>
      <c r="O61" s="765">
        <f t="shared" si="1"/>
        <v>168.82857142857145</v>
      </c>
    </row>
    <row r="62" spans="1:15" s="98" customFormat="1" outlineLevel="1">
      <c r="A62" s="141" t="s">
        <v>3478</v>
      </c>
      <c r="B62" s="180" t="s">
        <v>92</v>
      </c>
      <c r="C62" s="100" t="s">
        <v>1637</v>
      </c>
      <c r="D62" s="21" t="s">
        <v>1471</v>
      </c>
      <c r="E62" s="491">
        <v>3185.12</v>
      </c>
      <c r="F62" s="20">
        <f t="shared" si="11"/>
        <v>2.7642857142857147</v>
      </c>
      <c r="G62" s="19">
        <f t="shared" si="12"/>
        <v>8804.5817142857159</v>
      </c>
      <c r="H62" s="19">
        <f t="shared" si="13"/>
        <v>32118.233635542863</v>
      </c>
      <c r="I62" s="114" t="s">
        <v>1526</v>
      </c>
      <c r="J62" s="210">
        <f>VLOOKUP(I62,'Reajuste Atual'!$L$19:$M$25,2,FALSE)</f>
        <v>2.6478999999999999</v>
      </c>
      <c r="K62" s="190"/>
      <c r="L62" s="20">
        <v>3.87</v>
      </c>
      <c r="M62" s="765">
        <f t="shared" si="4"/>
        <v>2.7642857142857147</v>
      </c>
      <c r="N62" s="765">
        <f t="shared" si="5"/>
        <v>2.8145454545454545</v>
      </c>
      <c r="O62" s="765">
        <f t="shared" si="1"/>
        <v>2.7642857142857147</v>
      </c>
    </row>
    <row r="63" spans="1:15" s="98" customFormat="1" outlineLevel="1">
      <c r="A63" s="141" t="s">
        <v>3478</v>
      </c>
      <c r="B63" s="180" t="s">
        <v>93</v>
      </c>
      <c r="C63" s="100" t="s">
        <v>1570</v>
      </c>
      <c r="D63" s="21" t="s">
        <v>1470</v>
      </c>
      <c r="E63" s="491">
        <v>141.12</v>
      </c>
      <c r="F63" s="20">
        <f t="shared" si="11"/>
        <v>38.228571428571435</v>
      </c>
      <c r="G63" s="19">
        <f t="shared" si="12"/>
        <v>5394.8160000000007</v>
      </c>
      <c r="H63" s="19">
        <f t="shared" si="13"/>
        <v>19679.749286400001</v>
      </c>
      <c r="I63" s="114" t="s">
        <v>1526</v>
      </c>
      <c r="J63" s="210">
        <f>VLOOKUP(I63,'Reajuste Atual'!$L$19:$M$25,2,FALSE)</f>
        <v>2.6478999999999999</v>
      </c>
      <c r="K63" s="190"/>
      <c r="L63" s="20">
        <v>53.52</v>
      </c>
      <c r="M63" s="765">
        <f t="shared" si="4"/>
        <v>38.228571428571435</v>
      </c>
      <c r="N63" s="765">
        <f t="shared" si="5"/>
        <v>38.923636363636369</v>
      </c>
      <c r="O63" s="765">
        <f t="shared" si="1"/>
        <v>38.228571428571435</v>
      </c>
    </row>
    <row r="64" spans="1:15" s="98" customFormat="1" outlineLevel="1">
      <c r="A64" s="141" t="s">
        <v>3478</v>
      </c>
      <c r="B64" s="180" t="s">
        <v>94</v>
      </c>
      <c r="C64" s="100" t="s">
        <v>1636</v>
      </c>
      <c r="D64" s="21" t="s">
        <v>1467</v>
      </c>
      <c r="E64" s="491">
        <v>20.81</v>
      </c>
      <c r="F64" s="20">
        <f t="shared" si="11"/>
        <v>203.15000000000003</v>
      </c>
      <c r="G64" s="19">
        <f t="shared" si="12"/>
        <v>4227.5515000000005</v>
      </c>
      <c r="H64" s="19">
        <f t="shared" si="13"/>
        <v>15421.685116850002</v>
      </c>
      <c r="I64" s="114" t="s">
        <v>1526</v>
      </c>
      <c r="J64" s="210">
        <f>VLOOKUP(I64,'Reajuste Atual'!$L$19:$M$25,2,FALSE)</f>
        <v>2.6478999999999999</v>
      </c>
      <c r="K64" s="190"/>
      <c r="L64" s="20">
        <v>284.41000000000003</v>
      </c>
      <c r="M64" s="765">
        <f t="shared" si="4"/>
        <v>203.15000000000003</v>
      </c>
      <c r="N64" s="765">
        <f t="shared" si="5"/>
        <v>206.84363636363639</v>
      </c>
      <c r="O64" s="765">
        <f t="shared" si="1"/>
        <v>203.15000000000003</v>
      </c>
    </row>
    <row r="65" spans="1:15" s="98" customFormat="1" outlineLevel="1">
      <c r="A65" s="141" t="s">
        <v>3478</v>
      </c>
      <c r="B65" s="180" t="s">
        <v>95</v>
      </c>
      <c r="C65" s="100" t="s">
        <v>1629</v>
      </c>
      <c r="D65" s="21" t="s">
        <v>1472</v>
      </c>
      <c r="E65" s="491">
        <v>13.07</v>
      </c>
      <c r="F65" s="20">
        <f t="shared" si="11"/>
        <v>7.5642857142857149</v>
      </c>
      <c r="G65" s="19">
        <f t="shared" si="12"/>
        <v>98.865214285714302</v>
      </c>
      <c r="H65" s="19">
        <f t="shared" si="13"/>
        <v>449.44126414285716</v>
      </c>
      <c r="I65" s="114" t="s">
        <v>1522</v>
      </c>
      <c r="J65" s="210">
        <f>VLOOKUP(I65,'Reajuste Atual'!$L$19:$M$25,2,FALSE)</f>
        <v>3.5459999999999998</v>
      </c>
      <c r="K65" s="190"/>
      <c r="L65" s="20">
        <v>10.59</v>
      </c>
      <c r="M65" s="765">
        <f t="shared" si="4"/>
        <v>7.5642857142857149</v>
      </c>
      <c r="N65" s="765">
        <f t="shared" si="5"/>
        <v>7.7018181818181821</v>
      </c>
      <c r="O65" s="765">
        <f t="shared" si="1"/>
        <v>7.5642857142857149</v>
      </c>
    </row>
    <row r="66" spans="1:15" s="98" customFormat="1" outlineLevel="1">
      <c r="A66" s="141" t="s">
        <v>3478</v>
      </c>
      <c r="B66" s="180" t="s">
        <v>96</v>
      </c>
      <c r="C66" s="100" t="s">
        <v>1416</v>
      </c>
      <c r="D66" s="21" t="s">
        <v>1472</v>
      </c>
      <c r="E66" s="491">
        <v>12.21</v>
      </c>
      <c r="F66" s="20">
        <f t="shared" si="11"/>
        <v>67.164285714285725</v>
      </c>
      <c r="G66" s="19">
        <f t="shared" si="12"/>
        <v>820.07592857142879</v>
      </c>
      <c r="H66" s="19">
        <f t="shared" si="13"/>
        <v>3728.0651712857148</v>
      </c>
      <c r="I66" s="114" t="s">
        <v>1522</v>
      </c>
      <c r="J66" s="210">
        <f>VLOOKUP(I66,'Reajuste Atual'!$L$19:$M$25,2,FALSE)</f>
        <v>3.5459999999999998</v>
      </c>
      <c r="K66" s="190"/>
      <c r="L66" s="20">
        <v>94.03</v>
      </c>
      <c r="M66" s="765">
        <f t="shared" si="4"/>
        <v>67.164285714285725</v>
      </c>
      <c r="N66" s="765">
        <f t="shared" si="5"/>
        <v>68.38545454545455</v>
      </c>
      <c r="O66" s="765">
        <f t="shared" si="1"/>
        <v>67.164285714285725</v>
      </c>
    </row>
    <row r="67" spans="1:15" s="98" customFormat="1" outlineLevel="1">
      <c r="A67" s="141" t="s">
        <v>3478</v>
      </c>
      <c r="B67" s="180" t="s">
        <v>97</v>
      </c>
      <c r="C67" s="100" t="s">
        <v>1638</v>
      </c>
      <c r="D67" s="21" t="s">
        <v>1472</v>
      </c>
      <c r="E67" s="491">
        <v>13.07</v>
      </c>
      <c r="F67" s="20">
        <f t="shared" si="11"/>
        <v>11.850000000000001</v>
      </c>
      <c r="G67" s="19">
        <f t="shared" si="12"/>
        <v>154.87950000000004</v>
      </c>
      <c r="H67" s="19">
        <f t="shared" si="13"/>
        <v>635.84229930000004</v>
      </c>
      <c r="I67" s="114" t="s">
        <v>1521</v>
      </c>
      <c r="J67" s="210">
        <f>VLOOKUP(I67,'Reajuste Atual'!$L$19:$M$25,2,FALSE)</f>
        <v>3.1053999999999999</v>
      </c>
      <c r="K67" s="190"/>
      <c r="L67" s="20">
        <v>16.59</v>
      </c>
      <c r="M67" s="765">
        <f t="shared" si="4"/>
        <v>11.850000000000001</v>
      </c>
      <c r="N67" s="765">
        <f t="shared" si="5"/>
        <v>12.065454545454545</v>
      </c>
      <c r="O67" s="765">
        <f t="shared" si="1"/>
        <v>11.850000000000001</v>
      </c>
    </row>
    <row r="68" spans="1:15" s="98" customFormat="1" outlineLevel="1">
      <c r="B68" s="178" t="s">
        <v>98</v>
      </c>
      <c r="C68" s="102" t="s">
        <v>1417</v>
      </c>
      <c r="D68" s="91"/>
      <c r="E68" s="64"/>
      <c r="F68" s="64"/>
      <c r="G68" s="64">
        <f>G69+G91</f>
        <v>642127.32803896116</v>
      </c>
      <c r="H68" s="64">
        <f>H69+H91</f>
        <v>2507421.3588218931</v>
      </c>
      <c r="I68" s="111">
        <v>0</v>
      </c>
      <c r="J68" s="86"/>
      <c r="K68" s="191"/>
      <c r="L68" s="64"/>
      <c r="M68" s="765">
        <f t="shared" si="4"/>
        <v>0</v>
      </c>
      <c r="N68" s="765">
        <f t="shared" si="5"/>
        <v>0</v>
      </c>
      <c r="O68" s="765">
        <f t="shared" si="1"/>
        <v>0</v>
      </c>
    </row>
    <row r="69" spans="1:15" s="98" customFormat="1" outlineLevel="1">
      <c r="B69" s="179" t="s">
        <v>99</v>
      </c>
      <c r="C69" s="106" t="s">
        <v>1394</v>
      </c>
      <c r="D69" s="81"/>
      <c r="E69" s="88"/>
      <c r="F69" s="89"/>
      <c r="G69" s="88">
        <f>SUM(G70:G90)</f>
        <v>340527.74985714298</v>
      </c>
      <c r="H69" s="88">
        <f>SUM(H70:H90)</f>
        <v>1269234.4505542573</v>
      </c>
      <c r="I69" s="112">
        <v>0</v>
      </c>
      <c r="J69" s="84"/>
      <c r="K69" s="192"/>
      <c r="L69" s="89"/>
      <c r="M69" s="765">
        <f t="shared" si="4"/>
        <v>0</v>
      </c>
      <c r="N69" s="765">
        <f t="shared" si="5"/>
        <v>0</v>
      </c>
      <c r="O69" s="765">
        <f t="shared" si="1"/>
        <v>0</v>
      </c>
    </row>
    <row r="70" spans="1:15" s="98" customFormat="1" outlineLevel="1">
      <c r="A70" s="141" t="s">
        <v>3478</v>
      </c>
      <c r="B70" s="175" t="s">
        <v>100</v>
      </c>
      <c r="C70" s="100" t="s">
        <v>1568</v>
      </c>
      <c r="D70" s="99" t="s">
        <v>1467</v>
      </c>
      <c r="E70" s="491">
        <v>2290.08</v>
      </c>
      <c r="F70" s="20">
        <f t="shared" ref="F70:F90" si="14">O70</f>
        <v>3.9571428571428573</v>
      </c>
      <c r="G70" s="19">
        <f t="shared" ref="G70:G90" si="15">E70*F70</f>
        <v>9062.1737142857146</v>
      </c>
      <c r="H70" s="19">
        <f t="shared" ref="H70:H90" si="16">G70*(1+J70)</f>
        <v>31305.279095999998</v>
      </c>
      <c r="I70" s="114" t="s">
        <v>1523</v>
      </c>
      <c r="J70" s="210">
        <f>VLOOKUP(I70,'Reajuste Atual'!$L$19:$M$25,2,FALSE)</f>
        <v>2.4544999999999999</v>
      </c>
      <c r="K70" s="190"/>
      <c r="L70" s="20">
        <v>5.54</v>
      </c>
      <c r="M70" s="765">
        <f t="shared" si="4"/>
        <v>3.9571428571428573</v>
      </c>
      <c r="N70" s="765">
        <f t="shared" si="5"/>
        <v>4.0290909090909093</v>
      </c>
      <c r="O70" s="765">
        <f t="shared" si="1"/>
        <v>3.9571428571428573</v>
      </c>
    </row>
    <row r="71" spans="1:15" s="98" customFormat="1" ht="31.5" outlineLevel="1">
      <c r="A71" s="141" t="s">
        <v>3478</v>
      </c>
      <c r="B71" s="175" t="s">
        <v>101</v>
      </c>
      <c r="C71" s="100" t="s">
        <v>1577</v>
      </c>
      <c r="D71" s="99" t="s">
        <v>1467</v>
      </c>
      <c r="E71" s="491">
        <v>701.28</v>
      </c>
      <c r="F71" s="20">
        <f t="shared" si="14"/>
        <v>6.9214285714285717</v>
      </c>
      <c r="G71" s="19">
        <f t="shared" si="15"/>
        <v>4853.8594285714289</v>
      </c>
      <c r="H71" s="19">
        <f t="shared" si="16"/>
        <v>16767.657396000002</v>
      </c>
      <c r="I71" s="114" t="s">
        <v>1523</v>
      </c>
      <c r="J71" s="210">
        <f>VLOOKUP(I71,'Reajuste Atual'!$L$19:$M$25,2,FALSE)</f>
        <v>2.4544999999999999</v>
      </c>
      <c r="K71" s="190"/>
      <c r="L71" s="20">
        <v>9.69</v>
      </c>
      <c r="M71" s="765">
        <f t="shared" si="4"/>
        <v>6.9214285714285717</v>
      </c>
      <c r="N71" s="765">
        <f t="shared" si="5"/>
        <v>7.0472727272727269</v>
      </c>
      <c r="O71" s="765">
        <f t="shared" si="1"/>
        <v>6.9214285714285717</v>
      </c>
    </row>
    <row r="72" spans="1:15" s="98" customFormat="1" outlineLevel="1">
      <c r="A72" s="141" t="s">
        <v>3478</v>
      </c>
      <c r="B72" s="175" t="s">
        <v>102</v>
      </c>
      <c r="C72" s="100" t="s">
        <v>1639</v>
      </c>
      <c r="D72" s="99" t="s">
        <v>1467</v>
      </c>
      <c r="E72" s="491">
        <v>26.66</v>
      </c>
      <c r="F72" s="20">
        <f t="shared" si="14"/>
        <v>8.2500000000000018</v>
      </c>
      <c r="G72" s="19">
        <f t="shared" si="15"/>
        <v>219.94500000000005</v>
      </c>
      <c r="H72" s="19">
        <f t="shared" si="16"/>
        <v>759.80000250000012</v>
      </c>
      <c r="I72" s="114" t="s">
        <v>1523</v>
      </c>
      <c r="J72" s="210">
        <f>VLOOKUP(I72,'Reajuste Atual'!$L$19:$M$25,2,FALSE)</f>
        <v>2.4544999999999999</v>
      </c>
      <c r="K72" s="190"/>
      <c r="L72" s="20">
        <v>11.55</v>
      </c>
      <c r="M72" s="765">
        <f t="shared" si="4"/>
        <v>8.2500000000000018</v>
      </c>
      <c r="N72" s="765">
        <f t="shared" si="5"/>
        <v>8.4</v>
      </c>
      <c r="O72" s="765">
        <f t="shared" si="1"/>
        <v>8.2500000000000018</v>
      </c>
    </row>
    <row r="73" spans="1:15" s="98" customFormat="1" outlineLevel="1">
      <c r="A73" s="141" t="s">
        <v>3478</v>
      </c>
      <c r="B73" s="175" t="s">
        <v>103</v>
      </c>
      <c r="C73" s="100" t="s">
        <v>1574</v>
      </c>
      <c r="D73" s="99" t="s">
        <v>1467</v>
      </c>
      <c r="E73" s="491">
        <v>38.020000000000003</v>
      </c>
      <c r="F73" s="20">
        <f t="shared" si="14"/>
        <v>168.82857142857145</v>
      </c>
      <c r="G73" s="19">
        <f t="shared" si="15"/>
        <v>6418.8622857142873</v>
      </c>
      <c r="H73" s="19">
        <f t="shared" si="16"/>
        <v>23415.367732057148</v>
      </c>
      <c r="I73" s="114" t="s">
        <v>1526</v>
      </c>
      <c r="J73" s="210">
        <f>VLOOKUP(I73,'Reajuste Atual'!$L$19:$M$25,2,FALSE)</f>
        <v>2.6478999999999999</v>
      </c>
      <c r="K73" s="190"/>
      <c r="L73" s="20">
        <v>236.36</v>
      </c>
      <c r="M73" s="765">
        <f t="shared" si="4"/>
        <v>168.82857142857145</v>
      </c>
      <c r="N73" s="765">
        <f t="shared" si="5"/>
        <v>171.89818181818183</v>
      </c>
      <c r="O73" s="765">
        <f t="shared" si="1"/>
        <v>168.82857142857145</v>
      </c>
    </row>
    <row r="74" spans="1:15" s="98" customFormat="1" outlineLevel="1">
      <c r="A74" s="141" t="s">
        <v>3478</v>
      </c>
      <c r="B74" s="175" t="s">
        <v>104</v>
      </c>
      <c r="C74" s="100" t="s">
        <v>1636</v>
      </c>
      <c r="D74" s="99" t="s">
        <v>1467</v>
      </c>
      <c r="E74" s="491">
        <v>330.85</v>
      </c>
      <c r="F74" s="20">
        <f t="shared" si="14"/>
        <v>203.15000000000003</v>
      </c>
      <c r="G74" s="19">
        <f t="shared" si="15"/>
        <v>67212.17750000002</v>
      </c>
      <c r="H74" s="19">
        <f t="shared" si="16"/>
        <v>245183.30230225006</v>
      </c>
      <c r="I74" s="114" t="s">
        <v>1526</v>
      </c>
      <c r="J74" s="210">
        <f>VLOOKUP(I74,'Reajuste Atual'!$L$19:$M$25,2,FALSE)</f>
        <v>2.6478999999999999</v>
      </c>
      <c r="K74" s="190"/>
      <c r="L74" s="20">
        <v>284.41000000000003</v>
      </c>
      <c r="M74" s="765">
        <f t="shared" si="4"/>
        <v>203.15000000000003</v>
      </c>
      <c r="N74" s="765">
        <f t="shared" si="5"/>
        <v>206.84363636363639</v>
      </c>
      <c r="O74" s="765">
        <f t="shared" si="1"/>
        <v>203.15000000000003</v>
      </c>
    </row>
    <row r="75" spans="1:15" s="98" customFormat="1" outlineLevel="1">
      <c r="A75" s="141" t="s">
        <v>3478</v>
      </c>
      <c r="B75" s="175" t="s">
        <v>105</v>
      </c>
      <c r="C75" s="100" t="s">
        <v>1570</v>
      </c>
      <c r="D75" s="99" t="s">
        <v>1470</v>
      </c>
      <c r="E75" s="491">
        <v>1787.55</v>
      </c>
      <c r="F75" s="20">
        <f t="shared" si="14"/>
        <v>38.228571428571435</v>
      </c>
      <c r="G75" s="19">
        <f t="shared" si="15"/>
        <v>68335.482857142866</v>
      </c>
      <c r="H75" s="19">
        <f t="shared" si="16"/>
        <v>249281.00791457147</v>
      </c>
      <c r="I75" s="114" t="s">
        <v>1526</v>
      </c>
      <c r="J75" s="210">
        <f>VLOOKUP(I75,'Reajuste Atual'!$L$19:$M$25,2,FALSE)</f>
        <v>2.6478999999999999</v>
      </c>
      <c r="K75" s="190"/>
      <c r="L75" s="20">
        <v>53.52</v>
      </c>
      <c r="M75" s="765">
        <f t="shared" si="4"/>
        <v>38.228571428571435</v>
      </c>
      <c r="N75" s="765">
        <f t="shared" si="5"/>
        <v>38.923636363636369</v>
      </c>
      <c r="O75" s="765">
        <f t="shared" si="1"/>
        <v>38.228571428571435</v>
      </c>
    </row>
    <row r="76" spans="1:15" s="98" customFormat="1" outlineLevel="1">
      <c r="A76" s="141" t="s">
        <v>3478</v>
      </c>
      <c r="B76" s="175" t="s">
        <v>106</v>
      </c>
      <c r="C76" s="100" t="s">
        <v>1637</v>
      </c>
      <c r="D76" s="99" t="s">
        <v>1478</v>
      </c>
      <c r="E76" s="491">
        <v>26556.15</v>
      </c>
      <c r="F76" s="20">
        <f t="shared" si="14"/>
        <v>2.7642857142857147</v>
      </c>
      <c r="G76" s="19">
        <f t="shared" si="15"/>
        <v>73408.786071428593</v>
      </c>
      <c r="H76" s="19">
        <f t="shared" si="16"/>
        <v>267787.91070996434</v>
      </c>
      <c r="I76" s="114" t="s">
        <v>1526</v>
      </c>
      <c r="J76" s="210">
        <f>VLOOKUP(I76,'Reajuste Atual'!$L$19:$M$25,2,FALSE)</f>
        <v>2.6478999999999999</v>
      </c>
      <c r="K76" s="190"/>
      <c r="L76" s="20">
        <v>3.87</v>
      </c>
      <c r="M76" s="765">
        <f t="shared" si="4"/>
        <v>2.7642857142857147</v>
      </c>
      <c r="N76" s="765">
        <f t="shared" si="5"/>
        <v>2.8145454545454545</v>
      </c>
      <c r="O76" s="765">
        <f t="shared" si="1"/>
        <v>2.7642857142857147</v>
      </c>
    </row>
    <row r="77" spans="1:15" s="98" customFormat="1" outlineLevel="1">
      <c r="A77" s="141" t="s">
        <v>3478</v>
      </c>
      <c r="B77" s="175" t="s">
        <v>107</v>
      </c>
      <c r="C77" s="100" t="s">
        <v>1640</v>
      </c>
      <c r="D77" s="99" t="s">
        <v>1470</v>
      </c>
      <c r="E77" s="491">
        <v>313.05</v>
      </c>
      <c r="F77" s="20">
        <f t="shared" si="14"/>
        <v>1.8285714285714287</v>
      </c>
      <c r="G77" s="19">
        <f t="shared" si="15"/>
        <v>572.43428571428581</v>
      </c>
      <c r="H77" s="19">
        <f t="shared" si="16"/>
        <v>1977.4742400000002</v>
      </c>
      <c r="I77" s="114" t="s">
        <v>1523</v>
      </c>
      <c r="J77" s="210">
        <f>VLOOKUP(I77,'Reajuste Atual'!$L$19:$M$25,2,FALSE)</f>
        <v>2.4544999999999999</v>
      </c>
      <c r="K77" s="190"/>
      <c r="L77" s="20">
        <v>2.56</v>
      </c>
      <c r="M77" s="765">
        <f t="shared" si="4"/>
        <v>1.8285714285714287</v>
      </c>
      <c r="N77" s="765">
        <f t="shared" si="5"/>
        <v>1.8618181818181818</v>
      </c>
      <c r="O77" s="765">
        <f t="shared" si="1"/>
        <v>1.8285714285714287</v>
      </c>
    </row>
    <row r="78" spans="1:15" s="98" customFormat="1" outlineLevel="1">
      <c r="A78" s="141" t="s">
        <v>3478</v>
      </c>
      <c r="B78" s="175" t="s">
        <v>108</v>
      </c>
      <c r="C78" s="100" t="s">
        <v>1569</v>
      </c>
      <c r="D78" s="99" t="s">
        <v>1467</v>
      </c>
      <c r="E78" s="491">
        <v>1499.57</v>
      </c>
      <c r="F78" s="20">
        <f t="shared" si="14"/>
        <v>5.2928571428571436</v>
      </c>
      <c r="G78" s="19">
        <f t="shared" si="15"/>
        <v>7937.0097857142864</v>
      </c>
      <c r="H78" s="19">
        <f t="shared" si="16"/>
        <v>27418.400304750001</v>
      </c>
      <c r="I78" s="114" t="s">
        <v>1523</v>
      </c>
      <c r="J78" s="210">
        <f>VLOOKUP(I78,'Reajuste Atual'!$L$19:$M$25,2,FALSE)</f>
        <v>2.4544999999999999</v>
      </c>
      <c r="K78" s="190"/>
      <c r="L78" s="20">
        <v>7.41</v>
      </c>
      <c r="M78" s="765">
        <f t="shared" si="4"/>
        <v>5.2928571428571436</v>
      </c>
      <c r="N78" s="765">
        <f t="shared" si="5"/>
        <v>5.3890909090909096</v>
      </c>
      <c r="O78" s="765">
        <f t="shared" si="1"/>
        <v>5.2928571428571436</v>
      </c>
    </row>
    <row r="79" spans="1:15" s="98" customFormat="1" outlineLevel="1">
      <c r="A79" s="141" t="s">
        <v>3478</v>
      </c>
      <c r="B79" s="175" t="s">
        <v>109</v>
      </c>
      <c r="C79" s="100" t="s">
        <v>1641</v>
      </c>
      <c r="D79" s="99" t="s">
        <v>1470</v>
      </c>
      <c r="E79" s="491">
        <v>787.38</v>
      </c>
      <c r="F79" s="20">
        <f t="shared" si="14"/>
        <v>22.592857142857145</v>
      </c>
      <c r="G79" s="19">
        <f t="shared" si="15"/>
        <v>17789.163857142859</v>
      </c>
      <c r="H79" s="19">
        <f t="shared" si="16"/>
        <v>61452.666544500004</v>
      </c>
      <c r="I79" s="114" t="s">
        <v>1523</v>
      </c>
      <c r="J79" s="210">
        <f>VLOOKUP(I79,'Reajuste Atual'!$L$19:$M$25,2,FALSE)</f>
        <v>2.4544999999999999</v>
      </c>
      <c r="K79" s="190"/>
      <c r="L79" s="20">
        <v>31.63</v>
      </c>
      <c r="M79" s="765">
        <f t="shared" si="4"/>
        <v>22.592857142857145</v>
      </c>
      <c r="N79" s="765">
        <f t="shared" si="5"/>
        <v>23.003636363636364</v>
      </c>
      <c r="O79" s="765">
        <f t="shared" si="1"/>
        <v>22.592857142857145</v>
      </c>
    </row>
    <row r="80" spans="1:15" s="98" customFormat="1" outlineLevel="1">
      <c r="A80" s="141" t="s">
        <v>3478</v>
      </c>
      <c r="B80" s="175" t="s">
        <v>110</v>
      </c>
      <c r="C80" s="100" t="s">
        <v>1642</v>
      </c>
      <c r="D80" s="99" t="s">
        <v>1472</v>
      </c>
      <c r="E80" s="491">
        <v>71.599999999999994</v>
      </c>
      <c r="F80" s="20">
        <f t="shared" si="14"/>
        <v>215.47142857142859</v>
      </c>
      <c r="G80" s="19">
        <f t="shared" si="15"/>
        <v>15427.754285714285</v>
      </c>
      <c r="H80" s="19">
        <f t="shared" si="16"/>
        <v>63337.102444571421</v>
      </c>
      <c r="I80" s="114" t="s">
        <v>1521</v>
      </c>
      <c r="J80" s="210">
        <f>VLOOKUP(I80,'Reajuste Atual'!$L$19:$M$25,2,FALSE)</f>
        <v>3.1053999999999999</v>
      </c>
      <c r="K80" s="190"/>
      <c r="L80" s="20">
        <v>301.66000000000003</v>
      </c>
      <c r="M80" s="765">
        <f t="shared" si="4"/>
        <v>215.47142857142859</v>
      </c>
      <c r="N80" s="765">
        <f t="shared" si="5"/>
        <v>219.38909090909092</v>
      </c>
      <c r="O80" s="765">
        <f t="shared" si="1"/>
        <v>215.47142857142859</v>
      </c>
    </row>
    <row r="81" spans="1:15" s="98" customFormat="1" outlineLevel="1">
      <c r="A81" s="141" t="s">
        <v>3478</v>
      </c>
      <c r="B81" s="175" t="s">
        <v>111</v>
      </c>
      <c r="C81" s="100" t="s">
        <v>1643</v>
      </c>
      <c r="D81" s="181" t="s">
        <v>1468</v>
      </c>
      <c r="E81" s="491">
        <v>8</v>
      </c>
      <c r="F81" s="20">
        <f t="shared" si="14"/>
        <v>262.28571428571428</v>
      </c>
      <c r="G81" s="19">
        <f t="shared" si="15"/>
        <v>2098.2857142857142</v>
      </c>
      <c r="H81" s="19">
        <f t="shared" si="16"/>
        <v>8614.3021714285696</v>
      </c>
      <c r="I81" s="114" t="s">
        <v>1521</v>
      </c>
      <c r="J81" s="210">
        <f>VLOOKUP(I81,'Reajuste Atual'!$L$19:$M$25,2,FALSE)</f>
        <v>3.1053999999999999</v>
      </c>
      <c r="K81" s="190"/>
      <c r="L81" s="20">
        <v>367.2</v>
      </c>
      <c r="M81" s="765">
        <f t="shared" si="4"/>
        <v>262.28571428571428</v>
      </c>
      <c r="N81" s="765">
        <f t="shared" si="5"/>
        <v>267.05454545454546</v>
      </c>
      <c r="O81" s="765">
        <f t="shared" si="1"/>
        <v>262.28571428571428</v>
      </c>
    </row>
    <row r="82" spans="1:15" s="98" customFormat="1" outlineLevel="1">
      <c r="A82" s="141" t="s">
        <v>3478</v>
      </c>
      <c r="B82" s="175" t="s">
        <v>112</v>
      </c>
      <c r="C82" s="100" t="s">
        <v>1644</v>
      </c>
      <c r="D82" s="181" t="s">
        <v>1468</v>
      </c>
      <c r="E82" s="491">
        <v>10</v>
      </c>
      <c r="F82" s="20">
        <f t="shared" si="14"/>
        <v>522.05000000000007</v>
      </c>
      <c r="G82" s="19">
        <f t="shared" si="15"/>
        <v>5220.5000000000009</v>
      </c>
      <c r="H82" s="19">
        <f t="shared" si="16"/>
        <v>21432.240700000002</v>
      </c>
      <c r="I82" s="114" t="s">
        <v>1521</v>
      </c>
      <c r="J82" s="210">
        <f>VLOOKUP(I82,'Reajuste Atual'!$L$19:$M$25,2,FALSE)</f>
        <v>3.1053999999999999</v>
      </c>
      <c r="K82" s="190"/>
      <c r="L82" s="20">
        <v>730.87</v>
      </c>
      <c r="M82" s="765">
        <f t="shared" si="4"/>
        <v>522.05000000000007</v>
      </c>
      <c r="N82" s="765">
        <f t="shared" si="5"/>
        <v>531.54181818181814</v>
      </c>
      <c r="O82" s="765">
        <f t="shared" si="1"/>
        <v>522.05000000000007</v>
      </c>
    </row>
    <row r="83" spans="1:15" s="98" customFormat="1" ht="31.5" outlineLevel="1">
      <c r="A83" s="141" t="s">
        <v>3478</v>
      </c>
      <c r="B83" s="175" t="s">
        <v>113</v>
      </c>
      <c r="C83" s="100" t="s">
        <v>1645</v>
      </c>
      <c r="D83" s="181" t="s">
        <v>1468</v>
      </c>
      <c r="E83" s="491">
        <v>8</v>
      </c>
      <c r="F83" s="20">
        <f t="shared" si="14"/>
        <v>239.50714285714287</v>
      </c>
      <c r="G83" s="19">
        <f t="shared" si="15"/>
        <v>1916.0571428571429</v>
      </c>
      <c r="H83" s="19">
        <f t="shared" si="16"/>
        <v>7866.1809942857135</v>
      </c>
      <c r="I83" s="114" t="s">
        <v>1521</v>
      </c>
      <c r="J83" s="210">
        <f>VLOOKUP(I83,'Reajuste Atual'!$L$19:$M$25,2,FALSE)</f>
        <v>3.1053999999999999</v>
      </c>
      <c r="K83" s="190"/>
      <c r="L83" s="20">
        <v>335.31</v>
      </c>
      <c r="M83" s="765">
        <f t="shared" si="4"/>
        <v>239.50714285714287</v>
      </c>
      <c r="N83" s="765">
        <f t="shared" si="5"/>
        <v>243.86181818181819</v>
      </c>
      <c r="O83" s="765">
        <f t="shared" si="1"/>
        <v>239.50714285714287</v>
      </c>
    </row>
    <row r="84" spans="1:15" s="98" customFormat="1" outlineLevel="1">
      <c r="A84" s="141" t="s">
        <v>3478</v>
      </c>
      <c r="B84" s="175" t="s">
        <v>114</v>
      </c>
      <c r="C84" s="100" t="s">
        <v>1646</v>
      </c>
      <c r="D84" s="99" t="s">
        <v>1473</v>
      </c>
      <c r="E84" s="491">
        <v>8</v>
      </c>
      <c r="F84" s="20">
        <f t="shared" si="14"/>
        <v>74.078571428571422</v>
      </c>
      <c r="G84" s="19">
        <f t="shared" si="15"/>
        <v>592.62857142857138</v>
      </c>
      <c r="H84" s="19">
        <f t="shared" si="16"/>
        <v>2432.9773371428564</v>
      </c>
      <c r="I84" s="114" t="s">
        <v>1521</v>
      </c>
      <c r="J84" s="210">
        <f>VLOOKUP(I84,'Reajuste Atual'!$L$19:$M$25,2,FALSE)</f>
        <v>3.1053999999999999</v>
      </c>
      <c r="K84" s="190"/>
      <c r="L84" s="20">
        <v>103.71</v>
      </c>
      <c r="M84" s="765">
        <f t="shared" si="4"/>
        <v>74.078571428571422</v>
      </c>
      <c r="N84" s="765">
        <f t="shared" si="5"/>
        <v>75.425454545454542</v>
      </c>
      <c r="O84" s="765">
        <f t="shared" si="1"/>
        <v>74.078571428571422</v>
      </c>
    </row>
    <row r="85" spans="1:15" s="98" customFormat="1" outlineLevel="1">
      <c r="A85" s="141" t="s">
        <v>3478</v>
      </c>
      <c r="B85" s="175" t="s">
        <v>115</v>
      </c>
      <c r="C85" s="100" t="s">
        <v>1647</v>
      </c>
      <c r="D85" s="181" t="s">
        <v>1468</v>
      </c>
      <c r="E85" s="491">
        <v>8</v>
      </c>
      <c r="F85" s="20">
        <f t="shared" si="14"/>
        <v>39.571428571428569</v>
      </c>
      <c r="G85" s="19">
        <f t="shared" si="15"/>
        <v>316.57142857142856</v>
      </c>
      <c r="H85" s="19">
        <f t="shared" si="16"/>
        <v>1299.6523428571427</v>
      </c>
      <c r="I85" s="114" t="s">
        <v>1521</v>
      </c>
      <c r="J85" s="210">
        <f>VLOOKUP(I85,'Reajuste Atual'!$L$19:$M$25,2,FALSE)</f>
        <v>3.1053999999999999</v>
      </c>
      <c r="K85" s="190"/>
      <c r="L85" s="20">
        <v>55.4</v>
      </c>
      <c r="M85" s="765">
        <f t="shared" si="4"/>
        <v>39.571428571428569</v>
      </c>
      <c r="N85" s="765">
        <f t="shared" si="5"/>
        <v>40.290909090909089</v>
      </c>
      <c r="O85" s="765">
        <f t="shared" si="1"/>
        <v>39.571428571428569</v>
      </c>
    </row>
    <row r="86" spans="1:15" s="98" customFormat="1" outlineLevel="1">
      <c r="A86" s="141" t="s">
        <v>3478</v>
      </c>
      <c r="B86" s="175" t="s">
        <v>116</v>
      </c>
      <c r="C86" s="100" t="s">
        <v>1648</v>
      </c>
      <c r="D86" s="99" t="s">
        <v>1472</v>
      </c>
      <c r="E86" s="491">
        <v>81.290000000000006</v>
      </c>
      <c r="F86" s="20">
        <f t="shared" si="14"/>
        <v>11.850000000000001</v>
      </c>
      <c r="G86" s="19">
        <f t="shared" si="15"/>
        <v>963.28650000000016</v>
      </c>
      <c r="H86" s="19">
        <f t="shared" si="16"/>
        <v>3954.6763971</v>
      </c>
      <c r="I86" s="114" t="s">
        <v>1521</v>
      </c>
      <c r="J86" s="210">
        <f>VLOOKUP(I86,'Reajuste Atual'!$L$19:$M$25,2,FALSE)</f>
        <v>3.1053999999999999</v>
      </c>
      <c r="K86" s="190"/>
      <c r="L86" s="20">
        <v>16.59</v>
      </c>
      <c r="M86" s="765">
        <f t="shared" si="4"/>
        <v>11.850000000000001</v>
      </c>
      <c r="N86" s="765">
        <f t="shared" si="5"/>
        <v>12.065454545454545</v>
      </c>
      <c r="O86" s="765">
        <f t="shared" si="1"/>
        <v>11.850000000000001</v>
      </c>
    </row>
    <row r="87" spans="1:15" s="98" customFormat="1" outlineLevel="1">
      <c r="A87" s="141" t="s">
        <v>3478</v>
      </c>
      <c r="B87" s="175" t="s">
        <v>117</v>
      </c>
      <c r="C87" s="100" t="s">
        <v>1629</v>
      </c>
      <c r="D87" s="99" t="s">
        <v>1472</v>
      </c>
      <c r="E87" s="491">
        <v>81.290000000000006</v>
      </c>
      <c r="F87" s="20">
        <f t="shared" si="14"/>
        <v>7.5642857142857149</v>
      </c>
      <c r="G87" s="19">
        <f t="shared" si="15"/>
        <v>614.9007857142858</v>
      </c>
      <c r="H87" s="19">
        <f t="shared" si="16"/>
        <v>2524.4136856714285</v>
      </c>
      <c r="I87" s="114" t="s">
        <v>1521</v>
      </c>
      <c r="J87" s="210">
        <f>VLOOKUP(I87,'Reajuste Atual'!$L$19:$M$25,2,FALSE)</f>
        <v>3.1053999999999999</v>
      </c>
      <c r="K87" s="190"/>
      <c r="L87" s="20">
        <v>10.59</v>
      </c>
      <c r="M87" s="765">
        <f t="shared" si="4"/>
        <v>7.5642857142857149</v>
      </c>
      <c r="N87" s="765">
        <f t="shared" si="5"/>
        <v>7.7018181818181821</v>
      </c>
      <c r="O87" s="765">
        <f t="shared" si="1"/>
        <v>7.5642857142857149</v>
      </c>
    </row>
    <row r="88" spans="1:15" s="98" customFormat="1" outlineLevel="1">
      <c r="A88" s="141" t="s">
        <v>3478</v>
      </c>
      <c r="B88" s="180" t="s">
        <v>118</v>
      </c>
      <c r="C88" s="100" t="s">
        <v>1649</v>
      </c>
      <c r="D88" s="21" t="s">
        <v>1467</v>
      </c>
      <c r="E88" s="491">
        <v>201.06</v>
      </c>
      <c r="F88" s="20">
        <f t="shared" si="14"/>
        <v>29.88571428571429</v>
      </c>
      <c r="G88" s="19">
        <f t="shared" si="15"/>
        <v>6008.8217142857147</v>
      </c>
      <c r="H88" s="19">
        <f t="shared" si="16"/>
        <v>20757.474612000002</v>
      </c>
      <c r="I88" s="114" t="s">
        <v>1523</v>
      </c>
      <c r="J88" s="210">
        <f>VLOOKUP(I88,'Reajuste Atual'!$L$19:$M$25,2,FALSE)</f>
        <v>2.4544999999999999</v>
      </c>
      <c r="K88" s="190"/>
      <c r="L88" s="20">
        <v>41.84</v>
      </c>
      <c r="M88" s="765">
        <f t="shared" si="4"/>
        <v>29.88571428571429</v>
      </c>
      <c r="N88" s="765">
        <f t="shared" si="5"/>
        <v>30.429090909090913</v>
      </c>
      <c r="O88" s="765">
        <f t="shared" si="1"/>
        <v>29.88571428571429</v>
      </c>
    </row>
    <row r="89" spans="1:15" s="98" customFormat="1" outlineLevel="1">
      <c r="A89" s="141" t="s">
        <v>3478</v>
      </c>
      <c r="B89" s="180" t="s">
        <v>119</v>
      </c>
      <c r="C89" s="100" t="s">
        <v>1582</v>
      </c>
      <c r="D89" s="21" t="s">
        <v>1475</v>
      </c>
      <c r="E89" s="491">
        <v>7.1500000000000909</v>
      </c>
      <c r="F89" s="20">
        <f t="shared" si="14"/>
        <v>0.85</v>
      </c>
      <c r="G89" s="19">
        <f t="shared" si="15"/>
        <v>6.077500000000077</v>
      </c>
      <c r="H89" s="19">
        <f t="shared" si="16"/>
        <v>20.994723750000265</v>
      </c>
      <c r="I89" s="114" t="s">
        <v>1523</v>
      </c>
      <c r="J89" s="210">
        <f>VLOOKUP(I89,'Reajuste Atual'!$L$19:$M$25,2,FALSE)</f>
        <v>2.4544999999999999</v>
      </c>
      <c r="K89" s="190"/>
      <c r="L89" s="20">
        <v>1.19</v>
      </c>
      <c r="M89" s="765">
        <f t="shared" si="4"/>
        <v>0.85</v>
      </c>
      <c r="N89" s="765">
        <f t="shared" si="5"/>
        <v>0.86545454545454537</v>
      </c>
      <c r="O89" s="765">
        <f t="shared" si="1"/>
        <v>0.85</v>
      </c>
    </row>
    <row r="90" spans="1:15" s="98" customFormat="1" outlineLevel="1">
      <c r="A90" s="141" t="s">
        <v>3478</v>
      </c>
      <c r="B90" s="180" t="s">
        <v>120</v>
      </c>
      <c r="C90" s="100" t="s">
        <v>1650</v>
      </c>
      <c r="D90" s="21" t="s">
        <v>1468</v>
      </c>
      <c r="E90" s="491">
        <v>38</v>
      </c>
      <c r="F90" s="20">
        <f t="shared" si="14"/>
        <v>1356.6571428571428</v>
      </c>
      <c r="G90" s="19">
        <f t="shared" si="15"/>
        <v>51552.971428571429</v>
      </c>
      <c r="H90" s="19">
        <f t="shared" si="16"/>
        <v>211645.56890285711</v>
      </c>
      <c r="I90" s="114" t="s">
        <v>1521</v>
      </c>
      <c r="J90" s="210">
        <f>VLOOKUP(I90,'Reajuste Atual'!$L$19:$M$25,2,FALSE)</f>
        <v>3.1053999999999999</v>
      </c>
      <c r="K90" s="190"/>
      <c r="L90" s="20">
        <v>1899.32</v>
      </c>
      <c r="M90" s="765">
        <f t="shared" si="4"/>
        <v>1356.6571428571428</v>
      </c>
      <c r="N90" s="765">
        <f t="shared" si="5"/>
        <v>1381.3236363636363</v>
      </c>
      <c r="O90" s="765">
        <f t="shared" ref="O90:O153" si="17">IF(A90="S",M90,N90)</f>
        <v>1356.6571428571428</v>
      </c>
    </row>
    <row r="91" spans="1:15" s="98" customFormat="1" outlineLevel="1">
      <c r="B91" s="179" t="s">
        <v>121</v>
      </c>
      <c r="C91" s="106" t="s">
        <v>1418</v>
      </c>
      <c r="D91" s="81"/>
      <c r="E91" s="88"/>
      <c r="F91" s="89"/>
      <c r="G91" s="88">
        <f>SUM(G92:G96)</f>
        <v>301599.57818181819</v>
      </c>
      <c r="H91" s="88">
        <f>SUM(H92:H96)</f>
        <v>1238186.9082676361</v>
      </c>
      <c r="I91" s="112">
        <v>0</v>
      </c>
      <c r="J91" s="84"/>
      <c r="K91" s="192"/>
      <c r="L91" s="89"/>
      <c r="M91" s="765">
        <f t="shared" ref="M91:M154" si="18">L91/($M$23+1)</f>
        <v>0</v>
      </c>
      <c r="N91" s="765">
        <f t="shared" ref="N91:N154" si="19">L91/($N$23+1)</f>
        <v>0</v>
      </c>
      <c r="O91" s="765">
        <f t="shared" si="17"/>
        <v>0</v>
      </c>
    </row>
    <row r="92" spans="1:15" s="98" customFormat="1" outlineLevel="1">
      <c r="A92" s="141" t="s">
        <v>3483</v>
      </c>
      <c r="B92" s="175" t="s">
        <v>122</v>
      </c>
      <c r="C92" s="100" t="s">
        <v>1651</v>
      </c>
      <c r="D92" s="181" t="s">
        <v>1468</v>
      </c>
      <c r="E92" s="491">
        <v>8</v>
      </c>
      <c r="F92" s="20">
        <f t="shared" ref="F92:F96" si="20">O92</f>
        <v>8849.5927272727276</v>
      </c>
      <c r="G92" s="19">
        <f>E92*F92</f>
        <v>70796.741818181821</v>
      </c>
      <c r="H92" s="19">
        <f t="shared" ref="H92:H96" si="21">G92*(1+J92)</f>
        <v>290648.94386036362</v>
      </c>
      <c r="I92" s="114" t="s">
        <v>1521</v>
      </c>
      <c r="J92" s="210">
        <f>VLOOKUP(I92,'Reajuste Atual'!$L$19:$M$25,2,FALSE)</f>
        <v>3.1053999999999999</v>
      </c>
      <c r="K92" s="190"/>
      <c r="L92" s="20">
        <v>12168.19</v>
      </c>
      <c r="M92" s="765">
        <f t="shared" si="18"/>
        <v>8691.5642857142866</v>
      </c>
      <c r="N92" s="765">
        <f t="shared" si="19"/>
        <v>8849.5927272727276</v>
      </c>
      <c r="O92" s="765">
        <f t="shared" si="17"/>
        <v>8849.5927272727276</v>
      </c>
    </row>
    <row r="93" spans="1:15" s="98" customFormat="1" outlineLevel="1">
      <c r="A93" s="141" t="s">
        <v>3483</v>
      </c>
      <c r="B93" s="175" t="s">
        <v>123</v>
      </c>
      <c r="C93" s="100" t="s">
        <v>1652</v>
      </c>
      <c r="D93" s="181" t="s">
        <v>1468</v>
      </c>
      <c r="E93" s="491">
        <v>10</v>
      </c>
      <c r="F93" s="20">
        <f t="shared" si="20"/>
        <v>13571.410909090908</v>
      </c>
      <c r="G93" s="19">
        <f>E93*F93</f>
        <v>135714.10909090907</v>
      </c>
      <c r="H93" s="19">
        <f t="shared" si="21"/>
        <v>557160.70346181805</v>
      </c>
      <c r="I93" s="114" t="s">
        <v>1521</v>
      </c>
      <c r="J93" s="210">
        <f>VLOOKUP(I93,'Reajuste Atual'!$L$19:$M$25,2,FALSE)</f>
        <v>3.1053999999999999</v>
      </c>
      <c r="K93" s="190"/>
      <c r="L93" s="20">
        <v>18660.689999999999</v>
      </c>
      <c r="M93" s="765">
        <f t="shared" si="18"/>
        <v>13329.064285714285</v>
      </c>
      <c r="N93" s="765">
        <f t="shared" si="19"/>
        <v>13571.410909090908</v>
      </c>
      <c r="O93" s="765">
        <f t="shared" si="17"/>
        <v>13571.410909090908</v>
      </c>
    </row>
    <row r="94" spans="1:15" s="98" customFormat="1" outlineLevel="1">
      <c r="A94" s="141" t="s">
        <v>3483</v>
      </c>
      <c r="B94" s="175" t="s">
        <v>124</v>
      </c>
      <c r="C94" s="100" t="s">
        <v>1653</v>
      </c>
      <c r="D94" s="181" t="s">
        <v>1468</v>
      </c>
      <c r="E94" s="491">
        <v>38</v>
      </c>
      <c r="F94" s="20">
        <f t="shared" si="20"/>
        <v>945.74545454545466</v>
      </c>
      <c r="G94" s="19">
        <f>E94*F94</f>
        <v>35938.327272727278</v>
      </c>
      <c r="H94" s="19">
        <f t="shared" si="21"/>
        <v>147541.20878545454</v>
      </c>
      <c r="I94" s="114" t="s">
        <v>1521</v>
      </c>
      <c r="J94" s="210">
        <f>VLOOKUP(I94,'Reajuste Atual'!$L$19:$M$25,2,FALSE)</f>
        <v>3.1053999999999999</v>
      </c>
      <c r="K94" s="190"/>
      <c r="L94" s="20">
        <v>1300.4000000000001</v>
      </c>
      <c r="M94" s="765">
        <f t="shared" si="18"/>
        <v>928.857142857143</v>
      </c>
      <c r="N94" s="765">
        <f t="shared" si="19"/>
        <v>945.74545454545466</v>
      </c>
      <c r="O94" s="765">
        <f t="shared" si="17"/>
        <v>945.74545454545466</v>
      </c>
    </row>
    <row r="95" spans="1:15" s="98" customFormat="1" outlineLevel="1">
      <c r="A95" s="141" t="s">
        <v>3483</v>
      </c>
      <c r="B95" s="175" t="s">
        <v>125</v>
      </c>
      <c r="C95" s="100" t="s">
        <v>1654</v>
      </c>
      <c r="D95" s="181" t="s">
        <v>1468</v>
      </c>
      <c r="E95" s="491">
        <v>8</v>
      </c>
      <c r="F95" s="20">
        <f t="shared" si="20"/>
        <v>6544.0727272727272</v>
      </c>
      <c r="G95" s="19">
        <f>E95*F95</f>
        <v>52352.581818181818</v>
      </c>
      <c r="H95" s="19">
        <f t="shared" si="21"/>
        <v>214928.2893963636</v>
      </c>
      <c r="I95" s="114" t="s">
        <v>1521</v>
      </c>
      <c r="J95" s="210">
        <f>VLOOKUP(I95,'Reajuste Atual'!$L$19:$M$25,2,FALSE)</f>
        <v>3.1053999999999999</v>
      </c>
      <c r="K95" s="190"/>
      <c r="L95" s="20">
        <v>8998.1</v>
      </c>
      <c r="M95" s="765">
        <f t="shared" si="18"/>
        <v>6427.2142857142862</v>
      </c>
      <c r="N95" s="765">
        <f t="shared" si="19"/>
        <v>6544.0727272727272</v>
      </c>
      <c r="O95" s="765">
        <f t="shared" si="17"/>
        <v>6544.0727272727272</v>
      </c>
    </row>
    <row r="96" spans="1:15" s="98" customFormat="1" outlineLevel="1">
      <c r="A96" s="141" t="s">
        <v>3483</v>
      </c>
      <c r="B96" s="175" t="s">
        <v>126</v>
      </c>
      <c r="C96" s="100" t="s">
        <v>1655</v>
      </c>
      <c r="D96" s="181" t="s">
        <v>1468</v>
      </c>
      <c r="E96" s="491">
        <v>10</v>
      </c>
      <c r="F96" s="20">
        <f t="shared" si="20"/>
        <v>679.78181818181827</v>
      </c>
      <c r="G96" s="19">
        <f>E96*F96</f>
        <v>6797.8181818181829</v>
      </c>
      <c r="H96" s="19">
        <f t="shared" si="21"/>
        <v>27907.762763636365</v>
      </c>
      <c r="I96" s="114" t="s">
        <v>1521</v>
      </c>
      <c r="J96" s="210">
        <f>VLOOKUP(I96,'Reajuste Atual'!$L$19:$M$25,2,FALSE)</f>
        <v>3.1053999999999999</v>
      </c>
      <c r="K96" s="190"/>
      <c r="L96" s="20">
        <v>934.7</v>
      </c>
      <c r="M96" s="765">
        <f t="shared" si="18"/>
        <v>667.64285714285722</v>
      </c>
      <c r="N96" s="765">
        <f t="shared" si="19"/>
        <v>679.78181818181827</v>
      </c>
      <c r="O96" s="765">
        <f t="shared" si="17"/>
        <v>679.78181818181827</v>
      </c>
    </row>
    <row r="97" spans="1:15" s="98" customFormat="1" outlineLevel="1">
      <c r="B97" s="178" t="s">
        <v>127</v>
      </c>
      <c r="C97" s="102" t="s">
        <v>1419</v>
      </c>
      <c r="D97" s="91"/>
      <c r="E97" s="63"/>
      <c r="F97" s="63"/>
      <c r="G97" s="63">
        <f>G98+G132+G143+G154</f>
        <v>1491628.7854015515</v>
      </c>
      <c r="H97" s="63">
        <f>H98+H132+H143+H154</f>
        <v>5903366.7595804771</v>
      </c>
      <c r="I97" s="111">
        <v>0</v>
      </c>
      <c r="J97" s="86"/>
      <c r="K97" s="191"/>
      <c r="L97" s="63"/>
      <c r="M97" s="765">
        <f t="shared" si="18"/>
        <v>0</v>
      </c>
      <c r="N97" s="765">
        <f t="shared" si="19"/>
        <v>0</v>
      </c>
      <c r="O97" s="765">
        <f t="shared" si="17"/>
        <v>0</v>
      </c>
    </row>
    <row r="98" spans="1:15" s="98" customFormat="1" outlineLevel="1">
      <c r="B98" s="179" t="s">
        <v>128</v>
      </c>
      <c r="C98" s="106" t="s">
        <v>1394</v>
      </c>
      <c r="D98" s="81"/>
      <c r="E98" s="88"/>
      <c r="F98" s="89"/>
      <c r="G98" s="88">
        <f>SUM(G99:G131)</f>
        <v>373209.77984310995</v>
      </c>
      <c r="H98" s="88">
        <f>SUM(H99:H131)</f>
        <v>1418257.8534306376</v>
      </c>
      <c r="I98" s="112">
        <v>0</v>
      </c>
      <c r="J98" s="84"/>
      <c r="K98" s="192"/>
      <c r="L98" s="89"/>
      <c r="M98" s="765">
        <f t="shared" si="18"/>
        <v>0</v>
      </c>
      <c r="N98" s="765">
        <f t="shared" si="19"/>
        <v>0</v>
      </c>
      <c r="O98" s="765">
        <f t="shared" si="17"/>
        <v>0</v>
      </c>
    </row>
    <row r="99" spans="1:15" s="98" customFormat="1" outlineLevel="1">
      <c r="A99" s="141" t="s">
        <v>3478</v>
      </c>
      <c r="B99" s="175" t="s">
        <v>129</v>
      </c>
      <c r="C99" s="100" t="s">
        <v>1568</v>
      </c>
      <c r="D99" s="99" t="s">
        <v>1467</v>
      </c>
      <c r="E99" s="491">
        <v>5549.68</v>
      </c>
      <c r="F99" s="20">
        <f t="shared" ref="F99:F131" si="22">O99</f>
        <v>3.9571428571428573</v>
      </c>
      <c r="G99" s="19">
        <f t="shared" ref="G99:G131" si="23">E99*F99</f>
        <v>21960.876571428573</v>
      </c>
      <c r="H99" s="19">
        <f t="shared" ref="H99:H131" si="24">G99*(1+J99)</f>
        <v>75863.848116000008</v>
      </c>
      <c r="I99" s="114" t="s">
        <v>1523</v>
      </c>
      <c r="J99" s="210">
        <f>VLOOKUP(I99,'Reajuste Atual'!$L$19:$M$25,2,FALSE)</f>
        <v>2.4544999999999999</v>
      </c>
      <c r="K99" s="190"/>
      <c r="L99" s="20">
        <v>5.54</v>
      </c>
      <c r="M99" s="765">
        <f t="shared" si="18"/>
        <v>3.9571428571428573</v>
      </c>
      <c r="N99" s="765">
        <f t="shared" si="19"/>
        <v>4.0290909090909093</v>
      </c>
      <c r="O99" s="765">
        <f t="shared" si="17"/>
        <v>3.9571428571428573</v>
      </c>
    </row>
    <row r="100" spans="1:15" s="98" customFormat="1" ht="31.5" outlineLevel="1">
      <c r="A100" s="141" t="s">
        <v>3478</v>
      </c>
      <c r="B100" s="175" t="s">
        <v>130</v>
      </c>
      <c r="C100" s="100" t="s">
        <v>1577</v>
      </c>
      <c r="D100" s="99" t="s">
        <v>1467</v>
      </c>
      <c r="E100" s="491">
        <v>994.06</v>
      </c>
      <c r="F100" s="20">
        <f t="shared" si="22"/>
        <v>6.9214285714285717</v>
      </c>
      <c r="G100" s="19">
        <f t="shared" si="23"/>
        <v>6880.3152857142859</v>
      </c>
      <c r="H100" s="19">
        <f t="shared" si="24"/>
        <v>23768.0491545</v>
      </c>
      <c r="I100" s="114" t="s">
        <v>1523</v>
      </c>
      <c r="J100" s="210">
        <f>VLOOKUP(I100,'Reajuste Atual'!$L$19:$M$25,2,FALSE)</f>
        <v>2.4544999999999999</v>
      </c>
      <c r="K100" s="190"/>
      <c r="L100" s="20">
        <v>9.69</v>
      </c>
      <c r="M100" s="765">
        <f t="shared" si="18"/>
        <v>6.9214285714285717</v>
      </c>
      <c r="N100" s="765">
        <f t="shared" si="19"/>
        <v>7.0472727272727269</v>
      </c>
      <c r="O100" s="765">
        <f t="shared" si="17"/>
        <v>6.9214285714285717</v>
      </c>
    </row>
    <row r="101" spans="1:15" s="98" customFormat="1" outlineLevel="1">
      <c r="A101" s="141" t="s">
        <v>3478</v>
      </c>
      <c r="B101" s="175" t="s">
        <v>131</v>
      </c>
      <c r="C101" s="100" t="s">
        <v>1569</v>
      </c>
      <c r="D101" s="99" t="s">
        <v>1467</v>
      </c>
      <c r="E101" s="491">
        <v>2626.47</v>
      </c>
      <c r="F101" s="20">
        <f t="shared" si="22"/>
        <v>5.2928571428571436</v>
      </c>
      <c r="G101" s="19">
        <f t="shared" si="23"/>
        <v>13901.530500000001</v>
      </c>
      <c r="H101" s="19">
        <f t="shared" si="24"/>
        <v>48022.837112250003</v>
      </c>
      <c r="I101" s="114" t="s">
        <v>1523</v>
      </c>
      <c r="J101" s="210">
        <f>VLOOKUP(I101,'Reajuste Atual'!$L$19:$M$25,2,FALSE)</f>
        <v>2.4544999999999999</v>
      </c>
      <c r="K101" s="190"/>
      <c r="L101" s="20">
        <v>7.41</v>
      </c>
      <c r="M101" s="765">
        <f t="shared" si="18"/>
        <v>5.2928571428571436</v>
      </c>
      <c r="N101" s="765">
        <f t="shared" si="19"/>
        <v>5.3890909090909096</v>
      </c>
      <c r="O101" s="765">
        <f t="shared" si="17"/>
        <v>5.2928571428571436</v>
      </c>
    </row>
    <row r="102" spans="1:15" s="98" customFormat="1" outlineLevel="1">
      <c r="A102" s="141" t="s">
        <v>3478</v>
      </c>
      <c r="B102" s="175" t="s">
        <v>132</v>
      </c>
      <c r="C102" s="100" t="s">
        <v>1639</v>
      </c>
      <c r="D102" s="99" t="s">
        <v>1467</v>
      </c>
      <c r="E102" s="491">
        <v>710.64</v>
      </c>
      <c r="F102" s="20">
        <f t="shared" si="22"/>
        <v>8.2500000000000018</v>
      </c>
      <c r="G102" s="19">
        <f t="shared" si="23"/>
        <v>5862.7800000000016</v>
      </c>
      <c r="H102" s="19">
        <f t="shared" si="24"/>
        <v>20252.973510000003</v>
      </c>
      <c r="I102" s="114" t="s">
        <v>1523</v>
      </c>
      <c r="J102" s="210">
        <f>VLOOKUP(I102,'Reajuste Atual'!$L$19:$M$25,2,FALSE)</f>
        <v>2.4544999999999999</v>
      </c>
      <c r="K102" s="190"/>
      <c r="L102" s="20">
        <v>11.55</v>
      </c>
      <c r="M102" s="765">
        <f t="shared" si="18"/>
        <v>8.2500000000000018</v>
      </c>
      <c r="N102" s="765">
        <f t="shared" si="19"/>
        <v>8.4</v>
      </c>
      <c r="O102" s="765">
        <f t="shared" si="17"/>
        <v>8.2500000000000018</v>
      </c>
    </row>
    <row r="103" spans="1:15" s="98" customFormat="1" outlineLevel="1">
      <c r="A103" s="141" t="s">
        <v>3478</v>
      </c>
      <c r="B103" s="175" t="s">
        <v>133</v>
      </c>
      <c r="C103" s="100" t="s">
        <v>1636</v>
      </c>
      <c r="D103" s="99" t="s">
        <v>1467</v>
      </c>
      <c r="E103" s="491">
        <v>260.26</v>
      </c>
      <c r="F103" s="20">
        <f t="shared" si="22"/>
        <v>203.15000000000003</v>
      </c>
      <c r="G103" s="19">
        <f t="shared" si="23"/>
        <v>52871.81900000001</v>
      </c>
      <c r="H103" s="19">
        <f t="shared" si="24"/>
        <v>192871.10853010003</v>
      </c>
      <c r="I103" s="114" t="s">
        <v>1526</v>
      </c>
      <c r="J103" s="210">
        <f>VLOOKUP(I103,'Reajuste Atual'!$L$19:$M$25,2,FALSE)</f>
        <v>2.6478999999999999</v>
      </c>
      <c r="K103" s="190"/>
      <c r="L103" s="20">
        <v>284.41000000000003</v>
      </c>
      <c r="M103" s="765">
        <f t="shared" si="18"/>
        <v>203.15000000000003</v>
      </c>
      <c r="N103" s="765">
        <f t="shared" si="19"/>
        <v>206.84363636363639</v>
      </c>
      <c r="O103" s="765">
        <f t="shared" si="17"/>
        <v>203.15000000000003</v>
      </c>
    </row>
    <row r="104" spans="1:15" s="98" customFormat="1" outlineLevel="1">
      <c r="A104" s="141" t="s">
        <v>3478</v>
      </c>
      <c r="B104" s="175" t="s">
        <v>134</v>
      </c>
      <c r="C104" s="100" t="s">
        <v>1574</v>
      </c>
      <c r="D104" s="99" t="s">
        <v>1467</v>
      </c>
      <c r="E104" s="491">
        <v>30</v>
      </c>
      <c r="F104" s="20">
        <f t="shared" si="22"/>
        <v>168.82857142857145</v>
      </c>
      <c r="G104" s="19">
        <f t="shared" si="23"/>
        <v>5064.8571428571431</v>
      </c>
      <c r="H104" s="19">
        <f t="shared" si="24"/>
        <v>18476.092371428571</v>
      </c>
      <c r="I104" s="114" t="s">
        <v>1526</v>
      </c>
      <c r="J104" s="210">
        <f>VLOOKUP(I104,'Reajuste Atual'!$L$19:$M$25,2,FALSE)</f>
        <v>2.6478999999999999</v>
      </c>
      <c r="K104" s="190"/>
      <c r="L104" s="20">
        <v>236.36</v>
      </c>
      <c r="M104" s="765">
        <f t="shared" si="18"/>
        <v>168.82857142857145</v>
      </c>
      <c r="N104" s="765">
        <f t="shared" si="19"/>
        <v>171.89818181818183</v>
      </c>
      <c r="O104" s="765">
        <f t="shared" si="17"/>
        <v>168.82857142857145</v>
      </c>
    </row>
    <row r="105" spans="1:15" s="98" customFormat="1" outlineLevel="1">
      <c r="A105" s="141" t="s">
        <v>3478</v>
      </c>
      <c r="B105" s="175" t="s">
        <v>135</v>
      </c>
      <c r="C105" s="100" t="s">
        <v>1570</v>
      </c>
      <c r="D105" s="99" t="s">
        <v>1470</v>
      </c>
      <c r="E105" s="491">
        <v>699.48</v>
      </c>
      <c r="F105" s="20">
        <f t="shared" si="22"/>
        <v>38.228571428571435</v>
      </c>
      <c r="G105" s="19">
        <f t="shared" si="23"/>
        <v>26740.121142857148</v>
      </c>
      <c r="H105" s="19">
        <f t="shared" si="24"/>
        <v>97545.287917028589</v>
      </c>
      <c r="I105" s="114" t="s">
        <v>1526</v>
      </c>
      <c r="J105" s="210">
        <f>VLOOKUP(I105,'Reajuste Atual'!$L$19:$M$25,2,FALSE)</f>
        <v>2.6478999999999999</v>
      </c>
      <c r="K105" s="190"/>
      <c r="L105" s="20">
        <v>53.52</v>
      </c>
      <c r="M105" s="765">
        <f t="shared" si="18"/>
        <v>38.228571428571435</v>
      </c>
      <c r="N105" s="765">
        <f t="shared" si="19"/>
        <v>38.923636363636369</v>
      </c>
      <c r="O105" s="765">
        <f t="shared" si="17"/>
        <v>38.228571428571435</v>
      </c>
    </row>
    <row r="106" spans="1:15" s="98" customFormat="1" outlineLevel="1">
      <c r="A106" s="141" t="s">
        <v>3478</v>
      </c>
      <c r="B106" s="175" t="s">
        <v>136</v>
      </c>
      <c r="C106" s="100" t="s">
        <v>1637</v>
      </c>
      <c r="D106" s="99" t="s">
        <v>1478</v>
      </c>
      <c r="E106" s="491">
        <v>24967.919999999998</v>
      </c>
      <c r="F106" s="20">
        <f t="shared" si="22"/>
        <v>2.7642857142857147</v>
      </c>
      <c r="G106" s="19">
        <f t="shared" si="23"/>
        <v>69018.464571428573</v>
      </c>
      <c r="H106" s="19">
        <f t="shared" si="24"/>
        <v>251772.45691011427</v>
      </c>
      <c r="I106" s="114" t="s">
        <v>1526</v>
      </c>
      <c r="J106" s="210">
        <f>VLOOKUP(I106,'Reajuste Atual'!$L$19:$M$25,2,FALSE)</f>
        <v>2.6478999999999999</v>
      </c>
      <c r="K106" s="190"/>
      <c r="L106" s="20">
        <v>3.87</v>
      </c>
      <c r="M106" s="765">
        <f t="shared" si="18"/>
        <v>2.7642857142857147</v>
      </c>
      <c r="N106" s="765">
        <f t="shared" si="19"/>
        <v>2.8145454545454545</v>
      </c>
      <c r="O106" s="765">
        <f t="shared" si="17"/>
        <v>2.7642857142857147</v>
      </c>
    </row>
    <row r="107" spans="1:15" s="98" customFormat="1" outlineLevel="1">
      <c r="A107" s="141" t="s">
        <v>3478</v>
      </c>
      <c r="B107" s="175" t="s">
        <v>137</v>
      </c>
      <c r="C107" s="100" t="s">
        <v>1629</v>
      </c>
      <c r="D107" s="99" t="s">
        <v>1472</v>
      </c>
      <c r="E107" s="491">
        <v>44.51</v>
      </c>
      <c r="F107" s="20">
        <f t="shared" si="22"/>
        <v>7.5642857142857149</v>
      </c>
      <c r="G107" s="19">
        <f t="shared" si="23"/>
        <v>336.68635714285716</v>
      </c>
      <c r="H107" s="19">
        <f t="shared" si="24"/>
        <v>1530.5761795714284</v>
      </c>
      <c r="I107" s="114" t="s">
        <v>1522</v>
      </c>
      <c r="J107" s="210">
        <f>VLOOKUP(I107,'Reajuste Atual'!$L$19:$M$25,2,FALSE)</f>
        <v>3.5459999999999998</v>
      </c>
      <c r="K107" s="190"/>
      <c r="L107" s="20">
        <v>10.59</v>
      </c>
      <c r="M107" s="765">
        <f t="shared" si="18"/>
        <v>7.5642857142857149</v>
      </c>
      <c r="N107" s="765">
        <f t="shared" si="19"/>
        <v>7.7018181818181821</v>
      </c>
      <c r="O107" s="765">
        <f t="shared" si="17"/>
        <v>7.5642857142857149</v>
      </c>
    </row>
    <row r="108" spans="1:15" s="98" customFormat="1" outlineLevel="1">
      <c r="A108" s="141" t="s">
        <v>3478</v>
      </c>
      <c r="B108" s="175" t="s">
        <v>138</v>
      </c>
      <c r="C108" s="100" t="s">
        <v>1416</v>
      </c>
      <c r="D108" s="99" t="s">
        <v>1472</v>
      </c>
      <c r="E108" s="491">
        <v>39.64</v>
      </c>
      <c r="F108" s="20">
        <f t="shared" si="22"/>
        <v>67.164285714285725</v>
      </c>
      <c r="G108" s="19">
        <f t="shared" si="23"/>
        <v>2662.3922857142861</v>
      </c>
      <c r="H108" s="19">
        <f t="shared" si="24"/>
        <v>12103.235330857144</v>
      </c>
      <c r="I108" s="114" t="s">
        <v>1522</v>
      </c>
      <c r="J108" s="210">
        <f>VLOOKUP(I108,'Reajuste Atual'!$L$19:$M$25,2,FALSE)</f>
        <v>3.5459999999999998</v>
      </c>
      <c r="K108" s="190"/>
      <c r="L108" s="20">
        <v>94.03</v>
      </c>
      <c r="M108" s="765">
        <f t="shared" si="18"/>
        <v>67.164285714285725</v>
      </c>
      <c r="N108" s="765">
        <f t="shared" si="19"/>
        <v>68.38545454545455</v>
      </c>
      <c r="O108" s="765">
        <f t="shared" si="17"/>
        <v>67.164285714285725</v>
      </c>
    </row>
    <row r="109" spans="1:15" s="98" customFormat="1" outlineLevel="1">
      <c r="A109" s="141" t="s">
        <v>3478</v>
      </c>
      <c r="B109" s="175" t="s">
        <v>139</v>
      </c>
      <c r="C109" s="100" t="s">
        <v>1656</v>
      </c>
      <c r="D109" s="99" t="s">
        <v>1470</v>
      </c>
      <c r="E109" s="491">
        <v>147.99</v>
      </c>
      <c r="F109" s="20">
        <f t="shared" si="22"/>
        <v>56.392857142857146</v>
      </c>
      <c r="G109" s="19">
        <f t="shared" si="23"/>
        <v>8345.5789285714291</v>
      </c>
      <c r="H109" s="19">
        <f t="shared" si="24"/>
        <v>37939.001809285714</v>
      </c>
      <c r="I109" s="114" t="s">
        <v>1522</v>
      </c>
      <c r="J109" s="210">
        <f>VLOOKUP(I109,'Reajuste Atual'!$L$19:$M$25,2,FALSE)</f>
        <v>3.5459999999999998</v>
      </c>
      <c r="K109" s="190"/>
      <c r="L109" s="20">
        <v>78.95</v>
      </c>
      <c r="M109" s="765">
        <f t="shared" si="18"/>
        <v>56.392857142857146</v>
      </c>
      <c r="N109" s="765">
        <f t="shared" si="19"/>
        <v>57.418181818181822</v>
      </c>
      <c r="O109" s="765">
        <f t="shared" si="17"/>
        <v>56.392857142857146</v>
      </c>
    </row>
    <row r="110" spans="1:15" s="98" customFormat="1" outlineLevel="1">
      <c r="A110" s="141" t="s">
        <v>3478</v>
      </c>
      <c r="B110" s="175" t="s">
        <v>140</v>
      </c>
      <c r="C110" s="766" t="s">
        <v>1657</v>
      </c>
      <c r="D110" s="99" t="s">
        <v>1472</v>
      </c>
      <c r="E110" s="491">
        <v>1</v>
      </c>
      <c r="F110" s="20">
        <f t="shared" si="22"/>
        <v>310.2928571428572</v>
      </c>
      <c r="G110" s="19">
        <f t="shared" si="23"/>
        <v>310.2928571428572</v>
      </c>
      <c r="H110" s="19">
        <f t="shared" si="24"/>
        <v>1410.5913285714287</v>
      </c>
      <c r="I110" s="114" t="s">
        <v>1522</v>
      </c>
      <c r="J110" s="210">
        <f>VLOOKUP(I110,'Reajuste Atual'!$L$19:$M$25,2,FALSE)</f>
        <v>3.5459999999999998</v>
      </c>
      <c r="K110" s="190"/>
      <c r="L110" s="20">
        <v>434.41</v>
      </c>
      <c r="M110" s="765">
        <f t="shared" si="18"/>
        <v>310.2928571428572</v>
      </c>
      <c r="N110" s="765">
        <f t="shared" si="19"/>
        <v>315.93454545454546</v>
      </c>
      <c r="O110" s="765">
        <f t="shared" si="17"/>
        <v>310.2928571428572</v>
      </c>
    </row>
    <row r="111" spans="1:15" s="98" customFormat="1" outlineLevel="1">
      <c r="A111" s="141" t="s">
        <v>3478</v>
      </c>
      <c r="B111" s="175" t="s">
        <v>141</v>
      </c>
      <c r="C111" s="100" t="s">
        <v>1658</v>
      </c>
      <c r="D111" s="181" t="s">
        <v>1468</v>
      </c>
      <c r="E111" s="491">
        <v>3</v>
      </c>
      <c r="F111" s="20">
        <f t="shared" si="22"/>
        <v>1419.1142857142859</v>
      </c>
      <c r="G111" s="19">
        <f t="shared" si="23"/>
        <v>4257.3428571428576</v>
      </c>
      <c r="H111" s="19">
        <f t="shared" si="24"/>
        <v>19353.880628571427</v>
      </c>
      <c r="I111" s="114" t="s">
        <v>1522</v>
      </c>
      <c r="J111" s="210">
        <f>VLOOKUP(I111,'Reajuste Atual'!$L$19:$M$25,2,FALSE)</f>
        <v>3.5459999999999998</v>
      </c>
      <c r="K111" s="190"/>
      <c r="L111" s="20">
        <v>1986.76</v>
      </c>
      <c r="M111" s="765">
        <f t="shared" si="18"/>
        <v>1419.1142857142859</v>
      </c>
      <c r="N111" s="765">
        <f t="shared" si="19"/>
        <v>1444.9163636363637</v>
      </c>
      <c r="O111" s="765">
        <f t="shared" si="17"/>
        <v>1419.1142857142859</v>
      </c>
    </row>
    <row r="112" spans="1:15" s="98" customFormat="1" outlineLevel="1">
      <c r="A112" s="141" t="s">
        <v>3478</v>
      </c>
      <c r="B112" s="175" t="s">
        <v>142</v>
      </c>
      <c r="C112" s="100" t="s">
        <v>1659</v>
      </c>
      <c r="D112" s="181" t="s">
        <v>1468</v>
      </c>
      <c r="E112" s="491">
        <v>4</v>
      </c>
      <c r="F112" s="20">
        <f t="shared" si="22"/>
        <v>20.792857142857144</v>
      </c>
      <c r="G112" s="19">
        <f t="shared" si="23"/>
        <v>83.171428571428578</v>
      </c>
      <c r="H112" s="19">
        <f t="shared" si="24"/>
        <v>378.09731428571428</v>
      </c>
      <c r="I112" s="114" t="s">
        <v>1522</v>
      </c>
      <c r="J112" s="210">
        <f>VLOOKUP(I112,'Reajuste Atual'!$L$19:$M$25,2,FALSE)</f>
        <v>3.5459999999999998</v>
      </c>
      <c r="K112" s="190"/>
      <c r="L112" s="20">
        <v>29.11</v>
      </c>
      <c r="M112" s="765">
        <f t="shared" si="18"/>
        <v>20.792857142857144</v>
      </c>
      <c r="N112" s="765">
        <f t="shared" si="19"/>
        <v>21.170909090909092</v>
      </c>
      <c r="O112" s="765">
        <f t="shared" si="17"/>
        <v>20.792857142857144</v>
      </c>
    </row>
    <row r="113" spans="1:15" s="98" customFormat="1" outlineLevel="1">
      <c r="A113" s="141" t="s">
        <v>3478</v>
      </c>
      <c r="B113" s="175" t="s">
        <v>143</v>
      </c>
      <c r="C113" s="100" t="s">
        <v>1660</v>
      </c>
      <c r="D113" s="181" t="s">
        <v>1468</v>
      </c>
      <c r="E113" s="491">
        <v>4</v>
      </c>
      <c r="F113" s="20">
        <f t="shared" si="22"/>
        <v>19.971428571428572</v>
      </c>
      <c r="G113" s="19">
        <f t="shared" si="23"/>
        <v>79.885714285714286</v>
      </c>
      <c r="H113" s="19">
        <f t="shared" si="24"/>
        <v>363.16045714285707</v>
      </c>
      <c r="I113" s="114" t="s">
        <v>1522</v>
      </c>
      <c r="J113" s="210">
        <f>VLOOKUP(I113,'Reajuste Atual'!$L$19:$M$25,2,FALSE)</f>
        <v>3.5459999999999998</v>
      </c>
      <c r="K113" s="190"/>
      <c r="L113" s="20">
        <v>27.96</v>
      </c>
      <c r="M113" s="765">
        <f t="shared" si="18"/>
        <v>19.971428571428572</v>
      </c>
      <c r="N113" s="765">
        <f t="shared" si="19"/>
        <v>20.334545454545456</v>
      </c>
      <c r="O113" s="765">
        <f t="shared" si="17"/>
        <v>19.971428571428572</v>
      </c>
    </row>
    <row r="114" spans="1:15" s="98" customFormat="1" ht="15" customHeight="1" outlineLevel="1">
      <c r="A114" s="141" t="s">
        <v>3478</v>
      </c>
      <c r="B114" s="175" t="s">
        <v>144</v>
      </c>
      <c r="C114" s="100" t="s">
        <v>1661</v>
      </c>
      <c r="D114" s="181" t="s">
        <v>1468</v>
      </c>
      <c r="E114" s="491">
        <v>8</v>
      </c>
      <c r="F114" s="20">
        <f t="shared" si="22"/>
        <v>196.10000000000002</v>
      </c>
      <c r="G114" s="19">
        <f t="shared" si="23"/>
        <v>1568.8000000000002</v>
      </c>
      <c r="H114" s="19">
        <f t="shared" si="24"/>
        <v>7131.7647999999999</v>
      </c>
      <c r="I114" s="114" t="s">
        <v>1522</v>
      </c>
      <c r="J114" s="210">
        <f>VLOOKUP(I114,'Reajuste Atual'!$L$19:$M$25,2,FALSE)</f>
        <v>3.5459999999999998</v>
      </c>
      <c r="K114" s="190"/>
      <c r="L114" s="20">
        <v>274.54000000000002</v>
      </c>
      <c r="M114" s="765">
        <f t="shared" si="18"/>
        <v>196.10000000000002</v>
      </c>
      <c r="N114" s="765">
        <f t="shared" si="19"/>
        <v>199.66545454545457</v>
      </c>
      <c r="O114" s="765">
        <f t="shared" si="17"/>
        <v>196.10000000000002</v>
      </c>
    </row>
    <row r="115" spans="1:15" s="98" customFormat="1" outlineLevel="1">
      <c r="A115" s="141" t="s">
        <v>3478</v>
      </c>
      <c r="B115" s="175" t="s">
        <v>145</v>
      </c>
      <c r="C115" s="100" t="s">
        <v>1662</v>
      </c>
      <c r="D115" s="181" t="s">
        <v>1468</v>
      </c>
      <c r="E115" s="491">
        <v>2</v>
      </c>
      <c r="F115" s="20">
        <f t="shared" si="22"/>
        <v>162.42857142857144</v>
      </c>
      <c r="G115" s="19">
        <f t="shared" si="23"/>
        <v>324.85714285714289</v>
      </c>
      <c r="H115" s="19">
        <f t="shared" si="24"/>
        <v>1476.8005714285714</v>
      </c>
      <c r="I115" s="114" t="s">
        <v>1522</v>
      </c>
      <c r="J115" s="210">
        <f>VLOOKUP(I115,'Reajuste Atual'!$L$19:$M$25,2,FALSE)</f>
        <v>3.5459999999999998</v>
      </c>
      <c r="K115" s="190"/>
      <c r="L115" s="20">
        <v>227.4</v>
      </c>
      <c r="M115" s="765">
        <f t="shared" si="18"/>
        <v>162.42857142857144</v>
      </c>
      <c r="N115" s="765">
        <f t="shared" si="19"/>
        <v>165.38181818181818</v>
      </c>
      <c r="O115" s="765">
        <f t="shared" si="17"/>
        <v>162.42857142857144</v>
      </c>
    </row>
    <row r="116" spans="1:15" s="98" customFormat="1" outlineLevel="1">
      <c r="A116" s="141" t="s">
        <v>3478</v>
      </c>
      <c r="B116" s="175" t="s">
        <v>146</v>
      </c>
      <c r="C116" s="100" t="s">
        <v>1663</v>
      </c>
      <c r="D116" s="99" t="s">
        <v>1472</v>
      </c>
      <c r="E116" s="491">
        <v>35.880000000000003</v>
      </c>
      <c r="F116" s="20">
        <f t="shared" si="22"/>
        <v>30.685714285714287</v>
      </c>
      <c r="G116" s="19">
        <f t="shared" si="23"/>
        <v>1101.0034285714287</v>
      </c>
      <c r="H116" s="19">
        <f t="shared" si="24"/>
        <v>5005.1615862857143</v>
      </c>
      <c r="I116" s="114" t="s">
        <v>1522</v>
      </c>
      <c r="J116" s="210">
        <f>VLOOKUP(I116,'Reajuste Atual'!$L$19:$M$25,2,FALSE)</f>
        <v>3.5459999999999998</v>
      </c>
      <c r="K116" s="190"/>
      <c r="L116" s="20">
        <v>42.96</v>
      </c>
      <c r="M116" s="765">
        <f t="shared" si="18"/>
        <v>30.685714285714287</v>
      </c>
      <c r="N116" s="765">
        <f t="shared" si="19"/>
        <v>31.243636363636366</v>
      </c>
      <c r="O116" s="765">
        <f t="shared" si="17"/>
        <v>30.685714285714287</v>
      </c>
    </row>
    <row r="117" spans="1:15" s="98" customFormat="1" outlineLevel="1">
      <c r="A117" s="141" t="s">
        <v>3478</v>
      </c>
      <c r="B117" s="175" t="s">
        <v>147</v>
      </c>
      <c r="C117" s="766" t="s">
        <v>1664</v>
      </c>
      <c r="D117" s="99" t="s">
        <v>1472</v>
      </c>
      <c r="E117" s="911">
        <v>102</v>
      </c>
      <c r="F117" s="20">
        <f t="shared" si="22"/>
        <v>230.1357142857143</v>
      </c>
      <c r="G117" s="19">
        <f t="shared" si="23"/>
        <v>23473.842857142859</v>
      </c>
      <c r="H117" s="19">
        <f t="shared" si="24"/>
        <v>96369.514465714281</v>
      </c>
      <c r="I117" s="114" t="s">
        <v>1521</v>
      </c>
      <c r="J117" s="210">
        <f>VLOOKUP(I117,'Reajuste Atual'!$L$19:$M$25,2,FALSE)</f>
        <v>3.1053999999999999</v>
      </c>
      <c r="K117" s="190"/>
      <c r="L117" s="20">
        <v>322.19</v>
      </c>
      <c r="M117" s="765">
        <f t="shared" si="18"/>
        <v>230.1357142857143</v>
      </c>
      <c r="N117" s="765">
        <f t="shared" si="19"/>
        <v>234.32</v>
      </c>
      <c r="O117" s="765">
        <f t="shared" si="17"/>
        <v>230.1357142857143</v>
      </c>
    </row>
    <row r="118" spans="1:15" s="98" customFormat="1" outlineLevel="1">
      <c r="A118" s="141" t="s">
        <v>3478</v>
      </c>
      <c r="B118" s="175" t="s">
        <v>148</v>
      </c>
      <c r="C118" s="100" t="s">
        <v>1665</v>
      </c>
      <c r="D118" s="99" t="s">
        <v>1467</v>
      </c>
      <c r="E118" s="491">
        <v>144.38</v>
      </c>
      <c r="F118" s="20">
        <f t="shared" si="22"/>
        <v>193.97142857142859</v>
      </c>
      <c r="G118" s="19">
        <f t="shared" si="23"/>
        <v>28005.59485714286</v>
      </c>
      <c r="H118" s="19">
        <f t="shared" si="24"/>
        <v>102161.60947937143</v>
      </c>
      <c r="I118" s="114" t="s">
        <v>1526</v>
      </c>
      <c r="J118" s="210">
        <f>VLOOKUP(I118,'Reajuste Atual'!$L$19:$M$25,2,FALSE)</f>
        <v>2.6478999999999999</v>
      </c>
      <c r="K118" s="190"/>
      <c r="L118" s="20">
        <v>271.56</v>
      </c>
      <c r="M118" s="765">
        <f t="shared" si="18"/>
        <v>193.97142857142859</v>
      </c>
      <c r="N118" s="765">
        <f t="shared" si="19"/>
        <v>197.49818181818182</v>
      </c>
      <c r="O118" s="765">
        <f t="shared" si="17"/>
        <v>193.97142857142859</v>
      </c>
    </row>
    <row r="119" spans="1:15" s="98" customFormat="1" outlineLevel="1">
      <c r="A119" s="141" t="s">
        <v>3478</v>
      </c>
      <c r="B119" s="180" t="s">
        <v>149</v>
      </c>
      <c r="C119" s="100" t="s">
        <v>1621</v>
      </c>
      <c r="D119" s="99" t="s">
        <v>1467</v>
      </c>
      <c r="E119" s="491">
        <v>35.28</v>
      </c>
      <c r="F119" s="20">
        <f t="shared" si="22"/>
        <v>12.907142857142858</v>
      </c>
      <c r="G119" s="19">
        <f t="shared" si="23"/>
        <v>455.36400000000003</v>
      </c>
      <c r="H119" s="19">
        <f t="shared" si="24"/>
        <v>1573.054938</v>
      </c>
      <c r="I119" s="114" t="s">
        <v>1523</v>
      </c>
      <c r="J119" s="210">
        <f>VLOOKUP(I119,'Reajuste Atual'!$L$19:$M$25,2,FALSE)</f>
        <v>2.4544999999999999</v>
      </c>
      <c r="K119" s="190"/>
      <c r="L119" s="20">
        <v>18.07</v>
      </c>
      <c r="M119" s="765">
        <f t="shared" si="18"/>
        <v>12.907142857142858</v>
      </c>
      <c r="N119" s="765">
        <f t="shared" si="19"/>
        <v>13.141818181818183</v>
      </c>
      <c r="O119" s="765">
        <f t="shared" si="17"/>
        <v>12.907142857142858</v>
      </c>
    </row>
    <row r="120" spans="1:15" s="98" customFormat="1" outlineLevel="1">
      <c r="A120" s="141" t="s">
        <v>3478</v>
      </c>
      <c r="B120" s="180" t="s">
        <v>150</v>
      </c>
      <c r="C120" s="100" t="s">
        <v>1666</v>
      </c>
      <c r="D120" s="21" t="s">
        <v>1472</v>
      </c>
      <c r="E120" s="491">
        <v>38.43</v>
      </c>
      <c r="F120" s="20">
        <f t="shared" si="22"/>
        <v>64.657142857142858</v>
      </c>
      <c r="G120" s="19">
        <f t="shared" si="23"/>
        <v>2484.7739999999999</v>
      </c>
      <c r="H120" s="19">
        <f t="shared" si="24"/>
        <v>11295.782603999998</v>
      </c>
      <c r="I120" s="114" t="s">
        <v>1522</v>
      </c>
      <c r="J120" s="210">
        <f>VLOOKUP(I120,'Reajuste Atual'!$L$19:$M$25,2,FALSE)</f>
        <v>3.5459999999999998</v>
      </c>
      <c r="K120" s="190"/>
      <c r="L120" s="20">
        <v>90.52</v>
      </c>
      <c r="M120" s="765">
        <f t="shared" si="18"/>
        <v>64.657142857142858</v>
      </c>
      <c r="N120" s="765">
        <f t="shared" si="19"/>
        <v>65.832727272727269</v>
      </c>
      <c r="O120" s="765">
        <f t="shared" si="17"/>
        <v>64.657142857142858</v>
      </c>
    </row>
    <row r="121" spans="1:15" s="98" customFormat="1" outlineLevel="1">
      <c r="A121" s="141" t="s">
        <v>3478</v>
      </c>
      <c r="B121" s="180" t="s">
        <v>151</v>
      </c>
      <c r="C121" s="100" t="s">
        <v>1421</v>
      </c>
      <c r="D121" s="47" t="s">
        <v>1470</v>
      </c>
      <c r="E121" s="491">
        <v>129.69999999999982</v>
      </c>
      <c r="F121" s="20">
        <f t="shared" si="22"/>
        <v>1.892857142857143</v>
      </c>
      <c r="G121" s="19">
        <f t="shared" si="23"/>
        <v>245.50357142857109</v>
      </c>
      <c r="H121" s="19">
        <f t="shared" si="24"/>
        <v>1116.0592357142841</v>
      </c>
      <c r="I121" s="114" t="s">
        <v>1522</v>
      </c>
      <c r="J121" s="210">
        <f>VLOOKUP(I121,'Reajuste Atual'!$L$19:$M$25,2,FALSE)</f>
        <v>3.5459999999999998</v>
      </c>
      <c r="K121" s="190"/>
      <c r="L121" s="20">
        <v>2.65</v>
      </c>
      <c r="M121" s="765">
        <f t="shared" si="18"/>
        <v>1.892857142857143</v>
      </c>
      <c r="N121" s="765">
        <f t="shared" si="19"/>
        <v>1.9272727272727272</v>
      </c>
      <c r="O121" s="765">
        <f t="shared" si="17"/>
        <v>1.892857142857143</v>
      </c>
    </row>
    <row r="122" spans="1:15" s="98" customFormat="1" outlineLevel="1">
      <c r="A122" s="141" t="s">
        <v>3478</v>
      </c>
      <c r="B122" s="180" t="s">
        <v>152</v>
      </c>
      <c r="C122" s="100" t="s">
        <v>1667</v>
      </c>
      <c r="D122" s="47" t="s">
        <v>1470</v>
      </c>
      <c r="E122" s="491">
        <v>0</v>
      </c>
      <c r="F122" s="20">
        <f t="shared" si="22"/>
        <v>333.18571428571431</v>
      </c>
      <c r="G122" s="19">
        <f t="shared" si="23"/>
        <v>0</v>
      </c>
      <c r="H122" s="19">
        <f t="shared" si="24"/>
        <v>0</v>
      </c>
      <c r="I122" s="114" t="s">
        <v>1522</v>
      </c>
      <c r="J122" s="210">
        <f>VLOOKUP(I122,'Reajuste Atual'!$L$19:$M$25,2,FALSE)</f>
        <v>3.5459999999999998</v>
      </c>
      <c r="K122" s="190"/>
      <c r="L122" s="20">
        <v>466.46</v>
      </c>
      <c r="M122" s="765">
        <f t="shared" si="18"/>
        <v>333.18571428571431</v>
      </c>
      <c r="N122" s="765">
        <f t="shared" si="19"/>
        <v>339.24363636363637</v>
      </c>
      <c r="O122" s="765">
        <f t="shared" si="17"/>
        <v>333.18571428571431</v>
      </c>
    </row>
    <row r="123" spans="1:15" s="98" customFormat="1" outlineLevel="1">
      <c r="A123" s="141" t="s">
        <v>3478</v>
      </c>
      <c r="B123" s="180" t="s">
        <v>153</v>
      </c>
      <c r="C123" s="100" t="s">
        <v>1668</v>
      </c>
      <c r="D123" s="47" t="s">
        <v>1470</v>
      </c>
      <c r="E123" s="491">
        <v>0</v>
      </c>
      <c r="F123" s="20">
        <f t="shared" si="22"/>
        <v>9.9428571428571431</v>
      </c>
      <c r="G123" s="19">
        <f t="shared" si="23"/>
        <v>0</v>
      </c>
      <c r="H123" s="19">
        <f t="shared" si="24"/>
        <v>0</v>
      </c>
      <c r="I123" s="114" t="s">
        <v>1522</v>
      </c>
      <c r="J123" s="210">
        <f>VLOOKUP(I123,'Reajuste Atual'!$L$19:$M$25,2,FALSE)</f>
        <v>3.5459999999999998</v>
      </c>
      <c r="K123" s="190"/>
      <c r="L123" s="20">
        <v>13.92</v>
      </c>
      <c r="M123" s="765">
        <f t="shared" si="18"/>
        <v>9.9428571428571431</v>
      </c>
      <c r="N123" s="765">
        <f t="shared" si="19"/>
        <v>10.123636363636363</v>
      </c>
      <c r="O123" s="765">
        <f t="shared" si="17"/>
        <v>9.9428571428571431</v>
      </c>
    </row>
    <row r="124" spans="1:15" s="98" customFormat="1" outlineLevel="1">
      <c r="A124" s="141" t="s">
        <v>3478</v>
      </c>
      <c r="B124" s="180" t="s">
        <v>154</v>
      </c>
      <c r="C124" s="100" t="s">
        <v>1669</v>
      </c>
      <c r="D124" s="47" t="s">
        <v>1467</v>
      </c>
      <c r="E124" s="491">
        <v>11.25</v>
      </c>
      <c r="F124" s="20">
        <f t="shared" si="22"/>
        <v>6.6285714285714281</v>
      </c>
      <c r="G124" s="19">
        <f t="shared" si="23"/>
        <v>74.571428571428569</v>
      </c>
      <c r="H124" s="19">
        <f t="shared" si="24"/>
        <v>339.00171428571423</v>
      </c>
      <c r="I124" s="114" t="s">
        <v>1522</v>
      </c>
      <c r="J124" s="210">
        <f>VLOOKUP(I124,'Reajuste Atual'!$L$19:$M$25,2,FALSE)</f>
        <v>3.5459999999999998</v>
      </c>
      <c r="K124" s="190"/>
      <c r="L124" s="20">
        <v>9.2799999999999994</v>
      </c>
      <c r="M124" s="765">
        <f t="shared" si="18"/>
        <v>6.6285714285714281</v>
      </c>
      <c r="N124" s="765">
        <f t="shared" si="19"/>
        <v>6.749090909090909</v>
      </c>
      <c r="O124" s="765">
        <f t="shared" si="17"/>
        <v>6.6285714285714281</v>
      </c>
    </row>
    <row r="125" spans="1:15" s="98" customFormat="1" outlineLevel="1">
      <c r="A125" s="141" t="s">
        <v>3478</v>
      </c>
      <c r="B125" s="180" t="s">
        <v>155</v>
      </c>
      <c r="C125" s="100" t="s">
        <v>1670</v>
      </c>
      <c r="D125" s="47" t="s">
        <v>1467</v>
      </c>
      <c r="E125" s="491">
        <v>3.1000000000000014</v>
      </c>
      <c r="F125" s="20">
        <f t="shared" si="22"/>
        <v>6.7714285714285722</v>
      </c>
      <c r="G125" s="19">
        <f t="shared" si="23"/>
        <v>20.991428571428585</v>
      </c>
      <c r="H125" s="19">
        <f t="shared" si="24"/>
        <v>95.427034285714342</v>
      </c>
      <c r="I125" s="114" t="s">
        <v>1522</v>
      </c>
      <c r="J125" s="210">
        <f>VLOOKUP(I125,'Reajuste Atual'!$L$19:$M$25,2,FALSE)</f>
        <v>3.5459999999999998</v>
      </c>
      <c r="K125" s="190"/>
      <c r="L125" s="20">
        <v>9.48</v>
      </c>
      <c r="M125" s="765">
        <f t="shared" si="18"/>
        <v>6.7714285714285722</v>
      </c>
      <c r="N125" s="765">
        <f t="shared" si="19"/>
        <v>6.8945454545454545</v>
      </c>
      <c r="O125" s="765">
        <f t="shared" si="17"/>
        <v>6.7714285714285722</v>
      </c>
    </row>
    <row r="126" spans="1:15" s="98" customFormat="1" outlineLevel="1">
      <c r="A126" s="141" t="s">
        <v>3478</v>
      </c>
      <c r="B126" s="180" t="s">
        <v>156</v>
      </c>
      <c r="C126" s="100" t="s">
        <v>1671</v>
      </c>
      <c r="D126" s="47" t="s">
        <v>1470</v>
      </c>
      <c r="E126" s="491">
        <v>15.5</v>
      </c>
      <c r="F126" s="20">
        <f t="shared" si="22"/>
        <v>2.1714285714285717</v>
      </c>
      <c r="G126" s="19">
        <f t="shared" si="23"/>
        <v>33.657142857142858</v>
      </c>
      <c r="H126" s="19">
        <f t="shared" si="24"/>
        <v>153.00537142857141</v>
      </c>
      <c r="I126" s="114" t="s">
        <v>1522</v>
      </c>
      <c r="J126" s="210">
        <f>VLOOKUP(I126,'Reajuste Atual'!$L$19:$M$25,2,FALSE)</f>
        <v>3.5459999999999998</v>
      </c>
      <c r="K126" s="190"/>
      <c r="L126" s="20">
        <v>3.04</v>
      </c>
      <c r="M126" s="765">
        <f t="shared" si="18"/>
        <v>2.1714285714285717</v>
      </c>
      <c r="N126" s="765">
        <f t="shared" si="19"/>
        <v>2.2109090909090909</v>
      </c>
      <c r="O126" s="765">
        <f t="shared" si="17"/>
        <v>2.1714285714285717</v>
      </c>
    </row>
    <row r="127" spans="1:15" s="98" customFormat="1" outlineLevel="1">
      <c r="A127" s="141" t="s">
        <v>3478</v>
      </c>
      <c r="B127" s="180" t="s">
        <v>157</v>
      </c>
      <c r="C127" s="100" t="s">
        <v>1672</v>
      </c>
      <c r="D127" s="47" t="s">
        <v>1468</v>
      </c>
      <c r="E127" s="491">
        <v>4</v>
      </c>
      <c r="F127" s="20">
        <f t="shared" si="22"/>
        <v>4331.3214285714294</v>
      </c>
      <c r="G127" s="19">
        <f t="shared" si="23"/>
        <v>17325.285714285717</v>
      </c>
      <c r="H127" s="19">
        <f t="shared" si="24"/>
        <v>71127.227971428569</v>
      </c>
      <c r="I127" s="114" t="s">
        <v>1521</v>
      </c>
      <c r="J127" s="210">
        <f>VLOOKUP(I127,'Reajuste Atual'!$L$19:$M$25,2,FALSE)</f>
        <v>3.1053999999999999</v>
      </c>
      <c r="K127" s="190"/>
      <c r="L127" s="20">
        <v>6063.85</v>
      </c>
      <c r="M127" s="765">
        <f t="shared" si="18"/>
        <v>4331.3214285714294</v>
      </c>
      <c r="N127" s="765">
        <f t="shared" si="19"/>
        <v>4410.0727272727272</v>
      </c>
      <c r="O127" s="765">
        <f t="shared" si="17"/>
        <v>4331.3214285714294</v>
      </c>
    </row>
    <row r="128" spans="1:15" s="98" customFormat="1" ht="31.5" outlineLevel="1">
      <c r="A128" s="141" t="s">
        <v>3478</v>
      </c>
      <c r="B128" s="180" t="s">
        <v>158</v>
      </c>
      <c r="C128" s="100" t="s">
        <v>1673</v>
      </c>
      <c r="D128" s="21" t="s">
        <v>1468</v>
      </c>
      <c r="E128" s="491">
        <v>1</v>
      </c>
      <c r="F128" s="20">
        <f t="shared" si="22"/>
        <v>12869.807142857144</v>
      </c>
      <c r="G128" s="19">
        <f t="shared" si="23"/>
        <v>12869.807142857144</v>
      </c>
      <c r="H128" s="19">
        <f t="shared" si="24"/>
        <v>52835.706244285713</v>
      </c>
      <c r="I128" s="114" t="s">
        <v>1521</v>
      </c>
      <c r="J128" s="210">
        <f>VLOOKUP(I128,'Reajuste Atual'!$L$19:$M$25,2,FALSE)</f>
        <v>3.1053999999999999</v>
      </c>
      <c r="K128" s="190"/>
      <c r="L128" s="20">
        <v>18017.73</v>
      </c>
      <c r="M128" s="765">
        <f t="shared" si="18"/>
        <v>12869.807142857144</v>
      </c>
      <c r="N128" s="765">
        <f t="shared" si="19"/>
        <v>13103.803636363637</v>
      </c>
      <c r="O128" s="765">
        <f t="shared" si="17"/>
        <v>12869.807142857144</v>
      </c>
    </row>
    <row r="129" spans="1:15" s="98" customFormat="1" outlineLevel="1">
      <c r="A129" s="141" t="s">
        <v>3478</v>
      </c>
      <c r="B129" s="180" t="s">
        <v>159</v>
      </c>
      <c r="C129" s="100" t="s">
        <v>1674</v>
      </c>
      <c r="D129" s="47" t="s">
        <v>1468</v>
      </c>
      <c r="E129" s="491">
        <v>4</v>
      </c>
      <c r="F129" s="20">
        <f t="shared" si="22"/>
        <v>12057.835714285717</v>
      </c>
      <c r="G129" s="19">
        <f t="shared" si="23"/>
        <v>48231.342857142867</v>
      </c>
      <c r="H129" s="19">
        <f t="shared" si="24"/>
        <v>198008.95496571431</v>
      </c>
      <c r="I129" s="114" t="s">
        <v>1521</v>
      </c>
      <c r="J129" s="210">
        <f>VLOOKUP(I129,'Reajuste Atual'!$L$19:$M$25,2,FALSE)</f>
        <v>3.1053999999999999</v>
      </c>
      <c r="K129" s="190"/>
      <c r="L129" s="20">
        <v>16880.97</v>
      </c>
      <c r="M129" s="765">
        <f t="shared" si="18"/>
        <v>12057.835714285717</v>
      </c>
      <c r="N129" s="765">
        <f t="shared" si="19"/>
        <v>12277.069090909092</v>
      </c>
      <c r="O129" s="765">
        <f t="shared" si="17"/>
        <v>12057.835714285717</v>
      </c>
    </row>
    <row r="130" spans="1:15" s="98" customFormat="1" outlineLevel="1">
      <c r="A130" s="141" t="s">
        <v>3478</v>
      </c>
      <c r="B130" s="175" t="s">
        <v>2776</v>
      </c>
      <c r="C130" s="100" t="s">
        <v>2777</v>
      </c>
      <c r="D130" s="47" t="s">
        <v>1470</v>
      </c>
      <c r="E130" s="491">
        <v>160</v>
      </c>
      <c r="F130" s="20">
        <f t="shared" si="22"/>
        <v>102.09989946586572</v>
      </c>
      <c r="G130" s="19">
        <f t="shared" si="23"/>
        <v>16335.983914538516</v>
      </c>
      <c r="H130" s="19">
        <f t="shared" si="24"/>
        <v>59592.035721845052</v>
      </c>
      <c r="I130" s="114" t="s">
        <v>1526</v>
      </c>
      <c r="J130" s="210">
        <f>VLOOKUP(I130,'Reajuste Atual'!$L$19:$M$25,2,FALSE)</f>
        <v>2.6478999999999999</v>
      </c>
      <c r="K130" s="190"/>
      <c r="L130" s="20">
        <v>142.93985925221199</v>
      </c>
      <c r="M130" s="765">
        <f t="shared" si="18"/>
        <v>102.09989946586572</v>
      </c>
      <c r="N130" s="765">
        <f t="shared" si="19"/>
        <v>103.95626127433599</v>
      </c>
      <c r="O130" s="765">
        <f t="shared" si="17"/>
        <v>102.09989946586572</v>
      </c>
    </row>
    <row r="131" spans="1:15" s="98" customFormat="1" outlineLevel="1">
      <c r="A131" s="141" t="s">
        <v>3478</v>
      </c>
      <c r="B131" s="180" t="s">
        <v>2778</v>
      </c>
      <c r="C131" s="100" t="s">
        <v>1575</v>
      </c>
      <c r="D131" s="21" t="s">
        <v>1470</v>
      </c>
      <c r="E131" s="491">
        <v>160</v>
      </c>
      <c r="F131" s="20">
        <f t="shared" si="22"/>
        <v>14.264285714285714</v>
      </c>
      <c r="G131" s="19">
        <f t="shared" si="23"/>
        <v>2282.2857142857142</v>
      </c>
      <c r="H131" s="19">
        <f t="shared" si="24"/>
        <v>8325.5500571428565</v>
      </c>
      <c r="I131" s="114" t="s">
        <v>1526</v>
      </c>
      <c r="J131" s="210">
        <f>VLOOKUP(I131,'Reajuste Atual'!$L$19:$M$25,2,FALSE)</f>
        <v>2.6478999999999999</v>
      </c>
      <c r="K131" s="190"/>
      <c r="L131" s="20">
        <v>19.97</v>
      </c>
      <c r="M131" s="765">
        <f t="shared" si="18"/>
        <v>14.264285714285714</v>
      </c>
      <c r="N131" s="765">
        <f t="shared" si="19"/>
        <v>14.523636363636363</v>
      </c>
      <c r="O131" s="765">
        <f t="shared" si="17"/>
        <v>14.264285714285714</v>
      </c>
    </row>
    <row r="132" spans="1:15" s="98" customFormat="1" outlineLevel="1">
      <c r="B132" s="179" t="s">
        <v>160</v>
      </c>
      <c r="C132" s="106" t="s">
        <v>1422</v>
      </c>
      <c r="D132" s="94"/>
      <c r="E132" s="88"/>
      <c r="F132" s="89"/>
      <c r="G132" s="88">
        <f>SUM(G133:G142)</f>
        <v>527570.49454545451</v>
      </c>
      <c r="H132" s="88">
        <f>SUM(H133:H142)</f>
        <v>2165887.9083069088</v>
      </c>
      <c r="I132" s="112">
        <v>0</v>
      </c>
      <c r="J132" s="84"/>
      <c r="K132" s="192"/>
      <c r="L132" s="89"/>
      <c r="M132" s="765">
        <f t="shared" si="18"/>
        <v>0</v>
      </c>
      <c r="N132" s="765">
        <f t="shared" si="19"/>
        <v>0</v>
      </c>
      <c r="O132" s="765">
        <f t="shared" si="17"/>
        <v>0</v>
      </c>
    </row>
    <row r="133" spans="1:15" s="98" customFormat="1" outlineLevel="1">
      <c r="A133" s="141" t="s">
        <v>3483</v>
      </c>
      <c r="B133" s="175" t="s">
        <v>161</v>
      </c>
      <c r="C133" s="100" t="s">
        <v>1675</v>
      </c>
      <c r="D133" s="181" t="s">
        <v>1468</v>
      </c>
      <c r="E133" s="491">
        <v>12</v>
      </c>
      <c r="F133" s="20">
        <f t="shared" ref="F133:F142" si="25">O133</f>
        <v>4244.0872727272726</v>
      </c>
      <c r="G133" s="19">
        <f t="shared" ref="G133:G142" si="26">E133*F133</f>
        <v>50929.047272727272</v>
      </c>
      <c r="H133" s="19">
        <f t="shared" ref="H133:H142" si="27">G133*(1+J133)</f>
        <v>209084.1106734545</v>
      </c>
      <c r="I133" s="114" t="s">
        <v>1521</v>
      </c>
      <c r="J133" s="210">
        <f>VLOOKUP(I133,'Reajuste Atual'!$L$19:$M$25,2,FALSE)</f>
        <v>3.1053999999999999</v>
      </c>
      <c r="K133" s="190"/>
      <c r="L133" s="20">
        <v>5835.62</v>
      </c>
      <c r="M133" s="765">
        <f t="shared" si="18"/>
        <v>4168.3</v>
      </c>
      <c r="N133" s="765">
        <f t="shared" si="19"/>
        <v>4244.0872727272726</v>
      </c>
      <c r="O133" s="765">
        <f t="shared" si="17"/>
        <v>4244.0872727272726</v>
      </c>
    </row>
    <row r="134" spans="1:15" s="98" customFormat="1" outlineLevel="1">
      <c r="A134" s="141" t="s">
        <v>3483</v>
      </c>
      <c r="B134" s="175" t="s">
        <v>162</v>
      </c>
      <c r="C134" s="100" t="s">
        <v>1676</v>
      </c>
      <c r="D134" s="181" t="s">
        <v>1468</v>
      </c>
      <c r="E134" s="491">
        <v>32</v>
      </c>
      <c r="F134" s="20">
        <f t="shared" si="25"/>
        <v>4271.7890909090911</v>
      </c>
      <c r="G134" s="19">
        <f t="shared" si="26"/>
        <v>136697.25090909092</v>
      </c>
      <c r="H134" s="19">
        <f t="shared" si="27"/>
        <v>561196.89388218173</v>
      </c>
      <c r="I134" s="114" t="s">
        <v>1521</v>
      </c>
      <c r="J134" s="210">
        <f>VLOOKUP(I134,'Reajuste Atual'!$L$19:$M$25,2,FALSE)</f>
        <v>3.1053999999999999</v>
      </c>
      <c r="K134" s="190"/>
      <c r="L134" s="20">
        <v>5873.71</v>
      </c>
      <c r="M134" s="765">
        <f t="shared" si="18"/>
        <v>4195.5071428571428</v>
      </c>
      <c r="N134" s="765">
        <f t="shared" si="19"/>
        <v>4271.7890909090911</v>
      </c>
      <c r="O134" s="765">
        <f t="shared" si="17"/>
        <v>4271.7890909090911</v>
      </c>
    </row>
    <row r="135" spans="1:15" s="98" customFormat="1" outlineLevel="1">
      <c r="A135" s="141" t="s">
        <v>3483</v>
      </c>
      <c r="B135" s="175" t="s">
        <v>163</v>
      </c>
      <c r="C135" s="100" t="s">
        <v>1677</v>
      </c>
      <c r="D135" s="181" t="s">
        <v>1468</v>
      </c>
      <c r="E135" s="491">
        <v>4</v>
      </c>
      <c r="F135" s="20">
        <f t="shared" si="25"/>
        <v>4136.08</v>
      </c>
      <c r="G135" s="19">
        <f t="shared" si="26"/>
        <v>16544.32</v>
      </c>
      <c r="H135" s="19">
        <f t="shared" si="27"/>
        <v>67921.051327999987</v>
      </c>
      <c r="I135" s="114" t="s">
        <v>1521</v>
      </c>
      <c r="J135" s="210">
        <f>VLOOKUP(I135,'Reajuste Atual'!$L$19:$M$25,2,FALSE)</f>
        <v>3.1053999999999999</v>
      </c>
      <c r="K135" s="190"/>
      <c r="L135" s="20">
        <v>5687.11</v>
      </c>
      <c r="M135" s="765">
        <f t="shared" si="18"/>
        <v>4062.2214285714285</v>
      </c>
      <c r="N135" s="765">
        <f t="shared" si="19"/>
        <v>4136.08</v>
      </c>
      <c r="O135" s="765">
        <f t="shared" si="17"/>
        <v>4136.08</v>
      </c>
    </row>
    <row r="136" spans="1:15" s="98" customFormat="1" outlineLevel="1">
      <c r="A136" s="141" t="s">
        <v>3483</v>
      </c>
      <c r="B136" s="175" t="s">
        <v>164</v>
      </c>
      <c r="C136" s="100" t="s">
        <v>1678</v>
      </c>
      <c r="D136" s="181" t="s">
        <v>1468</v>
      </c>
      <c r="E136" s="491">
        <v>4</v>
      </c>
      <c r="F136" s="20">
        <f t="shared" si="25"/>
        <v>3870.2181818181821</v>
      </c>
      <c r="G136" s="19">
        <f t="shared" si="26"/>
        <v>15480.872727272728</v>
      </c>
      <c r="H136" s="19">
        <f t="shared" si="27"/>
        <v>63555.174894545453</v>
      </c>
      <c r="I136" s="114" t="s">
        <v>1521</v>
      </c>
      <c r="J136" s="210">
        <f>VLOOKUP(I136,'Reajuste Atual'!$L$19:$M$25,2,FALSE)</f>
        <v>3.1053999999999999</v>
      </c>
      <c r="K136" s="190"/>
      <c r="L136" s="20">
        <v>5321.55</v>
      </c>
      <c r="M136" s="765">
        <f t="shared" si="18"/>
        <v>3801.1071428571431</v>
      </c>
      <c r="N136" s="765">
        <f t="shared" si="19"/>
        <v>3870.2181818181821</v>
      </c>
      <c r="O136" s="765">
        <f t="shared" si="17"/>
        <v>3870.2181818181821</v>
      </c>
    </row>
    <row r="137" spans="1:15" s="98" customFormat="1" outlineLevel="1">
      <c r="A137" s="141" t="s">
        <v>3483</v>
      </c>
      <c r="B137" s="175" t="s">
        <v>165</v>
      </c>
      <c r="C137" s="100" t="s">
        <v>1679</v>
      </c>
      <c r="D137" s="181" t="s">
        <v>1468</v>
      </c>
      <c r="E137" s="491">
        <v>4</v>
      </c>
      <c r="F137" s="20">
        <f t="shared" si="25"/>
        <v>10515.381818181819</v>
      </c>
      <c r="G137" s="19">
        <f t="shared" si="26"/>
        <v>42061.527272727275</v>
      </c>
      <c r="H137" s="19">
        <f t="shared" si="27"/>
        <v>172679.39406545454</v>
      </c>
      <c r="I137" s="114" t="s">
        <v>1521</v>
      </c>
      <c r="J137" s="210">
        <f>VLOOKUP(I137,'Reajuste Atual'!$L$19:$M$25,2,FALSE)</f>
        <v>3.1053999999999999</v>
      </c>
      <c r="K137" s="190"/>
      <c r="L137" s="20">
        <v>14458.65</v>
      </c>
      <c r="M137" s="765">
        <f t="shared" si="18"/>
        <v>10327.607142857143</v>
      </c>
      <c r="N137" s="765">
        <f t="shared" si="19"/>
        <v>10515.381818181819</v>
      </c>
      <c r="O137" s="765">
        <f t="shared" si="17"/>
        <v>10515.381818181819</v>
      </c>
    </row>
    <row r="138" spans="1:15" s="98" customFormat="1" outlineLevel="1">
      <c r="A138" s="141" t="s">
        <v>3483</v>
      </c>
      <c r="B138" s="175" t="s">
        <v>166</v>
      </c>
      <c r="C138" s="100" t="s">
        <v>1680</v>
      </c>
      <c r="D138" s="181" t="s">
        <v>1468</v>
      </c>
      <c r="E138" s="911">
        <v>3</v>
      </c>
      <c r="F138" s="20">
        <f t="shared" si="25"/>
        <v>13195.359999999999</v>
      </c>
      <c r="G138" s="19">
        <f t="shared" si="26"/>
        <v>39586.079999999994</v>
      </c>
      <c r="H138" s="19">
        <f t="shared" si="27"/>
        <v>162516.69283199997</v>
      </c>
      <c r="I138" s="114" t="s">
        <v>1521</v>
      </c>
      <c r="J138" s="210">
        <f>VLOOKUP(I138,'Reajuste Atual'!$L$19:$M$25,2,FALSE)</f>
        <v>3.1053999999999999</v>
      </c>
      <c r="K138" s="190"/>
      <c r="L138" s="20">
        <v>18143.62</v>
      </c>
      <c r="M138" s="765">
        <f t="shared" si="18"/>
        <v>12959.728571428572</v>
      </c>
      <c r="N138" s="765">
        <f t="shared" si="19"/>
        <v>13195.359999999999</v>
      </c>
      <c r="O138" s="765">
        <f t="shared" si="17"/>
        <v>13195.359999999999</v>
      </c>
    </row>
    <row r="139" spans="1:15" s="98" customFormat="1" outlineLevel="1">
      <c r="A139" s="141" t="s">
        <v>3483</v>
      </c>
      <c r="B139" s="175" t="s">
        <v>167</v>
      </c>
      <c r="C139" s="767" t="s">
        <v>1681</v>
      </c>
      <c r="D139" s="768" t="s">
        <v>1472</v>
      </c>
      <c r="E139" s="911">
        <v>102</v>
      </c>
      <c r="F139" s="20">
        <f t="shared" si="25"/>
        <v>1458.0727272727272</v>
      </c>
      <c r="G139" s="19">
        <f t="shared" si="26"/>
        <v>148723.41818181818</v>
      </c>
      <c r="H139" s="19">
        <f t="shared" si="27"/>
        <v>610569.12100363628</v>
      </c>
      <c r="I139" s="114" t="s">
        <v>1521</v>
      </c>
      <c r="J139" s="210">
        <f>VLOOKUP(I139,'Reajuste Atual'!$L$19:$M$25,2,FALSE)</f>
        <v>3.1053999999999999</v>
      </c>
      <c r="K139" s="190"/>
      <c r="L139" s="20">
        <v>2004.85</v>
      </c>
      <c r="M139" s="765">
        <f t="shared" si="18"/>
        <v>1432.0357142857142</v>
      </c>
      <c r="N139" s="765">
        <f t="shared" si="19"/>
        <v>1458.0727272727272</v>
      </c>
      <c r="O139" s="765">
        <f t="shared" si="17"/>
        <v>1458.0727272727272</v>
      </c>
    </row>
    <row r="140" spans="1:15" s="98" customFormat="1" ht="47.25" outlineLevel="1">
      <c r="A140" s="141" t="s">
        <v>3483</v>
      </c>
      <c r="B140" s="175" t="s">
        <v>168</v>
      </c>
      <c r="C140" s="100" t="s">
        <v>1682</v>
      </c>
      <c r="D140" s="181" t="s">
        <v>1468</v>
      </c>
      <c r="E140" s="491">
        <v>4</v>
      </c>
      <c r="F140" s="20">
        <f t="shared" si="25"/>
        <v>10373.970909090909</v>
      </c>
      <c r="G140" s="19">
        <f t="shared" si="26"/>
        <v>41495.883636363636</v>
      </c>
      <c r="H140" s="19">
        <f t="shared" si="27"/>
        <v>170357.20068072726</v>
      </c>
      <c r="I140" s="114" t="s">
        <v>1521</v>
      </c>
      <c r="J140" s="210">
        <f>VLOOKUP(I140,'Reajuste Atual'!$L$19:$M$25,2,FALSE)</f>
        <v>3.1053999999999999</v>
      </c>
      <c r="K140" s="190"/>
      <c r="L140" s="20">
        <v>14264.21</v>
      </c>
      <c r="M140" s="765">
        <f t="shared" si="18"/>
        <v>10188.721428571429</v>
      </c>
      <c r="N140" s="765">
        <f t="shared" si="19"/>
        <v>10373.970909090909</v>
      </c>
      <c r="O140" s="765">
        <f t="shared" si="17"/>
        <v>10373.970909090909</v>
      </c>
    </row>
    <row r="141" spans="1:15" s="98" customFormat="1" ht="31.5" outlineLevel="1">
      <c r="A141" s="141" t="s">
        <v>3483</v>
      </c>
      <c r="B141" s="175" t="s">
        <v>169</v>
      </c>
      <c r="C141" s="100" t="s">
        <v>1683</v>
      </c>
      <c r="D141" s="181" t="s">
        <v>1468</v>
      </c>
      <c r="E141" s="491">
        <v>1</v>
      </c>
      <c r="F141" s="20">
        <f t="shared" si="25"/>
        <v>29671.076363636366</v>
      </c>
      <c r="G141" s="19">
        <f t="shared" si="26"/>
        <v>29671.076363636366</v>
      </c>
      <c r="H141" s="19">
        <f t="shared" si="27"/>
        <v>121811.63690327272</v>
      </c>
      <c r="I141" s="114" t="s">
        <v>1521</v>
      </c>
      <c r="J141" s="210">
        <f>VLOOKUP(I141,'Reajuste Atual'!$L$19:$M$25,2,FALSE)</f>
        <v>3.1053999999999999</v>
      </c>
      <c r="K141" s="190"/>
      <c r="L141" s="20">
        <v>40797.730000000003</v>
      </c>
      <c r="M141" s="765">
        <f t="shared" si="18"/>
        <v>29141.235714285718</v>
      </c>
      <c r="N141" s="765">
        <f t="shared" si="19"/>
        <v>29671.076363636366</v>
      </c>
      <c r="O141" s="765">
        <f t="shared" si="17"/>
        <v>29671.076363636366</v>
      </c>
    </row>
    <row r="142" spans="1:15" s="98" customFormat="1" outlineLevel="1">
      <c r="A142" s="141" t="s">
        <v>3483</v>
      </c>
      <c r="B142" s="175" t="s">
        <v>170</v>
      </c>
      <c r="C142" s="100" t="s">
        <v>1684</v>
      </c>
      <c r="D142" s="181" t="s">
        <v>1468</v>
      </c>
      <c r="E142" s="911">
        <v>2</v>
      </c>
      <c r="F142" s="20">
        <f t="shared" si="25"/>
        <v>3190.5090909090909</v>
      </c>
      <c r="G142" s="19">
        <f t="shared" si="26"/>
        <v>6381.0181818181818</v>
      </c>
      <c r="H142" s="19">
        <f t="shared" si="27"/>
        <v>26196.63204363636</v>
      </c>
      <c r="I142" s="114" t="s">
        <v>1521</v>
      </c>
      <c r="J142" s="210">
        <f>VLOOKUP(I142,'Reajuste Atual'!$L$19:$M$25,2,FALSE)</f>
        <v>3.1053999999999999</v>
      </c>
      <c r="K142" s="190"/>
      <c r="L142" s="20">
        <v>4386.95</v>
      </c>
      <c r="M142" s="765">
        <f t="shared" si="18"/>
        <v>3133.5357142857142</v>
      </c>
      <c r="N142" s="765">
        <f t="shared" si="19"/>
        <v>3190.5090909090909</v>
      </c>
      <c r="O142" s="765">
        <f t="shared" si="17"/>
        <v>3190.5090909090909</v>
      </c>
    </row>
    <row r="143" spans="1:15" s="98" customFormat="1" outlineLevel="1">
      <c r="B143" s="179" t="s">
        <v>171</v>
      </c>
      <c r="C143" s="769" t="s">
        <v>1423</v>
      </c>
      <c r="D143" s="94"/>
      <c r="E143" s="88"/>
      <c r="F143" s="83"/>
      <c r="G143" s="88">
        <f>SUM(G144:G153)</f>
        <v>332506.99828571425</v>
      </c>
      <c r="H143" s="88">
        <f>SUM(H144:H153)</f>
        <v>1258625.7514923855</v>
      </c>
      <c r="I143" s="112">
        <v>0</v>
      </c>
      <c r="J143" s="84"/>
      <c r="K143" s="192"/>
      <c r="L143" s="83"/>
      <c r="M143" s="765">
        <f t="shared" si="18"/>
        <v>0</v>
      </c>
      <c r="N143" s="765">
        <f t="shared" si="19"/>
        <v>0</v>
      </c>
      <c r="O143" s="765">
        <f t="shared" si="17"/>
        <v>0</v>
      </c>
    </row>
    <row r="144" spans="1:15" s="98" customFormat="1" outlineLevel="1">
      <c r="A144" s="141" t="s">
        <v>3478</v>
      </c>
      <c r="B144" s="175" t="s">
        <v>172</v>
      </c>
      <c r="C144" s="100" t="s">
        <v>1568</v>
      </c>
      <c r="D144" s="99" t="s">
        <v>1467</v>
      </c>
      <c r="E144" s="491">
        <v>4394</v>
      </c>
      <c r="F144" s="20">
        <f t="shared" ref="F144:F153" si="28">O144</f>
        <v>3.9571428571428573</v>
      </c>
      <c r="G144" s="19">
        <f t="shared" ref="G144:G153" si="29">E144*F144</f>
        <v>17387.685714285715</v>
      </c>
      <c r="H144" s="19">
        <f t="shared" ref="H144:H153" si="30">G144*(1+J144)</f>
        <v>60065.760300000002</v>
      </c>
      <c r="I144" s="114" t="s">
        <v>1523</v>
      </c>
      <c r="J144" s="210">
        <f>VLOOKUP(I144,'Reajuste Atual'!$L$19:$M$25,2,FALSE)</f>
        <v>2.4544999999999999</v>
      </c>
      <c r="K144" s="190"/>
      <c r="L144" s="20">
        <v>5.54</v>
      </c>
      <c r="M144" s="765">
        <f t="shared" si="18"/>
        <v>3.9571428571428573</v>
      </c>
      <c r="N144" s="765">
        <f t="shared" si="19"/>
        <v>4.0290909090909093</v>
      </c>
      <c r="O144" s="765">
        <f t="shared" si="17"/>
        <v>3.9571428571428573</v>
      </c>
    </row>
    <row r="145" spans="1:15" s="98" customFormat="1" outlineLevel="1">
      <c r="A145" s="141" t="s">
        <v>3478</v>
      </c>
      <c r="B145" s="175" t="s">
        <v>173</v>
      </c>
      <c r="C145" s="100" t="s">
        <v>1569</v>
      </c>
      <c r="D145" s="99" t="s">
        <v>1467</v>
      </c>
      <c r="E145" s="491">
        <v>4060.55</v>
      </c>
      <c r="F145" s="20">
        <f t="shared" si="28"/>
        <v>5.2928571428571436</v>
      </c>
      <c r="G145" s="19">
        <f t="shared" si="29"/>
        <v>21491.911071428574</v>
      </c>
      <c r="H145" s="19">
        <f t="shared" si="30"/>
        <v>74243.806796250006</v>
      </c>
      <c r="I145" s="114" t="s">
        <v>1523</v>
      </c>
      <c r="J145" s="210">
        <f>VLOOKUP(I145,'Reajuste Atual'!$L$19:$M$25,2,FALSE)</f>
        <v>2.4544999999999999</v>
      </c>
      <c r="K145" s="190"/>
      <c r="L145" s="20">
        <v>7.41</v>
      </c>
      <c r="M145" s="765">
        <f t="shared" si="18"/>
        <v>5.2928571428571436</v>
      </c>
      <c r="N145" s="765">
        <f t="shared" si="19"/>
        <v>5.3890909090909096</v>
      </c>
      <c r="O145" s="765">
        <f t="shared" si="17"/>
        <v>5.2928571428571436</v>
      </c>
    </row>
    <row r="146" spans="1:15" s="98" customFormat="1" outlineLevel="1">
      <c r="A146" s="141" t="s">
        <v>3478</v>
      </c>
      <c r="B146" s="175" t="s">
        <v>174</v>
      </c>
      <c r="C146" s="100" t="s">
        <v>1636</v>
      </c>
      <c r="D146" s="99" t="s">
        <v>1467</v>
      </c>
      <c r="E146" s="491">
        <v>333.45</v>
      </c>
      <c r="F146" s="20">
        <f t="shared" si="28"/>
        <v>203.15000000000003</v>
      </c>
      <c r="G146" s="19">
        <f t="shared" si="29"/>
        <v>67740.367500000008</v>
      </c>
      <c r="H146" s="19">
        <f t="shared" si="30"/>
        <v>247110.08660325003</v>
      </c>
      <c r="I146" s="114" t="s">
        <v>1526</v>
      </c>
      <c r="J146" s="210">
        <f>VLOOKUP(I146,'Reajuste Atual'!$L$19:$M$25,2,FALSE)</f>
        <v>2.6478999999999999</v>
      </c>
      <c r="K146" s="190"/>
      <c r="L146" s="20">
        <v>284.41000000000003</v>
      </c>
      <c r="M146" s="765">
        <f t="shared" si="18"/>
        <v>203.15000000000003</v>
      </c>
      <c r="N146" s="765">
        <f t="shared" si="19"/>
        <v>206.84363636363639</v>
      </c>
      <c r="O146" s="765">
        <f t="shared" si="17"/>
        <v>203.15000000000003</v>
      </c>
    </row>
    <row r="147" spans="1:15" s="98" customFormat="1" outlineLevel="1">
      <c r="A147" s="141" t="s">
        <v>3478</v>
      </c>
      <c r="B147" s="175" t="s">
        <v>175</v>
      </c>
      <c r="C147" s="100" t="s">
        <v>1574</v>
      </c>
      <c r="D147" s="99" t="s">
        <v>1467</v>
      </c>
      <c r="E147" s="491">
        <v>29.79</v>
      </c>
      <c r="F147" s="20">
        <f t="shared" si="28"/>
        <v>168.82857142857145</v>
      </c>
      <c r="G147" s="19">
        <f t="shared" si="29"/>
        <v>5029.4031428571434</v>
      </c>
      <c r="H147" s="19">
        <f t="shared" si="30"/>
        <v>18346.759724828575</v>
      </c>
      <c r="I147" s="114" t="s">
        <v>1526</v>
      </c>
      <c r="J147" s="210">
        <f>VLOOKUP(I147,'Reajuste Atual'!$L$19:$M$25,2,FALSE)</f>
        <v>2.6478999999999999</v>
      </c>
      <c r="K147" s="190"/>
      <c r="L147" s="20">
        <v>236.36</v>
      </c>
      <c r="M147" s="765">
        <f t="shared" si="18"/>
        <v>168.82857142857145</v>
      </c>
      <c r="N147" s="765">
        <f t="shared" si="19"/>
        <v>171.89818181818183</v>
      </c>
      <c r="O147" s="765">
        <f t="shared" si="17"/>
        <v>168.82857142857145</v>
      </c>
    </row>
    <row r="148" spans="1:15" s="98" customFormat="1" outlineLevel="1">
      <c r="A148" s="141" t="s">
        <v>3478</v>
      </c>
      <c r="B148" s="175" t="s">
        <v>176</v>
      </c>
      <c r="C148" s="100" t="s">
        <v>1570</v>
      </c>
      <c r="D148" s="99" t="s">
        <v>1470</v>
      </c>
      <c r="E148" s="491">
        <v>1554.71</v>
      </c>
      <c r="F148" s="20">
        <f t="shared" si="28"/>
        <v>38.228571428571435</v>
      </c>
      <c r="G148" s="19">
        <f t="shared" si="29"/>
        <v>59434.342285714294</v>
      </c>
      <c r="H148" s="19">
        <f t="shared" si="30"/>
        <v>216810.53722405716</v>
      </c>
      <c r="I148" s="114" t="s">
        <v>1526</v>
      </c>
      <c r="J148" s="210">
        <f>VLOOKUP(I148,'Reajuste Atual'!$L$19:$M$25,2,FALSE)</f>
        <v>2.6478999999999999</v>
      </c>
      <c r="K148" s="190"/>
      <c r="L148" s="20">
        <v>53.52</v>
      </c>
      <c r="M148" s="765">
        <f t="shared" si="18"/>
        <v>38.228571428571435</v>
      </c>
      <c r="N148" s="765">
        <f t="shared" si="19"/>
        <v>38.923636363636369</v>
      </c>
      <c r="O148" s="765">
        <f t="shared" si="17"/>
        <v>38.228571428571435</v>
      </c>
    </row>
    <row r="149" spans="1:15" s="98" customFormat="1" outlineLevel="1">
      <c r="A149" s="141" t="s">
        <v>3478</v>
      </c>
      <c r="B149" s="175" t="s">
        <v>177</v>
      </c>
      <c r="C149" s="100" t="s">
        <v>1637</v>
      </c>
      <c r="D149" s="99" t="s">
        <v>1471</v>
      </c>
      <c r="E149" s="491">
        <v>16194</v>
      </c>
      <c r="F149" s="20">
        <f t="shared" si="28"/>
        <v>2.7642857142857147</v>
      </c>
      <c r="G149" s="19">
        <f t="shared" si="29"/>
        <v>44764.842857142867</v>
      </c>
      <c r="H149" s="19">
        <f t="shared" si="30"/>
        <v>163297.67025857145</v>
      </c>
      <c r="I149" s="114" t="s">
        <v>1526</v>
      </c>
      <c r="J149" s="210">
        <f>VLOOKUP(I149,'Reajuste Atual'!$L$19:$M$25,2,FALSE)</f>
        <v>2.6478999999999999</v>
      </c>
      <c r="K149" s="190"/>
      <c r="L149" s="20">
        <v>3.87</v>
      </c>
      <c r="M149" s="765">
        <f t="shared" si="18"/>
        <v>2.7642857142857147</v>
      </c>
      <c r="N149" s="765">
        <f t="shared" si="19"/>
        <v>2.8145454545454545</v>
      </c>
      <c r="O149" s="765">
        <f t="shared" si="17"/>
        <v>2.7642857142857147</v>
      </c>
    </row>
    <row r="150" spans="1:15" s="98" customFormat="1" outlineLevel="1">
      <c r="A150" s="141" t="s">
        <v>3478</v>
      </c>
      <c r="B150" s="175" t="s">
        <v>178</v>
      </c>
      <c r="C150" s="100" t="s">
        <v>1401</v>
      </c>
      <c r="D150" s="99" t="s">
        <v>1467</v>
      </c>
      <c r="E150" s="911">
        <v>19.699999999999989</v>
      </c>
      <c r="F150" s="20">
        <f t="shared" si="28"/>
        <v>19.8</v>
      </c>
      <c r="G150" s="19">
        <f t="shared" si="29"/>
        <v>390.05999999999977</v>
      </c>
      <c r="H150" s="19">
        <f t="shared" si="30"/>
        <v>1422.899873999999</v>
      </c>
      <c r="I150" s="114" t="s">
        <v>1526</v>
      </c>
      <c r="J150" s="210">
        <f>VLOOKUP(I150,'Reajuste Atual'!$L$19:$M$25,2,FALSE)</f>
        <v>2.6478999999999999</v>
      </c>
      <c r="K150" s="190"/>
      <c r="L150" s="20">
        <v>27.72</v>
      </c>
      <c r="M150" s="765">
        <f t="shared" si="18"/>
        <v>19.8</v>
      </c>
      <c r="N150" s="765">
        <f t="shared" si="19"/>
        <v>20.16</v>
      </c>
      <c r="O150" s="765">
        <f t="shared" si="17"/>
        <v>19.8</v>
      </c>
    </row>
    <row r="151" spans="1:15" s="98" customFormat="1" ht="31.5" outlineLevel="1">
      <c r="A151" s="141" t="s">
        <v>3478</v>
      </c>
      <c r="B151" s="175" t="s">
        <v>179</v>
      </c>
      <c r="C151" s="100" t="s">
        <v>1685</v>
      </c>
      <c r="D151" s="181" t="s">
        <v>1468</v>
      </c>
      <c r="E151" s="911">
        <v>2</v>
      </c>
      <c r="F151" s="20">
        <f t="shared" si="28"/>
        <v>4578.4142857142861</v>
      </c>
      <c r="G151" s="19">
        <f t="shared" si="29"/>
        <v>9156.8285714285721</v>
      </c>
      <c r="H151" s="19">
        <f t="shared" si="30"/>
        <v>37592.444017142858</v>
      </c>
      <c r="I151" s="114" t="s">
        <v>1521</v>
      </c>
      <c r="J151" s="210">
        <f>VLOOKUP(I151,'Reajuste Atual'!$L$19:$M$25,2,FALSE)</f>
        <v>3.1053999999999999</v>
      </c>
      <c r="K151" s="190"/>
      <c r="L151" s="20">
        <v>6409.78</v>
      </c>
      <c r="M151" s="765">
        <f t="shared" si="18"/>
        <v>4578.4142857142861</v>
      </c>
      <c r="N151" s="765">
        <f t="shared" si="19"/>
        <v>4661.6581818181812</v>
      </c>
      <c r="O151" s="765">
        <f t="shared" si="17"/>
        <v>4578.4142857142861</v>
      </c>
    </row>
    <row r="152" spans="1:15" s="98" customFormat="1" ht="31.5" outlineLevel="1">
      <c r="A152" s="141" t="s">
        <v>3478</v>
      </c>
      <c r="B152" s="180" t="s">
        <v>180</v>
      </c>
      <c r="C152" s="100" t="s">
        <v>1686</v>
      </c>
      <c r="D152" s="47" t="s">
        <v>1468</v>
      </c>
      <c r="E152" s="911">
        <v>6</v>
      </c>
      <c r="F152" s="20">
        <f t="shared" si="28"/>
        <v>13018.3</v>
      </c>
      <c r="G152" s="19">
        <f t="shared" si="29"/>
        <v>78109.799999999988</v>
      </c>
      <c r="H152" s="19">
        <f t="shared" si="30"/>
        <v>320671.97291999991</v>
      </c>
      <c r="I152" s="114" t="s">
        <v>1521</v>
      </c>
      <c r="J152" s="210">
        <f>VLOOKUP(I152,'Reajuste Atual'!$L$19:$M$25,2,FALSE)</f>
        <v>3.1053999999999999</v>
      </c>
      <c r="K152" s="190"/>
      <c r="L152" s="20">
        <v>18225.62</v>
      </c>
      <c r="M152" s="765">
        <f t="shared" si="18"/>
        <v>13018.3</v>
      </c>
      <c r="N152" s="765">
        <f t="shared" si="19"/>
        <v>13254.996363636363</v>
      </c>
      <c r="O152" s="765">
        <f t="shared" si="17"/>
        <v>13018.3</v>
      </c>
    </row>
    <row r="153" spans="1:15" s="98" customFormat="1" ht="31.5" outlineLevel="1">
      <c r="A153" s="141" t="s">
        <v>3478</v>
      </c>
      <c r="B153" s="175" t="s">
        <v>181</v>
      </c>
      <c r="C153" s="100" t="s">
        <v>1687</v>
      </c>
      <c r="D153" s="181" t="s">
        <v>1468</v>
      </c>
      <c r="E153" s="911">
        <v>2</v>
      </c>
      <c r="F153" s="20">
        <f t="shared" si="28"/>
        <v>14500.878571428571</v>
      </c>
      <c r="G153" s="19">
        <f t="shared" si="29"/>
        <v>29001.757142857143</v>
      </c>
      <c r="H153" s="19">
        <f t="shared" si="30"/>
        <v>119063.81377428569</v>
      </c>
      <c r="I153" s="114" t="s">
        <v>1521</v>
      </c>
      <c r="J153" s="210">
        <f>VLOOKUP(I153,'Reajuste Atual'!$L$19:$M$25,2,FALSE)</f>
        <v>3.1053999999999999</v>
      </c>
      <c r="K153" s="190"/>
      <c r="L153" s="20">
        <v>20301.23</v>
      </c>
      <c r="M153" s="765">
        <f t="shared" si="18"/>
        <v>14500.878571428571</v>
      </c>
      <c r="N153" s="765">
        <f t="shared" si="19"/>
        <v>14764.530909090909</v>
      </c>
      <c r="O153" s="765">
        <f t="shared" si="17"/>
        <v>14500.878571428571</v>
      </c>
    </row>
    <row r="154" spans="1:15" s="98" customFormat="1" outlineLevel="1">
      <c r="B154" s="179" t="s">
        <v>182</v>
      </c>
      <c r="C154" s="106" t="s">
        <v>1424</v>
      </c>
      <c r="D154" s="81"/>
      <c r="E154" s="88"/>
      <c r="F154" s="83"/>
      <c r="G154" s="88">
        <f>SUM(G155:G157)</f>
        <v>258341.51272727273</v>
      </c>
      <c r="H154" s="88">
        <f>SUM(H155:H157)</f>
        <v>1060595.2463505454</v>
      </c>
      <c r="I154" s="112"/>
      <c r="J154" s="84"/>
      <c r="K154" s="192"/>
      <c r="L154" s="83"/>
      <c r="M154" s="765">
        <f t="shared" si="18"/>
        <v>0</v>
      </c>
      <c r="N154" s="765">
        <f t="shared" si="19"/>
        <v>0</v>
      </c>
      <c r="O154" s="765">
        <f t="shared" ref="O154:O217" si="31">IF(A154="S",M154,N154)</f>
        <v>0</v>
      </c>
    </row>
    <row r="155" spans="1:15" s="98" customFormat="1" ht="47.25" outlineLevel="1">
      <c r="A155" s="141" t="s">
        <v>3483</v>
      </c>
      <c r="B155" s="175" t="s">
        <v>183</v>
      </c>
      <c r="C155" s="100" t="s">
        <v>1688</v>
      </c>
      <c r="D155" s="181" t="s">
        <v>1468</v>
      </c>
      <c r="E155" s="491">
        <v>2</v>
      </c>
      <c r="F155" s="20">
        <f t="shared" ref="F155:F157" si="32">O155</f>
        <v>12044.836363636365</v>
      </c>
      <c r="G155" s="19">
        <f>E155*F155</f>
        <v>24089.672727272729</v>
      </c>
      <c r="H155" s="19">
        <f t="shared" ref="H155:H157" si="33">G155*(1+J155)</f>
        <v>98897.742414545457</v>
      </c>
      <c r="I155" s="114" t="s">
        <v>1521</v>
      </c>
      <c r="J155" s="210">
        <f>VLOOKUP(I155,'Reajuste Atual'!$L$19:$M$25,2,FALSE)</f>
        <v>3.1053999999999999</v>
      </c>
      <c r="K155" s="190"/>
      <c r="L155" s="20">
        <v>16561.650000000001</v>
      </c>
      <c r="M155" s="765">
        <f t="shared" ref="M155:M218" si="34">L155/($M$23+1)</f>
        <v>11829.750000000002</v>
      </c>
      <c r="N155" s="765">
        <f t="shared" ref="N155:N218" si="35">L155/($N$23+1)</f>
        <v>12044.836363636365</v>
      </c>
      <c r="O155" s="765">
        <f t="shared" si="31"/>
        <v>12044.836363636365</v>
      </c>
    </row>
    <row r="156" spans="1:15" s="98" customFormat="1" ht="31.5" outlineLevel="1">
      <c r="A156" s="141" t="s">
        <v>3483</v>
      </c>
      <c r="B156" s="175" t="s">
        <v>184</v>
      </c>
      <c r="C156" s="100" t="s">
        <v>1689</v>
      </c>
      <c r="D156" s="181" t="s">
        <v>1468</v>
      </c>
      <c r="E156" s="491">
        <v>6</v>
      </c>
      <c r="F156" s="20">
        <f t="shared" si="32"/>
        <v>37913.745454545453</v>
      </c>
      <c r="G156" s="19">
        <f>E156*F156</f>
        <v>227482.47272727272</v>
      </c>
      <c r="H156" s="19">
        <f t="shared" si="33"/>
        <v>933906.54353454534</v>
      </c>
      <c r="I156" s="114" t="s">
        <v>1521</v>
      </c>
      <c r="J156" s="210">
        <f>VLOOKUP(I156,'Reajuste Atual'!$L$19:$M$25,2,FALSE)</f>
        <v>3.1053999999999999</v>
      </c>
      <c r="K156" s="190"/>
      <c r="L156" s="20">
        <v>52131.4</v>
      </c>
      <c r="M156" s="765">
        <f t="shared" si="34"/>
        <v>37236.71428571429</v>
      </c>
      <c r="N156" s="765">
        <f t="shared" si="35"/>
        <v>37913.745454545453</v>
      </c>
      <c r="O156" s="765">
        <f t="shared" si="31"/>
        <v>37913.745454545453</v>
      </c>
    </row>
    <row r="157" spans="1:15" s="98" customFormat="1" outlineLevel="1">
      <c r="A157" s="141" t="s">
        <v>3483</v>
      </c>
      <c r="B157" s="175" t="s">
        <v>185</v>
      </c>
      <c r="C157" s="100" t="s">
        <v>1690</v>
      </c>
      <c r="D157" s="181" t="s">
        <v>1468</v>
      </c>
      <c r="E157" s="911">
        <v>2</v>
      </c>
      <c r="F157" s="20">
        <f t="shared" si="32"/>
        <v>3384.6836363636362</v>
      </c>
      <c r="G157" s="19">
        <f>E157*F157</f>
        <v>6769.3672727272724</v>
      </c>
      <c r="H157" s="19">
        <f t="shared" si="33"/>
        <v>27790.96040145454</v>
      </c>
      <c r="I157" s="114" t="s">
        <v>1521</v>
      </c>
      <c r="J157" s="210">
        <f>VLOOKUP(I157,'Reajuste Atual'!$L$19:$M$25,2,FALSE)</f>
        <v>3.1053999999999999</v>
      </c>
      <c r="K157" s="190"/>
      <c r="L157" s="20">
        <v>4653.9399999999996</v>
      </c>
      <c r="M157" s="765">
        <f t="shared" si="34"/>
        <v>3324.2428571428572</v>
      </c>
      <c r="N157" s="765">
        <f t="shared" si="35"/>
        <v>3384.6836363636362</v>
      </c>
      <c r="O157" s="765">
        <f t="shared" si="31"/>
        <v>3384.6836363636362</v>
      </c>
    </row>
    <row r="158" spans="1:15" s="98" customFormat="1" outlineLevel="1">
      <c r="B158" s="178" t="s">
        <v>186</v>
      </c>
      <c r="C158" s="102" t="s">
        <v>1425</v>
      </c>
      <c r="D158" s="91"/>
      <c r="E158" s="63"/>
      <c r="F158" s="63"/>
      <c r="G158" s="63">
        <f>G159</f>
        <v>616044.62509999995</v>
      </c>
      <c r="H158" s="63">
        <f>H159</f>
        <v>2207874.4265809217</v>
      </c>
      <c r="I158" s="111">
        <v>0</v>
      </c>
      <c r="J158" s="86"/>
      <c r="K158" s="191"/>
      <c r="L158" s="63"/>
      <c r="M158" s="765">
        <f t="shared" si="34"/>
        <v>0</v>
      </c>
      <c r="N158" s="765">
        <f t="shared" si="35"/>
        <v>0</v>
      </c>
      <c r="O158" s="765">
        <f t="shared" si="31"/>
        <v>0</v>
      </c>
    </row>
    <row r="159" spans="1:15" s="98" customFormat="1" outlineLevel="1">
      <c r="B159" s="179" t="s">
        <v>187</v>
      </c>
      <c r="C159" s="106" t="s">
        <v>1412</v>
      </c>
      <c r="D159" s="81"/>
      <c r="E159" s="89"/>
      <c r="F159" s="89"/>
      <c r="G159" s="89">
        <f>SUM(G160:G177)</f>
        <v>616044.62509999995</v>
      </c>
      <c r="H159" s="89">
        <f>SUM(H160:H177)</f>
        <v>2207874.4265809217</v>
      </c>
      <c r="I159" s="112">
        <v>0</v>
      </c>
      <c r="J159" s="84"/>
      <c r="K159" s="192"/>
      <c r="L159" s="89"/>
      <c r="M159" s="765">
        <f t="shared" si="34"/>
        <v>0</v>
      </c>
      <c r="N159" s="765">
        <f t="shared" si="35"/>
        <v>0</v>
      </c>
      <c r="O159" s="765">
        <f t="shared" si="31"/>
        <v>0</v>
      </c>
    </row>
    <row r="160" spans="1:15" s="98" customFormat="1" ht="31.5" outlineLevel="1">
      <c r="A160" s="141" t="s">
        <v>3478</v>
      </c>
      <c r="B160" s="175" t="s">
        <v>188</v>
      </c>
      <c r="C160" s="100" t="s">
        <v>1577</v>
      </c>
      <c r="D160" s="99" t="s">
        <v>1467</v>
      </c>
      <c r="E160" s="491">
        <v>33195.945999999996</v>
      </c>
      <c r="F160" s="20">
        <f t="shared" ref="F160:F177" si="36">O160</f>
        <v>6.9214285714285717</v>
      </c>
      <c r="G160" s="19">
        <f t="shared" ref="G160:G177" si="37">E160*F160</f>
        <v>229763.36909999998</v>
      </c>
      <c r="H160" s="19">
        <f t="shared" ref="H160:H177" si="38">G160*(1+J160)</f>
        <v>793717.55855594995</v>
      </c>
      <c r="I160" s="114" t="s">
        <v>1523</v>
      </c>
      <c r="J160" s="210">
        <f>VLOOKUP(I160,'Reajuste Atual'!$L$19:$M$25,2,FALSE)</f>
        <v>2.4544999999999999</v>
      </c>
      <c r="K160" s="190"/>
      <c r="L160" s="20">
        <v>9.69</v>
      </c>
      <c r="M160" s="765">
        <f t="shared" si="34"/>
        <v>6.9214285714285717</v>
      </c>
      <c r="N160" s="765">
        <f t="shared" si="35"/>
        <v>7.0472727272727269</v>
      </c>
      <c r="O160" s="765">
        <f t="shared" si="31"/>
        <v>6.9214285714285717</v>
      </c>
    </row>
    <row r="161" spans="1:15" s="98" customFormat="1" outlineLevel="1">
      <c r="A161" s="141" t="s">
        <v>3478</v>
      </c>
      <c r="B161" s="175" t="s">
        <v>189</v>
      </c>
      <c r="C161" s="100" t="s">
        <v>1574</v>
      </c>
      <c r="D161" s="99" t="s">
        <v>1467</v>
      </c>
      <c r="E161" s="491">
        <v>86.399999999999977</v>
      </c>
      <c r="F161" s="20">
        <f t="shared" si="36"/>
        <v>168.82857142857145</v>
      </c>
      <c r="G161" s="19">
        <f t="shared" si="37"/>
        <v>14586.788571428569</v>
      </c>
      <c r="H161" s="19">
        <f t="shared" si="38"/>
        <v>53211.146029714277</v>
      </c>
      <c r="I161" s="114" t="s">
        <v>1526</v>
      </c>
      <c r="J161" s="210">
        <f>VLOOKUP(I161,'Reajuste Atual'!$L$19:$M$25,2,FALSE)</f>
        <v>2.6478999999999999</v>
      </c>
      <c r="K161" s="190"/>
      <c r="L161" s="20">
        <v>236.36</v>
      </c>
      <c r="M161" s="765">
        <f t="shared" si="34"/>
        <v>168.82857142857145</v>
      </c>
      <c r="N161" s="765">
        <f t="shared" si="35"/>
        <v>171.89818181818183</v>
      </c>
      <c r="O161" s="765">
        <f t="shared" si="31"/>
        <v>168.82857142857145</v>
      </c>
    </row>
    <row r="162" spans="1:15" s="98" customFormat="1" outlineLevel="1">
      <c r="A162" s="141" t="s">
        <v>3478</v>
      </c>
      <c r="B162" s="175" t="s">
        <v>190</v>
      </c>
      <c r="C162" s="100" t="s">
        <v>1636</v>
      </c>
      <c r="D162" s="99" t="s">
        <v>1467</v>
      </c>
      <c r="E162" s="491">
        <v>585.78</v>
      </c>
      <c r="F162" s="20">
        <f t="shared" si="36"/>
        <v>203.15000000000003</v>
      </c>
      <c r="G162" s="19">
        <f t="shared" si="37"/>
        <v>119001.20700000001</v>
      </c>
      <c r="H162" s="19">
        <f t="shared" si="38"/>
        <v>434104.50301530003</v>
      </c>
      <c r="I162" s="114" t="s">
        <v>1526</v>
      </c>
      <c r="J162" s="210">
        <f>VLOOKUP(I162,'Reajuste Atual'!$L$19:$M$25,2,FALSE)</f>
        <v>2.6478999999999999</v>
      </c>
      <c r="K162" s="190"/>
      <c r="L162" s="20">
        <v>284.41000000000003</v>
      </c>
      <c r="M162" s="765">
        <f t="shared" si="34"/>
        <v>203.15000000000003</v>
      </c>
      <c r="N162" s="765">
        <f t="shared" si="35"/>
        <v>206.84363636363639</v>
      </c>
      <c r="O162" s="765">
        <f t="shared" si="31"/>
        <v>203.15000000000003</v>
      </c>
    </row>
    <row r="163" spans="1:15" s="98" customFormat="1" outlineLevel="1">
      <c r="A163" s="141" t="s">
        <v>3478</v>
      </c>
      <c r="B163" s="175" t="s">
        <v>191</v>
      </c>
      <c r="C163" s="100" t="s">
        <v>1570</v>
      </c>
      <c r="D163" s="99" t="s">
        <v>1470</v>
      </c>
      <c r="E163" s="491">
        <v>1125.5999999999999</v>
      </c>
      <c r="F163" s="20">
        <f t="shared" si="36"/>
        <v>38.228571428571435</v>
      </c>
      <c r="G163" s="19">
        <f t="shared" si="37"/>
        <v>43030.080000000002</v>
      </c>
      <c r="H163" s="19">
        <f t="shared" si="38"/>
        <v>156969.42883200001</v>
      </c>
      <c r="I163" s="114" t="s">
        <v>1526</v>
      </c>
      <c r="J163" s="210">
        <f>VLOOKUP(I163,'Reajuste Atual'!$L$19:$M$25,2,FALSE)</f>
        <v>2.6478999999999999</v>
      </c>
      <c r="K163" s="190"/>
      <c r="L163" s="20">
        <v>53.52</v>
      </c>
      <c r="M163" s="765">
        <f t="shared" si="34"/>
        <v>38.228571428571435</v>
      </c>
      <c r="N163" s="765">
        <f t="shared" si="35"/>
        <v>38.923636363636369</v>
      </c>
      <c r="O163" s="765">
        <f t="shared" si="31"/>
        <v>38.228571428571435</v>
      </c>
    </row>
    <row r="164" spans="1:15" s="98" customFormat="1" outlineLevel="1">
      <c r="A164" s="141" t="s">
        <v>3478</v>
      </c>
      <c r="B164" s="175" t="s">
        <v>192</v>
      </c>
      <c r="C164" s="100" t="s">
        <v>1637</v>
      </c>
      <c r="D164" s="99" t="s">
        <v>1478</v>
      </c>
      <c r="E164" s="491">
        <v>34456.979999999996</v>
      </c>
      <c r="F164" s="20">
        <f t="shared" si="36"/>
        <v>2.7642857142857147</v>
      </c>
      <c r="G164" s="19">
        <f t="shared" si="37"/>
        <v>95248.937571428571</v>
      </c>
      <c r="H164" s="19">
        <f t="shared" si="38"/>
        <v>347458.59936681425</v>
      </c>
      <c r="I164" s="114" t="s">
        <v>1526</v>
      </c>
      <c r="J164" s="210">
        <f>VLOOKUP(I164,'Reajuste Atual'!$L$19:$M$25,2,FALSE)</f>
        <v>2.6478999999999999</v>
      </c>
      <c r="K164" s="190"/>
      <c r="L164" s="20">
        <v>3.87</v>
      </c>
      <c r="M164" s="765">
        <f t="shared" si="34"/>
        <v>2.7642857142857147</v>
      </c>
      <c r="N164" s="765">
        <f t="shared" si="35"/>
        <v>2.8145454545454545</v>
      </c>
      <c r="O164" s="765">
        <f t="shared" si="31"/>
        <v>2.7642857142857147</v>
      </c>
    </row>
    <row r="165" spans="1:15" s="98" customFormat="1" outlineLevel="1">
      <c r="A165" s="141" t="s">
        <v>3478</v>
      </c>
      <c r="B165" s="175" t="s">
        <v>193</v>
      </c>
      <c r="C165" s="100" t="s">
        <v>1691</v>
      </c>
      <c r="D165" s="99" t="s">
        <v>1470</v>
      </c>
      <c r="E165" s="491">
        <v>3.24</v>
      </c>
      <c r="F165" s="20">
        <f t="shared" si="36"/>
        <v>81.757142857142853</v>
      </c>
      <c r="G165" s="19">
        <f t="shared" si="37"/>
        <v>264.89314285714283</v>
      </c>
      <c r="H165" s="19">
        <f t="shared" si="38"/>
        <v>1204.2042274285711</v>
      </c>
      <c r="I165" s="114" t="s">
        <v>1522</v>
      </c>
      <c r="J165" s="210">
        <f>VLOOKUP(I165,'Reajuste Atual'!$L$19:$M$25,2,FALSE)</f>
        <v>3.5459999999999998</v>
      </c>
      <c r="K165" s="190"/>
      <c r="L165" s="20">
        <v>114.46</v>
      </c>
      <c r="M165" s="765">
        <f t="shared" si="34"/>
        <v>81.757142857142853</v>
      </c>
      <c r="N165" s="765">
        <f t="shared" si="35"/>
        <v>83.243636363636355</v>
      </c>
      <c r="O165" s="765">
        <f t="shared" si="31"/>
        <v>81.757142857142853</v>
      </c>
    </row>
    <row r="166" spans="1:15" s="98" customFormat="1" outlineLevel="1">
      <c r="A166" s="141" t="s">
        <v>3478</v>
      </c>
      <c r="B166" s="175" t="s">
        <v>194</v>
      </c>
      <c r="C166" s="100" t="s">
        <v>1629</v>
      </c>
      <c r="D166" s="99" t="s">
        <v>1472</v>
      </c>
      <c r="E166" s="491">
        <v>58.8</v>
      </c>
      <c r="F166" s="20">
        <f t="shared" si="36"/>
        <v>7.5642857142857149</v>
      </c>
      <c r="G166" s="19">
        <f t="shared" si="37"/>
        <v>444.78000000000003</v>
      </c>
      <c r="H166" s="19">
        <f t="shared" si="38"/>
        <v>2021.9698799999999</v>
      </c>
      <c r="I166" s="114" t="s">
        <v>1522</v>
      </c>
      <c r="J166" s="210">
        <f>VLOOKUP(I166,'Reajuste Atual'!$L$19:$M$25,2,FALSE)</f>
        <v>3.5459999999999998</v>
      </c>
      <c r="K166" s="190"/>
      <c r="L166" s="20">
        <v>10.59</v>
      </c>
      <c r="M166" s="765">
        <f t="shared" si="34"/>
        <v>7.5642857142857149</v>
      </c>
      <c r="N166" s="765">
        <f t="shared" si="35"/>
        <v>7.7018181818181821</v>
      </c>
      <c r="O166" s="765">
        <f t="shared" si="31"/>
        <v>7.5642857142857149</v>
      </c>
    </row>
    <row r="167" spans="1:15" s="98" customFormat="1" outlineLevel="1">
      <c r="A167" s="141" t="s">
        <v>3478</v>
      </c>
      <c r="B167" s="175" t="s">
        <v>195</v>
      </c>
      <c r="C167" s="100" t="s">
        <v>1666</v>
      </c>
      <c r="D167" s="99" t="s">
        <v>1472</v>
      </c>
      <c r="E167" s="491">
        <v>178.25</v>
      </c>
      <c r="F167" s="20">
        <f t="shared" si="36"/>
        <v>64.657142857142858</v>
      </c>
      <c r="G167" s="19">
        <f t="shared" si="37"/>
        <v>11525.135714285714</v>
      </c>
      <c r="H167" s="19">
        <f t="shared" si="38"/>
        <v>52393.266957142849</v>
      </c>
      <c r="I167" s="114" t="s">
        <v>1522</v>
      </c>
      <c r="J167" s="210">
        <f>VLOOKUP(I167,'Reajuste Atual'!$L$19:$M$25,2,FALSE)</f>
        <v>3.5459999999999998</v>
      </c>
      <c r="K167" s="190"/>
      <c r="L167" s="20">
        <v>90.52</v>
      </c>
      <c r="M167" s="765">
        <f t="shared" si="34"/>
        <v>64.657142857142858</v>
      </c>
      <c r="N167" s="765">
        <f t="shared" si="35"/>
        <v>65.832727272727269</v>
      </c>
      <c r="O167" s="765">
        <f t="shared" si="31"/>
        <v>64.657142857142858</v>
      </c>
    </row>
    <row r="168" spans="1:15" s="98" customFormat="1" outlineLevel="1">
      <c r="A168" s="141" t="s">
        <v>3478</v>
      </c>
      <c r="B168" s="175" t="s">
        <v>196</v>
      </c>
      <c r="C168" s="100" t="s">
        <v>1692</v>
      </c>
      <c r="D168" s="99" t="s">
        <v>1472</v>
      </c>
      <c r="E168" s="491">
        <v>0</v>
      </c>
      <c r="F168" s="20">
        <f t="shared" si="36"/>
        <v>189.21428571428572</v>
      </c>
      <c r="G168" s="19">
        <f t="shared" si="37"/>
        <v>0</v>
      </c>
      <c r="H168" s="19">
        <f t="shared" si="38"/>
        <v>0</v>
      </c>
      <c r="I168" s="114" t="s">
        <v>1522</v>
      </c>
      <c r="J168" s="210">
        <f>VLOOKUP(I168,'Reajuste Atual'!$L$19:$M$25,2,FALSE)</f>
        <v>3.5459999999999998</v>
      </c>
      <c r="K168" s="190"/>
      <c r="L168" s="20">
        <v>264.89999999999998</v>
      </c>
      <c r="M168" s="765">
        <f t="shared" si="34"/>
        <v>189.21428571428572</v>
      </c>
      <c r="N168" s="765">
        <f t="shared" si="35"/>
        <v>192.65454545454543</v>
      </c>
      <c r="O168" s="765">
        <f t="shared" si="31"/>
        <v>189.21428571428572</v>
      </c>
    </row>
    <row r="169" spans="1:15" s="98" customFormat="1" outlineLevel="1">
      <c r="A169" s="141" t="s">
        <v>3478</v>
      </c>
      <c r="B169" s="175" t="s">
        <v>197</v>
      </c>
      <c r="C169" s="100" t="s">
        <v>1693</v>
      </c>
      <c r="D169" s="99" t="s">
        <v>1471</v>
      </c>
      <c r="E169" s="491">
        <v>942.28</v>
      </c>
      <c r="F169" s="20">
        <f t="shared" si="36"/>
        <v>3.9214285714285717</v>
      </c>
      <c r="G169" s="19">
        <f t="shared" si="37"/>
        <v>3695.0837142857144</v>
      </c>
      <c r="H169" s="19">
        <f t="shared" si="38"/>
        <v>16797.850565142857</v>
      </c>
      <c r="I169" s="114" t="s">
        <v>1522</v>
      </c>
      <c r="J169" s="210">
        <f>VLOOKUP(I169,'Reajuste Atual'!$L$19:$M$25,2,FALSE)</f>
        <v>3.5459999999999998</v>
      </c>
      <c r="K169" s="190"/>
      <c r="L169" s="20">
        <v>5.49</v>
      </c>
      <c r="M169" s="765">
        <f t="shared" si="34"/>
        <v>3.9214285714285717</v>
      </c>
      <c r="N169" s="765">
        <f t="shared" si="35"/>
        <v>3.9927272727272727</v>
      </c>
      <c r="O169" s="765">
        <f t="shared" si="31"/>
        <v>3.9214285714285717</v>
      </c>
    </row>
    <row r="170" spans="1:15" s="98" customFormat="1" outlineLevel="1">
      <c r="A170" s="141" t="s">
        <v>3478</v>
      </c>
      <c r="B170" s="175" t="s">
        <v>198</v>
      </c>
      <c r="C170" s="100" t="s">
        <v>1694</v>
      </c>
      <c r="D170" s="99" t="s">
        <v>1471</v>
      </c>
      <c r="E170" s="491">
        <v>223.43999999999997</v>
      </c>
      <c r="F170" s="20">
        <f t="shared" si="36"/>
        <v>4.3214285714285712</v>
      </c>
      <c r="G170" s="19">
        <f t="shared" si="37"/>
        <v>965.57999999999981</v>
      </c>
      <c r="H170" s="19">
        <f t="shared" si="38"/>
        <v>4389.5266799999981</v>
      </c>
      <c r="I170" s="114" t="s">
        <v>1522</v>
      </c>
      <c r="J170" s="210">
        <f>VLOOKUP(I170,'Reajuste Atual'!$L$19:$M$25,2,FALSE)</f>
        <v>3.5459999999999998</v>
      </c>
      <c r="K170" s="190"/>
      <c r="L170" s="20">
        <v>6.05</v>
      </c>
      <c r="M170" s="765">
        <f t="shared" si="34"/>
        <v>4.3214285714285712</v>
      </c>
      <c r="N170" s="765">
        <f t="shared" si="35"/>
        <v>4.3999999999999995</v>
      </c>
      <c r="O170" s="765">
        <f t="shared" si="31"/>
        <v>4.3214285714285712</v>
      </c>
    </row>
    <row r="171" spans="1:15" s="98" customFormat="1" outlineLevel="1">
      <c r="A171" s="141" t="s">
        <v>3478</v>
      </c>
      <c r="B171" s="175" t="s">
        <v>199</v>
      </c>
      <c r="C171" s="100" t="s">
        <v>1695</v>
      </c>
      <c r="D171" s="99" t="s">
        <v>1470</v>
      </c>
      <c r="E171" s="491">
        <v>464.976</v>
      </c>
      <c r="F171" s="20">
        <f t="shared" si="36"/>
        <v>16.214285714285715</v>
      </c>
      <c r="G171" s="19">
        <f t="shared" si="37"/>
        <v>7539.2537142857145</v>
      </c>
      <c r="H171" s="19">
        <f t="shared" si="38"/>
        <v>34273.447385142856</v>
      </c>
      <c r="I171" s="114" t="s">
        <v>1522</v>
      </c>
      <c r="J171" s="210">
        <f>VLOOKUP(I171,'Reajuste Atual'!$L$19:$M$25,2,FALSE)</f>
        <v>3.5459999999999998</v>
      </c>
      <c r="K171" s="190"/>
      <c r="L171" s="20">
        <v>22.7</v>
      </c>
      <c r="M171" s="765">
        <f t="shared" si="34"/>
        <v>16.214285714285715</v>
      </c>
      <c r="N171" s="765">
        <f t="shared" si="35"/>
        <v>16.509090909090908</v>
      </c>
      <c r="O171" s="765">
        <f t="shared" si="31"/>
        <v>16.214285714285715</v>
      </c>
    </row>
    <row r="172" spans="1:15" s="98" customFormat="1" outlineLevel="1">
      <c r="A172" s="141" t="s">
        <v>3478</v>
      </c>
      <c r="B172" s="175" t="s">
        <v>200</v>
      </c>
      <c r="C172" s="100" t="s">
        <v>1568</v>
      </c>
      <c r="D172" s="99" t="s">
        <v>1467</v>
      </c>
      <c r="E172" s="491">
        <v>2870.98</v>
      </c>
      <c r="F172" s="20">
        <f t="shared" si="36"/>
        <v>3.9571428571428573</v>
      </c>
      <c r="G172" s="19">
        <f t="shared" si="37"/>
        <v>11360.878000000001</v>
      </c>
      <c r="H172" s="19">
        <f t="shared" si="38"/>
        <v>39246.153051000001</v>
      </c>
      <c r="I172" s="114" t="s">
        <v>1523</v>
      </c>
      <c r="J172" s="210">
        <f>VLOOKUP(I172,'Reajuste Atual'!$L$19:$M$25,2,FALSE)</f>
        <v>2.4544999999999999</v>
      </c>
      <c r="K172" s="190"/>
      <c r="L172" s="20">
        <v>5.54</v>
      </c>
      <c r="M172" s="765">
        <f t="shared" si="34"/>
        <v>3.9571428571428573</v>
      </c>
      <c r="N172" s="765">
        <f t="shared" si="35"/>
        <v>4.0290909090909093</v>
      </c>
      <c r="O172" s="765">
        <f t="shared" si="31"/>
        <v>3.9571428571428573</v>
      </c>
    </row>
    <row r="173" spans="1:15" s="98" customFormat="1" outlineLevel="1">
      <c r="A173" s="141" t="s">
        <v>3478</v>
      </c>
      <c r="B173" s="175" t="s">
        <v>201</v>
      </c>
      <c r="C173" s="100" t="s">
        <v>1569</v>
      </c>
      <c r="D173" s="99" t="s">
        <v>1467</v>
      </c>
      <c r="E173" s="491">
        <v>1590.8</v>
      </c>
      <c r="F173" s="20">
        <f t="shared" si="36"/>
        <v>5.2928571428571436</v>
      </c>
      <c r="G173" s="19">
        <f t="shared" si="37"/>
        <v>8419.8771428571436</v>
      </c>
      <c r="H173" s="19">
        <f t="shared" si="38"/>
        <v>29086.46559</v>
      </c>
      <c r="I173" s="114" t="s">
        <v>1523</v>
      </c>
      <c r="J173" s="210">
        <f>VLOOKUP(I173,'Reajuste Atual'!$L$19:$M$25,2,FALSE)</f>
        <v>2.4544999999999999</v>
      </c>
      <c r="K173" s="190"/>
      <c r="L173" s="20">
        <v>7.41</v>
      </c>
      <c r="M173" s="765">
        <f t="shared" si="34"/>
        <v>5.2928571428571436</v>
      </c>
      <c r="N173" s="765">
        <f t="shared" si="35"/>
        <v>5.3890909090909096</v>
      </c>
      <c r="O173" s="765">
        <f t="shared" si="31"/>
        <v>5.2928571428571436</v>
      </c>
    </row>
    <row r="174" spans="1:15" s="98" customFormat="1" outlineLevel="1">
      <c r="A174" s="141" t="s">
        <v>3478</v>
      </c>
      <c r="B174" s="175" t="s">
        <v>202</v>
      </c>
      <c r="C174" s="100" t="s">
        <v>1696</v>
      </c>
      <c r="D174" s="99" t="s">
        <v>1467</v>
      </c>
      <c r="E174" s="491">
        <v>8397</v>
      </c>
      <c r="F174" s="20">
        <f t="shared" si="36"/>
        <v>8.2500000000000018</v>
      </c>
      <c r="G174" s="19">
        <f t="shared" si="37"/>
        <v>69275.250000000015</v>
      </c>
      <c r="H174" s="19">
        <f t="shared" si="38"/>
        <v>239311.35112500004</v>
      </c>
      <c r="I174" s="114" t="s">
        <v>1523</v>
      </c>
      <c r="J174" s="210">
        <f>VLOOKUP(I174,'Reajuste Atual'!$L$19:$M$25,2,FALSE)</f>
        <v>2.4544999999999999</v>
      </c>
      <c r="K174" s="190"/>
      <c r="L174" s="20">
        <v>11.55</v>
      </c>
      <c r="M174" s="765">
        <f t="shared" si="34"/>
        <v>8.2500000000000018</v>
      </c>
      <c r="N174" s="765">
        <f t="shared" si="35"/>
        <v>8.4</v>
      </c>
      <c r="O174" s="765">
        <f t="shared" si="31"/>
        <v>8.2500000000000018</v>
      </c>
    </row>
    <row r="175" spans="1:15" s="98" customFormat="1" outlineLevel="1">
      <c r="A175" s="141" t="s">
        <v>3478</v>
      </c>
      <c r="B175" s="180" t="s">
        <v>203</v>
      </c>
      <c r="C175" s="100" t="s">
        <v>1638</v>
      </c>
      <c r="D175" s="21" t="s">
        <v>1472</v>
      </c>
      <c r="E175" s="491">
        <v>59.04</v>
      </c>
      <c r="F175" s="20">
        <f t="shared" si="36"/>
        <v>11.850000000000001</v>
      </c>
      <c r="G175" s="19">
        <f t="shared" si="37"/>
        <v>699.62400000000002</v>
      </c>
      <c r="H175" s="19">
        <f t="shared" si="38"/>
        <v>2872.2363695999998</v>
      </c>
      <c r="I175" s="114" t="s">
        <v>1521</v>
      </c>
      <c r="J175" s="210">
        <f>VLOOKUP(I175,'Reajuste Atual'!$L$19:$M$25,2,FALSE)</f>
        <v>3.1053999999999999</v>
      </c>
      <c r="K175" s="190"/>
      <c r="L175" s="20">
        <v>16.59</v>
      </c>
      <c r="M175" s="765">
        <f t="shared" si="34"/>
        <v>11.850000000000001</v>
      </c>
      <c r="N175" s="765">
        <f t="shared" si="35"/>
        <v>12.065454545454545</v>
      </c>
      <c r="O175" s="765">
        <f t="shared" si="31"/>
        <v>11.850000000000001</v>
      </c>
    </row>
    <row r="176" spans="1:15" s="98" customFormat="1" outlineLevel="1">
      <c r="A176" s="141" t="s">
        <v>3478</v>
      </c>
      <c r="B176" s="180" t="s">
        <v>204</v>
      </c>
      <c r="C176" s="100" t="s">
        <v>1697</v>
      </c>
      <c r="D176" s="99" t="s">
        <v>1467</v>
      </c>
      <c r="E176" s="491">
        <v>0.16000000000000014</v>
      </c>
      <c r="F176" s="20">
        <f t="shared" si="36"/>
        <v>193.97142857142859</v>
      </c>
      <c r="G176" s="19">
        <f t="shared" si="37"/>
        <v>31.035428571428604</v>
      </c>
      <c r="H176" s="19">
        <f t="shared" si="38"/>
        <v>113.2141398857144</v>
      </c>
      <c r="I176" s="114" t="s">
        <v>1526</v>
      </c>
      <c r="J176" s="210">
        <f>VLOOKUP(I176,'Reajuste Atual'!$L$19:$M$25,2,FALSE)</f>
        <v>2.6478999999999999</v>
      </c>
      <c r="K176" s="190"/>
      <c r="L176" s="20">
        <v>271.56</v>
      </c>
      <c r="M176" s="765">
        <f t="shared" si="34"/>
        <v>193.97142857142859</v>
      </c>
      <c r="N176" s="765">
        <f t="shared" si="35"/>
        <v>197.49818181818182</v>
      </c>
      <c r="O176" s="765">
        <f t="shared" si="31"/>
        <v>193.97142857142859</v>
      </c>
    </row>
    <row r="177" spans="1:15" s="98" customFormat="1" outlineLevel="1">
      <c r="A177" s="141" t="s">
        <v>3478</v>
      </c>
      <c r="B177" s="180" t="s">
        <v>205</v>
      </c>
      <c r="C177" s="100" t="s">
        <v>1401</v>
      </c>
      <c r="D177" s="99" t="s">
        <v>1467</v>
      </c>
      <c r="E177" s="491">
        <v>9.7400000000000091</v>
      </c>
      <c r="F177" s="20">
        <f t="shared" si="36"/>
        <v>19.8</v>
      </c>
      <c r="G177" s="19">
        <f t="shared" si="37"/>
        <v>192.85200000000017</v>
      </c>
      <c r="H177" s="19">
        <f t="shared" si="38"/>
        <v>703.50481080000066</v>
      </c>
      <c r="I177" s="114" t="s">
        <v>1526</v>
      </c>
      <c r="J177" s="210">
        <f>VLOOKUP(I177,'Reajuste Atual'!$L$19:$M$25,2,FALSE)</f>
        <v>2.6478999999999999</v>
      </c>
      <c r="K177" s="190"/>
      <c r="L177" s="20">
        <v>27.72</v>
      </c>
      <c r="M177" s="765">
        <f t="shared" si="34"/>
        <v>19.8</v>
      </c>
      <c r="N177" s="765">
        <f t="shared" si="35"/>
        <v>20.16</v>
      </c>
      <c r="O177" s="765">
        <f t="shared" si="31"/>
        <v>19.8</v>
      </c>
    </row>
    <row r="178" spans="1:15" s="98" customFormat="1" outlineLevel="1">
      <c r="B178" s="178" t="s">
        <v>206</v>
      </c>
      <c r="C178" s="102" t="s">
        <v>1426</v>
      </c>
      <c r="D178" s="91"/>
      <c r="E178" s="63"/>
      <c r="F178" s="63"/>
      <c r="G178" s="63">
        <f>G179+G196</f>
        <v>192060.45809740259</v>
      </c>
      <c r="H178" s="63">
        <f>H179+H196</f>
        <v>775473.30212187662</v>
      </c>
      <c r="I178" s="111">
        <v>0</v>
      </c>
      <c r="J178" s="86"/>
      <c r="K178" s="191"/>
      <c r="L178" s="63"/>
      <c r="M178" s="765">
        <f t="shared" si="34"/>
        <v>0</v>
      </c>
      <c r="N178" s="765">
        <f t="shared" si="35"/>
        <v>0</v>
      </c>
      <c r="O178" s="765">
        <f t="shared" si="31"/>
        <v>0</v>
      </c>
    </row>
    <row r="179" spans="1:15" s="98" customFormat="1" outlineLevel="1">
      <c r="B179" s="179" t="s">
        <v>207</v>
      </c>
      <c r="C179" s="106" t="s">
        <v>1394</v>
      </c>
      <c r="D179" s="81"/>
      <c r="E179" s="88"/>
      <c r="F179" s="88"/>
      <c r="G179" s="88">
        <f>SUM(G180:G195)</f>
        <v>66646.152642857152</v>
      </c>
      <c r="H179" s="88">
        <f>SUM(H180:H195)</f>
        <v>260597.41250878572</v>
      </c>
      <c r="I179" s="112">
        <v>0</v>
      </c>
      <c r="J179" s="84"/>
      <c r="K179" s="192"/>
      <c r="L179" s="88"/>
      <c r="M179" s="765">
        <f t="shared" si="34"/>
        <v>0</v>
      </c>
      <c r="N179" s="765">
        <f t="shared" si="35"/>
        <v>0</v>
      </c>
      <c r="O179" s="765">
        <f t="shared" si="31"/>
        <v>0</v>
      </c>
    </row>
    <row r="180" spans="1:15" s="98" customFormat="1" outlineLevel="1">
      <c r="A180" s="141" t="s">
        <v>3478</v>
      </c>
      <c r="B180" s="175" t="s">
        <v>208</v>
      </c>
      <c r="C180" s="100" t="s">
        <v>1568</v>
      </c>
      <c r="D180" s="99" t="s">
        <v>1467</v>
      </c>
      <c r="E180" s="491">
        <v>602.05999999999995</v>
      </c>
      <c r="F180" s="20">
        <f t="shared" ref="F180:F195" si="39">O180</f>
        <v>3.9571428571428573</v>
      </c>
      <c r="G180" s="435">
        <f t="shared" ref="G180:G195" si="40">E180*F180</f>
        <v>2382.4374285714284</v>
      </c>
      <c r="H180" s="435">
        <f t="shared" ref="H180:H195" si="41">G180*(1+J180)</f>
        <v>8230.1300969999993</v>
      </c>
      <c r="I180" s="114" t="s">
        <v>1523</v>
      </c>
      <c r="J180" s="210">
        <f>VLOOKUP(I180,'Reajuste Atual'!$L$19:$M$25,2,FALSE)</f>
        <v>2.4544999999999999</v>
      </c>
      <c r="K180" s="190"/>
      <c r="L180" s="20">
        <v>5.54</v>
      </c>
      <c r="M180" s="765">
        <f t="shared" si="34"/>
        <v>3.9571428571428573</v>
      </c>
      <c r="N180" s="765">
        <f t="shared" si="35"/>
        <v>4.0290909090909093</v>
      </c>
      <c r="O180" s="765">
        <f t="shared" si="31"/>
        <v>3.9571428571428573</v>
      </c>
    </row>
    <row r="181" spans="1:15" s="98" customFormat="1" outlineLevel="1">
      <c r="A181" s="141" t="s">
        <v>3478</v>
      </c>
      <c r="B181" s="175" t="s">
        <v>209</v>
      </c>
      <c r="C181" s="100" t="s">
        <v>1569</v>
      </c>
      <c r="D181" s="99" t="s">
        <v>1467</v>
      </c>
      <c r="E181" s="491">
        <v>295.14999999999998</v>
      </c>
      <c r="F181" s="20">
        <f t="shared" si="39"/>
        <v>5.2928571428571436</v>
      </c>
      <c r="G181" s="435">
        <f t="shared" si="40"/>
        <v>1562.1867857142859</v>
      </c>
      <c r="H181" s="435">
        <f t="shared" si="41"/>
        <v>5396.5742512500001</v>
      </c>
      <c r="I181" s="114" t="s">
        <v>1523</v>
      </c>
      <c r="J181" s="210">
        <f>VLOOKUP(I181,'Reajuste Atual'!$L$19:$M$25,2,FALSE)</f>
        <v>2.4544999999999999</v>
      </c>
      <c r="K181" s="190"/>
      <c r="L181" s="20">
        <v>7.41</v>
      </c>
      <c r="M181" s="765">
        <f t="shared" si="34"/>
        <v>5.2928571428571436</v>
      </c>
      <c r="N181" s="765">
        <f t="shared" si="35"/>
        <v>5.3890909090909096</v>
      </c>
      <c r="O181" s="765">
        <f t="shared" si="31"/>
        <v>5.2928571428571436</v>
      </c>
    </row>
    <row r="182" spans="1:15" s="98" customFormat="1" outlineLevel="1">
      <c r="A182" s="141" t="s">
        <v>3478</v>
      </c>
      <c r="B182" s="175" t="s">
        <v>210</v>
      </c>
      <c r="C182" s="100" t="s">
        <v>1636</v>
      </c>
      <c r="D182" s="99" t="s">
        <v>1467</v>
      </c>
      <c r="E182" s="491">
        <v>85.05</v>
      </c>
      <c r="F182" s="20">
        <f t="shared" si="39"/>
        <v>203.15000000000003</v>
      </c>
      <c r="G182" s="435">
        <f t="shared" si="40"/>
        <v>17277.907500000001</v>
      </c>
      <c r="H182" s="435">
        <f t="shared" si="41"/>
        <v>63028.078769250002</v>
      </c>
      <c r="I182" s="114" t="s">
        <v>1526</v>
      </c>
      <c r="J182" s="210">
        <f>VLOOKUP(I182,'Reajuste Atual'!$L$19:$M$25,2,FALSE)</f>
        <v>2.6478999999999999</v>
      </c>
      <c r="K182" s="190"/>
      <c r="L182" s="20">
        <v>284.41000000000003</v>
      </c>
      <c r="M182" s="765">
        <f t="shared" si="34"/>
        <v>203.15000000000003</v>
      </c>
      <c r="N182" s="765">
        <f t="shared" si="35"/>
        <v>206.84363636363639</v>
      </c>
      <c r="O182" s="765">
        <f t="shared" si="31"/>
        <v>203.15000000000003</v>
      </c>
    </row>
    <row r="183" spans="1:15" s="98" customFormat="1" outlineLevel="1">
      <c r="A183" s="141" t="s">
        <v>3478</v>
      </c>
      <c r="B183" s="175" t="s">
        <v>211</v>
      </c>
      <c r="C183" s="100" t="s">
        <v>1574</v>
      </c>
      <c r="D183" s="99" t="s">
        <v>1467</v>
      </c>
      <c r="E183" s="491">
        <v>6.55</v>
      </c>
      <c r="F183" s="20">
        <f t="shared" si="39"/>
        <v>168.82857142857145</v>
      </c>
      <c r="G183" s="435">
        <f t="shared" si="40"/>
        <v>1105.8271428571429</v>
      </c>
      <c r="H183" s="435">
        <f t="shared" si="41"/>
        <v>4033.9468344285715</v>
      </c>
      <c r="I183" s="114" t="s">
        <v>1526</v>
      </c>
      <c r="J183" s="210">
        <f>VLOOKUP(I183,'Reajuste Atual'!$L$19:$M$25,2,FALSE)</f>
        <v>2.6478999999999999</v>
      </c>
      <c r="K183" s="190"/>
      <c r="L183" s="20">
        <v>236.36</v>
      </c>
      <c r="M183" s="765">
        <f t="shared" si="34"/>
        <v>168.82857142857145</v>
      </c>
      <c r="N183" s="765">
        <f t="shared" si="35"/>
        <v>171.89818181818183</v>
      </c>
      <c r="O183" s="765">
        <f t="shared" si="31"/>
        <v>168.82857142857145</v>
      </c>
    </row>
    <row r="184" spans="1:15" s="98" customFormat="1" outlineLevel="1">
      <c r="A184" s="141" t="s">
        <v>3478</v>
      </c>
      <c r="B184" s="175" t="s">
        <v>212</v>
      </c>
      <c r="C184" s="100" t="s">
        <v>1570</v>
      </c>
      <c r="D184" s="99" t="s">
        <v>1470</v>
      </c>
      <c r="E184" s="491">
        <v>310.60000000000002</v>
      </c>
      <c r="F184" s="20">
        <f t="shared" si="39"/>
        <v>38.228571428571435</v>
      </c>
      <c r="G184" s="435">
        <f t="shared" si="40"/>
        <v>11873.794285714288</v>
      </c>
      <c r="H184" s="435">
        <f t="shared" si="41"/>
        <v>43314.414174857149</v>
      </c>
      <c r="I184" s="114" t="s">
        <v>1526</v>
      </c>
      <c r="J184" s="210">
        <f>VLOOKUP(I184,'Reajuste Atual'!$L$19:$M$25,2,FALSE)</f>
        <v>2.6478999999999999</v>
      </c>
      <c r="K184" s="190"/>
      <c r="L184" s="20">
        <v>53.52</v>
      </c>
      <c r="M184" s="765">
        <f t="shared" si="34"/>
        <v>38.228571428571435</v>
      </c>
      <c r="N184" s="765">
        <f t="shared" si="35"/>
        <v>38.923636363636369</v>
      </c>
      <c r="O184" s="765">
        <f t="shared" si="31"/>
        <v>38.228571428571435</v>
      </c>
    </row>
    <row r="185" spans="1:15" s="98" customFormat="1" outlineLevel="1">
      <c r="A185" s="141" t="s">
        <v>3478</v>
      </c>
      <c r="B185" s="175" t="s">
        <v>213</v>
      </c>
      <c r="C185" s="100" t="s">
        <v>1637</v>
      </c>
      <c r="D185" s="99" t="s">
        <v>1478</v>
      </c>
      <c r="E185" s="491">
        <v>4389</v>
      </c>
      <c r="F185" s="20">
        <f t="shared" si="39"/>
        <v>2.7642857142857147</v>
      </c>
      <c r="G185" s="435">
        <f t="shared" si="40"/>
        <v>12132.450000000003</v>
      </c>
      <c r="H185" s="435">
        <f t="shared" si="41"/>
        <v>44257.964355000011</v>
      </c>
      <c r="I185" s="114" t="s">
        <v>1526</v>
      </c>
      <c r="J185" s="210">
        <f>VLOOKUP(I185,'Reajuste Atual'!$L$19:$M$25,2,FALSE)</f>
        <v>2.6478999999999999</v>
      </c>
      <c r="K185" s="190"/>
      <c r="L185" s="20">
        <v>3.87</v>
      </c>
      <c r="M185" s="765">
        <f t="shared" si="34"/>
        <v>2.7642857142857147</v>
      </c>
      <c r="N185" s="765">
        <f t="shared" si="35"/>
        <v>2.8145454545454545</v>
      </c>
      <c r="O185" s="765">
        <f t="shared" si="31"/>
        <v>2.7642857142857147</v>
      </c>
    </row>
    <row r="186" spans="1:15" s="98" customFormat="1" outlineLevel="1">
      <c r="A186" s="141" t="s">
        <v>3478</v>
      </c>
      <c r="B186" s="175" t="s">
        <v>214</v>
      </c>
      <c r="C186" s="100" t="s">
        <v>1648</v>
      </c>
      <c r="D186" s="99" t="s">
        <v>1472</v>
      </c>
      <c r="E186" s="491">
        <v>24.94</v>
      </c>
      <c r="F186" s="20">
        <f t="shared" si="39"/>
        <v>11.850000000000001</v>
      </c>
      <c r="G186" s="435">
        <f t="shared" si="40"/>
        <v>295.53900000000004</v>
      </c>
      <c r="H186" s="435">
        <f t="shared" si="41"/>
        <v>1343.5202939999999</v>
      </c>
      <c r="I186" s="114" t="s">
        <v>1522</v>
      </c>
      <c r="J186" s="210">
        <f>VLOOKUP(I186,'Reajuste Atual'!$L$19:$M$25,2,FALSE)</f>
        <v>3.5459999999999998</v>
      </c>
      <c r="K186" s="190"/>
      <c r="L186" s="20">
        <v>16.59</v>
      </c>
      <c r="M186" s="765">
        <f t="shared" si="34"/>
        <v>11.850000000000001</v>
      </c>
      <c r="N186" s="765">
        <f t="shared" si="35"/>
        <v>12.065454545454545</v>
      </c>
      <c r="O186" s="765">
        <f t="shared" si="31"/>
        <v>11.850000000000001</v>
      </c>
    </row>
    <row r="187" spans="1:15" s="98" customFormat="1" outlineLevel="1">
      <c r="A187" s="141" t="s">
        <v>3478</v>
      </c>
      <c r="B187" s="175" t="s">
        <v>215</v>
      </c>
      <c r="C187" s="100" t="s">
        <v>1629</v>
      </c>
      <c r="D187" s="99" t="s">
        <v>1472</v>
      </c>
      <c r="E187" s="491">
        <v>24.94</v>
      </c>
      <c r="F187" s="20">
        <f t="shared" si="39"/>
        <v>7.5642857142857149</v>
      </c>
      <c r="G187" s="435">
        <f t="shared" si="40"/>
        <v>188.65328571428574</v>
      </c>
      <c r="H187" s="435">
        <f t="shared" si="41"/>
        <v>857.61783685714283</v>
      </c>
      <c r="I187" s="114" t="s">
        <v>1522</v>
      </c>
      <c r="J187" s="210">
        <f>VLOOKUP(I187,'Reajuste Atual'!$L$19:$M$25,2,FALSE)</f>
        <v>3.5459999999999998</v>
      </c>
      <c r="K187" s="190"/>
      <c r="L187" s="20">
        <v>10.59</v>
      </c>
      <c r="M187" s="765">
        <f t="shared" si="34"/>
        <v>7.5642857142857149</v>
      </c>
      <c r="N187" s="765">
        <f t="shared" si="35"/>
        <v>7.7018181818181821</v>
      </c>
      <c r="O187" s="765">
        <f t="shared" si="31"/>
        <v>7.5642857142857149</v>
      </c>
    </row>
    <row r="188" spans="1:15" s="98" customFormat="1" outlineLevel="1">
      <c r="A188" s="141" t="s">
        <v>3478</v>
      </c>
      <c r="B188" s="175" t="s">
        <v>216</v>
      </c>
      <c r="C188" s="100" t="s">
        <v>1416</v>
      </c>
      <c r="D188" s="99" t="s">
        <v>1472</v>
      </c>
      <c r="E188" s="491">
        <v>36.67</v>
      </c>
      <c r="F188" s="20">
        <f t="shared" si="39"/>
        <v>67.164285714285725</v>
      </c>
      <c r="G188" s="435">
        <f t="shared" si="40"/>
        <v>2462.9143571428576</v>
      </c>
      <c r="H188" s="435">
        <f t="shared" si="41"/>
        <v>11196.40866757143</v>
      </c>
      <c r="I188" s="114" t="s">
        <v>1522</v>
      </c>
      <c r="J188" s="210">
        <f>VLOOKUP(I188,'Reajuste Atual'!$L$19:$M$25,2,FALSE)</f>
        <v>3.5459999999999998</v>
      </c>
      <c r="K188" s="190"/>
      <c r="L188" s="20">
        <v>94.03</v>
      </c>
      <c r="M188" s="765">
        <f t="shared" si="34"/>
        <v>67.164285714285725</v>
      </c>
      <c r="N188" s="765">
        <f t="shared" si="35"/>
        <v>68.38545454545455</v>
      </c>
      <c r="O188" s="765">
        <f t="shared" si="31"/>
        <v>67.164285714285725</v>
      </c>
    </row>
    <row r="189" spans="1:15" s="98" customFormat="1" outlineLevel="1">
      <c r="A189" s="141" t="s">
        <v>3478</v>
      </c>
      <c r="B189" s="175" t="s">
        <v>217</v>
      </c>
      <c r="C189" s="100" t="s">
        <v>1698</v>
      </c>
      <c r="D189" s="181" t="s">
        <v>1468</v>
      </c>
      <c r="E189" s="911">
        <v>2</v>
      </c>
      <c r="F189" s="20">
        <f t="shared" si="39"/>
        <v>1495.0285714285715</v>
      </c>
      <c r="G189" s="435">
        <f t="shared" si="40"/>
        <v>2990.0571428571429</v>
      </c>
      <c r="H189" s="435">
        <f t="shared" si="41"/>
        <v>13592.79977142857</v>
      </c>
      <c r="I189" s="114" t="s">
        <v>1522</v>
      </c>
      <c r="J189" s="210">
        <f>VLOOKUP(I189,'Reajuste Atual'!$L$19:$M$25,2,FALSE)</f>
        <v>3.5459999999999998</v>
      </c>
      <c r="K189" s="190"/>
      <c r="L189" s="20">
        <v>2093.04</v>
      </c>
      <c r="M189" s="765">
        <f t="shared" si="34"/>
        <v>1495.0285714285715</v>
      </c>
      <c r="N189" s="765">
        <f t="shared" si="35"/>
        <v>1522.2109090909091</v>
      </c>
      <c r="O189" s="765">
        <f t="shared" si="31"/>
        <v>1495.0285714285715</v>
      </c>
    </row>
    <row r="190" spans="1:15" s="98" customFormat="1" outlineLevel="1">
      <c r="A190" s="141" t="s">
        <v>3478</v>
      </c>
      <c r="B190" s="175" t="s">
        <v>218</v>
      </c>
      <c r="C190" s="100" t="s">
        <v>1699</v>
      </c>
      <c r="D190" s="181" t="s">
        <v>1468</v>
      </c>
      <c r="E190" s="911">
        <v>2</v>
      </c>
      <c r="F190" s="20">
        <f t="shared" si="39"/>
        <v>605.26428571428573</v>
      </c>
      <c r="G190" s="435">
        <f t="shared" si="40"/>
        <v>1210.5285714285715</v>
      </c>
      <c r="H190" s="435">
        <f t="shared" si="41"/>
        <v>5503.0628857142856</v>
      </c>
      <c r="I190" s="114" t="s">
        <v>1522</v>
      </c>
      <c r="J190" s="210">
        <f>VLOOKUP(I190,'Reajuste Atual'!$L$19:$M$25,2,FALSE)</f>
        <v>3.5459999999999998</v>
      </c>
      <c r="K190" s="190"/>
      <c r="L190" s="20">
        <v>847.37</v>
      </c>
      <c r="M190" s="765">
        <f t="shared" si="34"/>
        <v>605.26428571428573</v>
      </c>
      <c r="N190" s="765">
        <f t="shared" si="35"/>
        <v>616.26909090909089</v>
      </c>
      <c r="O190" s="765">
        <f t="shared" si="31"/>
        <v>605.26428571428573</v>
      </c>
    </row>
    <row r="191" spans="1:15" s="98" customFormat="1" outlineLevel="1">
      <c r="A191" s="141" t="s">
        <v>3478</v>
      </c>
      <c r="B191" s="175" t="s">
        <v>219</v>
      </c>
      <c r="C191" s="100" t="s">
        <v>1700</v>
      </c>
      <c r="D191" s="181" t="s">
        <v>1468</v>
      </c>
      <c r="E191" s="911">
        <v>2</v>
      </c>
      <c r="F191" s="20">
        <f t="shared" si="39"/>
        <v>17.857142857142858</v>
      </c>
      <c r="G191" s="435">
        <f t="shared" si="40"/>
        <v>35.714285714285715</v>
      </c>
      <c r="H191" s="435">
        <f t="shared" si="41"/>
        <v>162.35714285714283</v>
      </c>
      <c r="I191" s="114" t="s">
        <v>1522</v>
      </c>
      <c r="J191" s="210">
        <f>VLOOKUP(I191,'Reajuste Atual'!$L$19:$M$25,2,FALSE)</f>
        <v>3.5459999999999998</v>
      </c>
      <c r="K191" s="190"/>
      <c r="L191" s="20">
        <v>25</v>
      </c>
      <c r="M191" s="765">
        <f t="shared" si="34"/>
        <v>17.857142857142858</v>
      </c>
      <c r="N191" s="765">
        <f t="shared" si="35"/>
        <v>18.181818181818183</v>
      </c>
      <c r="O191" s="765">
        <f t="shared" si="31"/>
        <v>17.857142857142858</v>
      </c>
    </row>
    <row r="192" spans="1:15" s="98" customFormat="1" outlineLevel="1">
      <c r="A192" s="141" t="s">
        <v>3478</v>
      </c>
      <c r="B192" s="175" t="s">
        <v>220</v>
      </c>
      <c r="C192" s="100" t="s">
        <v>1701</v>
      </c>
      <c r="D192" s="181" t="s">
        <v>1468</v>
      </c>
      <c r="E192" s="911">
        <v>2</v>
      </c>
      <c r="F192" s="20">
        <f t="shared" si="39"/>
        <v>14.52142857142857</v>
      </c>
      <c r="G192" s="435">
        <f t="shared" si="40"/>
        <v>29.042857142857141</v>
      </c>
      <c r="H192" s="435">
        <f t="shared" si="41"/>
        <v>132.02882857142853</v>
      </c>
      <c r="I192" s="114" t="s">
        <v>1522</v>
      </c>
      <c r="J192" s="210">
        <f>VLOOKUP(I192,'Reajuste Atual'!$L$19:$M$25,2,FALSE)</f>
        <v>3.5459999999999998</v>
      </c>
      <c r="K192" s="190"/>
      <c r="L192" s="20">
        <v>20.329999999999998</v>
      </c>
      <c r="M192" s="765">
        <f t="shared" si="34"/>
        <v>14.52142857142857</v>
      </c>
      <c r="N192" s="765">
        <f t="shared" si="35"/>
        <v>14.785454545454543</v>
      </c>
      <c r="O192" s="765">
        <f t="shared" si="31"/>
        <v>14.52142857142857</v>
      </c>
    </row>
    <row r="193" spans="1:15" s="98" customFormat="1" outlineLevel="1">
      <c r="A193" s="141" t="s">
        <v>3478</v>
      </c>
      <c r="B193" s="175" t="s">
        <v>221</v>
      </c>
      <c r="C193" s="100" t="s">
        <v>1663</v>
      </c>
      <c r="D193" s="99" t="s">
        <v>1472</v>
      </c>
      <c r="E193" s="491">
        <v>15</v>
      </c>
      <c r="F193" s="20">
        <f t="shared" si="39"/>
        <v>30.685714285714287</v>
      </c>
      <c r="G193" s="435">
        <f t="shared" si="40"/>
        <v>460.28571428571428</v>
      </c>
      <c r="H193" s="435">
        <f t="shared" si="41"/>
        <v>2092.4588571428567</v>
      </c>
      <c r="I193" s="114" t="s">
        <v>1522</v>
      </c>
      <c r="J193" s="210">
        <f>VLOOKUP(I193,'Reajuste Atual'!$L$19:$M$25,2,FALSE)</f>
        <v>3.5459999999999998</v>
      </c>
      <c r="K193" s="190"/>
      <c r="L193" s="20">
        <v>42.96</v>
      </c>
      <c r="M193" s="765">
        <f t="shared" si="34"/>
        <v>30.685714285714287</v>
      </c>
      <c r="N193" s="765">
        <f t="shared" si="35"/>
        <v>31.243636363636366</v>
      </c>
      <c r="O193" s="765">
        <f t="shared" si="31"/>
        <v>30.685714285714287</v>
      </c>
    </row>
    <row r="194" spans="1:15" s="98" customFormat="1" outlineLevel="1">
      <c r="A194" s="141" t="s">
        <v>3478</v>
      </c>
      <c r="B194" s="175" t="s">
        <v>2779</v>
      </c>
      <c r="C194" s="100" t="s">
        <v>2780</v>
      </c>
      <c r="D194" s="181" t="s">
        <v>1468</v>
      </c>
      <c r="E194" s="491">
        <v>1</v>
      </c>
      <c r="F194" s="20">
        <f t="shared" si="39"/>
        <v>8643.7857142857138</v>
      </c>
      <c r="G194" s="435">
        <f t="shared" si="40"/>
        <v>8643.7857142857138</v>
      </c>
      <c r="H194" s="435">
        <f t="shared" si="41"/>
        <v>39294.649857142853</v>
      </c>
      <c r="I194" s="114" t="s">
        <v>1522</v>
      </c>
      <c r="J194" s="210">
        <f>VLOOKUP(I194,'Reajuste Atual'!$L$19:$M$25,2,FALSE)</f>
        <v>3.5459999999999998</v>
      </c>
      <c r="K194" s="190"/>
      <c r="L194" s="20">
        <v>12101.3</v>
      </c>
      <c r="M194" s="765">
        <f t="shared" si="34"/>
        <v>8643.7857142857138</v>
      </c>
      <c r="N194" s="765">
        <f t="shared" si="35"/>
        <v>8800.9454545454537</v>
      </c>
      <c r="O194" s="765">
        <f t="shared" si="31"/>
        <v>8643.7857142857138</v>
      </c>
    </row>
    <row r="195" spans="1:15" s="98" customFormat="1" outlineLevel="1">
      <c r="A195" s="141" t="s">
        <v>3478</v>
      </c>
      <c r="B195" s="175" t="s">
        <v>2781</v>
      </c>
      <c r="C195" s="100" t="s">
        <v>2782</v>
      </c>
      <c r="D195" s="181" t="s">
        <v>1468</v>
      </c>
      <c r="E195" s="491">
        <v>1</v>
      </c>
      <c r="F195" s="20">
        <f t="shared" si="39"/>
        <v>3995.0285714285715</v>
      </c>
      <c r="G195" s="435">
        <f t="shared" si="40"/>
        <v>3995.0285714285715</v>
      </c>
      <c r="H195" s="435">
        <f t="shared" si="41"/>
        <v>18161.399885714283</v>
      </c>
      <c r="I195" s="114" t="s">
        <v>1522</v>
      </c>
      <c r="J195" s="210">
        <f>VLOOKUP(I195,'Reajuste Atual'!$L$19:$M$25,2,FALSE)</f>
        <v>3.5459999999999998</v>
      </c>
      <c r="K195" s="190"/>
      <c r="L195" s="20">
        <v>5593.04</v>
      </c>
      <c r="M195" s="765">
        <f t="shared" si="34"/>
        <v>3995.0285714285715</v>
      </c>
      <c r="N195" s="765">
        <f t="shared" si="35"/>
        <v>4067.6654545454544</v>
      </c>
      <c r="O195" s="765">
        <f t="shared" si="31"/>
        <v>3995.0285714285715</v>
      </c>
    </row>
    <row r="196" spans="1:15" s="98" customFormat="1" outlineLevel="1">
      <c r="B196" s="179" t="s">
        <v>222</v>
      </c>
      <c r="C196" s="106" t="s">
        <v>1427</v>
      </c>
      <c r="D196" s="94"/>
      <c r="E196" s="88"/>
      <c r="F196" s="88"/>
      <c r="G196" s="88">
        <f>SUM(G197:G202)</f>
        <v>125414.30545454545</v>
      </c>
      <c r="H196" s="88">
        <f>SUM(H197:H202)</f>
        <v>514875.8896130909</v>
      </c>
      <c r="I196" s="112">
        <v>0</v>
      </c>
      <c r="J196" s="84"/>
      <c r="K196" s="192"/>
      <c r="L196" s="88"/>
      <c r="M196" s="765">
        <f t="shared" si="34"/>
        <v>0</v>
      </c>
      <c r="N196" s="765">
        <f t="shared" si="35"/>
        <v>0</v>
      </c>
      <c r="O196" s="765">
        <f t="shared" si="31"/>
        <v>0</v>
      </c>
    </row>
    <row r="197" spans="1:15" s="98" customFormat="1" outlineLevel="1">
      <c r="A197" s="141" t="s">
        <v>3483</v>
      </c>
      <c r="B197" s="175" t="s">
        <v>223</v>
      </c>
      <c r="C197" s="100" t="s">
        <v>1702</v>
      </c>
      <c r="D197" s="181" t="s">
        <v>1468</v>
      </c>
      <c r="E197" s="491">
        <v>2</v>
      </c>
      <c r="F197" s="20">
        <f t="shared" ref="F197:F202" si="42">O197</f>
        <v>3046.3272727272724</v>
      </c>
      <c r="G197" s="19">
        <f t="shared" ref="G197:G202" si="43">E197*F197</f>
        <v>6092.6545454545449</v>
      </c>
      <c r="H197" s="19">
        <f t="shared" ref="H197:H202" si="44">G197*(1+J197)</f>
        <v>25012.783970909084</v>
      </c>
      <c r="I197" s="114" t="s">
        <v>1521</v>
      </c>
      <c r="J197" s="210">
        <f>VLOOKUP(I197,'Reajuste Atual'!$L$19:$M$25,2,FALSE)</f>
        <v>3.1053999999999999</v>
      </c>
      <c r="K197" s="190"/>
      <c r="L197" s="20">
        <v>4188.7</v>
      </c>
      <c r="M197" s="765">
        <f t="shared" si="34"/>
        <v>2991.9285714285716</v>
      </c>
      <c r="N197" s="765">
        <f t="shared" si="35"/>
        <v>3046.3272727272724</v>
      </c>
      <c r="O197" s="765">
        <f t="shared" si="31"/>
        <v>3046.3272727272724</v>
      </c>
    </row>
    <row r="198" spans="1:15" s="98" customFormat="1" outlineLevel="1">
      <c r="A198" s="141" t="s">
        <v>3483</v>
      </c>
      <c r="B198" s="175" t="s">
        <v>224</v>
      </c>
      <c r="C198" s="100" t="s">
        <v>1703</v>
      </c>
      <c r="D198" s="181" t="s">
        <v>1468</v>
      </c>
      <c r="E198" s="491">
        <v>2</v>
      </c>
      <c r="F198" s="20">
        <f t="shared" si="42"/>
        <v>2838.6254545454544</v>
      </c>
      <c r="G198" s="19">
        <f t="shared" si="43"/>
        <v>5677.2509090909089</v>
      </c>
      <c r="H198" s="19">
        <f t="shared" si="44"/>
        <v>23307.385882181814</v>
      </c>
      <c r="I198" s="114" t="s">
        <v>1521</v>
      </c>
      <c r="J198" s="210">
        <f>VLOOKUP(I198,'Reajuste Atual'!$L$19:$M$25,2,FALSE)</f>
        <v>3.1053999999999999</v>
      </c>
      <c r="K198" s="190"/>
      <c r="L198" s="20">
        <v>3903.11</v>
      </c>
      <c r="M198" s="765">
        <f t="shared" si="34"/>
        <v>2787.9357142857148</v>
      </c>
      <c r="N198" s="765">
        <f t="shared" si="35"/>
        <v>2838.6254545454544</v>
      </c>
      <c r="O198" s="765">
        <f t="shared" si="31"/>
        <v>2838.6254545454544</v>
      </c>
    </row>
    <row r="199" spans="1:15" s="98" customFormat="1" outlineLevel="1">
      <c r="A199" s="141" t="s">
        <v>3483</v>
      </c>
      <c r="B199" s="175" t="s">
        <v>225</v>
      </c>
      <c r="C199" s="100" t="s">
        <v>1704</v>
      </c>
      <c r="D199" s="181" t="s">
        <v>1468</v>
      </c>
      <c r="E199" s="491">
        <v>2</v>
      </c>
      <c r="F199" s="20">
        <f t="shared" si="42"/>
        <v>27689.774545454547</v>
      </c>
      <c r="G199" s="19">
        <f t="shared" si="43"/>
        <v>55379.549090909095</v>
      </c>
      <c r="H199" s="19">
        <f t="shared" si="44"/>
        <v>227355.20083781818</v>
      </c>
      <c r="I199" s="114" t="s">
        <v>1521</v>
      </c>
      <c r="J199" s="210">
        <f>VLOOKUP(I199,'Reajuste Atual'!$L$19:$M$25,2,FALSE)</f>
        <v>3.1053999999999999</v>
      </c>
      <c r="K199" s="190"/>
      <c r="L199" s="20">
        <v>38073.440000000002</v>
      </c>
      <c r="M199" s="765">
        <f t="shared" si="34"/>
        <v>27195.314285714288</v>
      </c>
      <c r="N199" s="765">
        <f t="shared" si="35"/>
        <v>27689.774545454547</v>
      </c>
      <c r="O199" s="765">
        <f t="shared" si="31"/>
        <v>27689.774545454547</v>
      </c>
    </row>
    <row r="200" spans="1:15" s="98" customFormat="1" outlineLevel="1">
      <c r="A200" s="141" t="s">
        <v>3483</v>
      </c>
      <c r="B200" s="175" t="s">
        <v>226</v>
      </c>
      <c r="C200" s="100" t="s">
        <v>1705</v>
      </c>
      <c r="D200" s="99" t="s">
        <v>1472</v>
      </c>
      <c r="E200" s="491">
        <v>2</v>
      </c>
      <c r="F200" s="20">
        <f t="shared" si="42"/>
        <v>18088.290909090909</v>
      </c>
      <c r="G200" s="19">
        <f t="shared" si="43"/>
        <v>36176.581818181818</v>
      </c>
      <c r="H200" s="19">
        <f t="shared" si="44"/>
        <v>148519.33899636363</v>
      </c>
      <c r="I200" s="114" t="s">
        <v>1521</v>
      </c>
      <c r="J200" s="210">
        <f>VLOOKUP(I200,'Reajuste Atual'!$L$19:$M$25,2,FALSE)</f>
        <v>3.1053999999999999</v>
      </c>
      <c r="K200" s="190"/>
      <c r="L200" s="20">
        <v>24871.4</v>
      </c>
      <c r="M200" s="765">
        <f t="shared" si="34"/>
        <v>17765.285714285717</v>
      </c>
      <c r="N200" s="765">
        <f t="shared" si="35"/>
        <v>18088.290909090909</v>
      </c>
      <c r="O200" s="765">
        <f t="shared" si="31"/>
        <v>18088.290909090909</v>
      </c>
    </row>
    <row r="201" spans="1:15" s="98" customFormat="1" outlineLevel="1">
      <c r="A201" s="141" t="s">
        <v>3483</v>
      </c>
      <c r="B201" s="175" t="s">
        <v>2783</v>
      </c>
      <c r="C201" s="100" t="s">
        <v>2784</v>
      </c>
      <c r="D201" s="181" t="s">
        <v>1468</v>
      </c>
      <c r="E201" s="491">
        <v>1</v>
      </c>
      <c r="F201" s="20">
        <f t="shared" si="42"/>
        <v>17540.836363636365</v>
      </c>
      <c r="G201" s="19">
        <f t="shared" si="43"/>
        <v>17540.836363636365</v>
      </c>
      <c r="H201" s="19">
        <f t="shared" si="44"/>
        <v>72012.149607272717</v>
      </c>
      <c r="I201" s="114" t="s">
        <v>1521</v>
      </c>
      <c r="J201" s="210">
        <f>VLOOKUP(I201,'Reajuste Atual'!$L$19:$M$25,2,FALSE)</f>
        <v>3.1053999999999999</v>
      </c>
      <c r="K201" s="190"/>
      <c r="L201" s="20">
        <v>24118.65</v>
      </c>
      <c r="M201" s="765">
        <f t="shared" si="34"/>
        <v>17227.607142857145</v>
      </c>
      <c r="N201" s="765">
        <f t="shared" si="35"/>
        <v>17540.836363636365</v>
      </c>
      <c r="O201" s="765">
        <f t="shared" si="31"/>
        <v>17540.836363636365</v>
      </c>
    </row>
    <row r="202" spans="1:15" s="98" customFormat="1" outlineLevel="1">
      <c r="A202" s="141" t="s">
        <v>3483</v>
      </c>
      <c r="B202" s="175" t="s">
        <v>2785</v>
      </c>
      <c r="C202" s="100" t="s">
        <v>2786</v>
      </c>
      <c r="D202" s="181" t="s">
        <v>1468</v>
      </c>
      <c r="E202" s="491">
        <v>1</v>
      </c>
      <c r="F202" s="20">
        <f t="shared" si="42"/>
        <v>4547.4327272727278</v>
      </c>
      <c r="G202" s="19">
        <f t="shared" si="43"/>
        <v>4547.4327272727278</v>
      </c>
      <c r="H202" s="19">
        <f t="shared" si="44"/>
        <v>18669.030318545454</v>
      </c>
      <c r="I202" s="114" t="s">
        <v>1521</v>
      </c>
      <c r="J202" s="210">
        <f>VLOOKUP(I202,'Reajuste Atual'!$L$19:$M$25,2,FALSE)</f>
        <v>3.1053999999999999</v>
      </c>
      <c r="K202" s="190"/>
      <c r="L202" s="20">
        <v>6252.72</v>
      </c>
      <c r="M202" s="765">
        <f t="shared" si="34"/>
        <v>4466.2285714285717</v>
      </c>
      <c r="N202" s="765">
        <f t="shared" si="35"/>
        <v>4547.4327272727278</v>
      </c>
      <c r="O202" s="765">
        <f t="shared" si="31"/>
        <v>4547.4327272727278</v>
      </c>
    </row>
    <row r="203" spans="1:15" s="98" customFormat="1" outlineLevel="1">
      <c r="B203" s="178" t="s">
        <v>227</v>
      </c>
      <c r="C203" s="102" t="s">
        <v>3810</v>
      </c>
      <c r="D203" s="91"/>
      <c r="E203" s="63"/>
      <c r="F203" s="63"/>
      <c r="G203" s="63">
        <f>G204+G218</f>
        <v>574867.76665584417</v>
      </c>
      <c r="H203" s="63">
        <f>H204+H218</f>
        <v>2317368.4783072527</v>
      </c>
      <c r="I203" s="111">
        <v>0</v>
      </c>
      <c r="J203" s="86"/>
      <c r="K203" s="191"/>
      <c r="L203" s="63"/>
      <c r="M203" s="765">
        <f t="shared" si="34"/>
        <v>0</v>
      </c>
      <c r="N203" s="765">
        <f t="shared" si="35"/>
        <v>0</v>
      </c>
      <c r="O203" s="765">
        <f t="shared" si="31"/>
        <v>0</v>
      </c>
    </row>
    <row r="204" spans="1:15" s="98" customFormat="1" outlineLevel="1">
      <c r="B204" s="179" t="s">
        <v>228</v>
      </c>
      <c r="C204" s="106" t="s">
        <v>1400</v>
      </c>
      <c r="D204" s="81"/>
      <c r="E204" s="88"/>
      <c r="F204" s="88"/>
      <c r="G204" s="88">
        <f>SUM(G205:G217)</f>
        <v>321195.13392857148</v>
      </c>
      <c r="H204" s="88">
        <f>SUM(H205:H217)</f>
        <v>1275940.8519087071</v>
      </c>
      <c r="I204" s="112">
        <v>0</v>
      </c>
      <c r="J204" s="84"/>
      <c r="K204" s="192"/>
      <c r="L204" s="88"/>
      <c r="M204" s="765">
        <f t="shared" si="34"/>
        <v>0</v>
      </c>
      <c r="N204" s="765">
        <f t="shared" si="35"/>
        <v>0</v>
      </c>
      <c r="O204" s="765">
        <f t="shared" si="31"/>
        <v>0</v>
      </c>
    </row>
    <row r="205" spans="1:15" s="98" customFormat="1" outlineLevel="1">
      <c r="A205" s="141" t="s">
        <v>3478</v>
      </c>
      <c r="B205" s="175" t="s">
        <v>229</v>
      </c>
      <c r="C205" s="100" t="s">
        <v>1568</v>
      </c>
      <c r="D205" s="99" t="s">
        <v>1467</v>
      </c>
      <c r="E205" s="491">
        <v>8903.14</v>
      </c>
      <c r="F205" s="20">
        <f t="shared" ref="F205:F217" si="45">O205</f>
        <v>3.9571428571428573</v>
      </c>
      <c r="G205" s="19">
        <f t="shared" ref="G205:G217" si="46">E205*F205</f>
        <v>35230.996857142854</v>
      </c>
      <c r="H205" s="19">
        <f t="shared" ref="H205:H217" si="47">G205*(1+J205)</f>
        <v>121705.47864299998</v>
      </c>
      <c r="I205" s="114" t="s">
        <v>1523</v>
      </c>
      <c r="J205" s="210">
        <f>VLOOKUP(I205,'Reajuste Atual'!$L$19:$M$25,2,FALSE)</f>
        <v>2.4544999999999999</v>
      </c>
      <c r="K205" s="190"/>
      <c r="L205" s="20">
        <v>5.54</v>
      </c>
      <c r="M205" s="765">
        <f t="shared" si="34"/>
        <v>3.9571428571428573</v>
      </c>
      <c r="N205" s="765">
        <f t="shared" si="35"/>
        <v>4.0290909090909093</v>
      </c>
      <c r="O205" s="765">
        <f t="shared" si="31"/>
        <v>3.9571428571428573</v>
      </c>
    </row>
    <row r="206" spans="1:15" s="98" customFormat="1" ht="31.5" outlineLevel="1">
      <c r="A206" s="141" t="s">
        <v>3478</v>
      </c>
      <c r="B206" s="175" t="s">
        <v>230</v>
      </c>
      <c r="C206" s="100" t="s">
        <v>1577</v>
      </c>
      <c r="D206" s="99" t="s">
        <v>1467</v>
      </c>
      <c r="E206" s="491">
        <v>1399.46</v>
      </c>
      <c r="F206" s="20">
        <f t="shared" si="45"/>
        <v>6.9214285714285717</v>
      </c>
      <c r="G206" s="19">
        <f t="shared" si="46"/>
        <v>9686.2624285714301</v>
      </c>
      <c r="H206" s="19">
        <f t="shared" si="47"/>
        <v>33461.193559500003</v>
      </c>
      <c r="I206" s="114" t="s">
        <v>1523</v>
      </c>
      <c r="J206" s="210">
        <f>VLOOKUP(I206,'Reajuste Atual'!$L$19:$M$25,2,FALSE)</f>
        <v>2.4544999999999999</v>
      </c>
      <c r="K206" s="190"/>
      <c r="L206" s="20">
        <v>9.69</v>
      </c>
      <c r="M206" s="765">
        <f t="shared" si="34"/>
        <v>6.9214285714285717</v>
      </c>
      <c r="N206" s="765">
        <f t="shared" si="35"/>
        <v>7.0472727272727269</v>
      </c>
      <c r="O206" s="765">
        <f t="shared" si="31"/>
        <v>6.9214285714285717</v>
      </c>
    </row>
    <row r="207" spans="1:15" s="98" customFormat="1" outlineLevel="1">
      <c r="A207" s="141" t="s">
        <v>3478</v>
      </c>
      <c r="B207" s="175" t="s">
        <v>231</v>
      </c>
      <c r="C207" s="100" t="s">
        <v>1569</v>
      </c>
      <c r="D207" s="99" t="s">
        <v>1467</v>
      </c>
      <c r="E207" s="491">
        <v>6155.44</v>
      </c>
      <c r="F207" s="20">
        <f t="shared" si="45"/>
        <v>5.2928571428571436</v>
      </c>
      <c r="G207" s="19">
        <f t="shared" si="46"/>
        <v>32579.864571428574</v>
      </c>
      <c r="H207" s="19">
        <f t="shared" si="47"/>
        <v>112547.142162</v>
      </c>
      <c r="I207" s="114" t="s">
        <v>1523</v>
      </c>
      <c r="J207" s="210">
        <f>VLOOKUP(I207,'Reajuste Atual'!$L$19:$M$25,2,FALSE)</f>
        <v>2.4544999999999999</v>
      </c>
      <c r="K207" s="190"/>
      <c r="L207" s="20">
        <v>7.41</v>
      </c>
      <c r="M207" s="765">
        <f t="shared" si="34"/>
        <v>5.2928571428571436</v>
      </c>
      <c r="N207" s="765">
        <f t="shared" si="35"/>
        <v>5.3890909090909096</v>
      </c>
      <c r="O207" s="765">
        <f t="shared" si="31"/>
        <v>5.2928571428571436</v>
      </c>
    </row>
    <row r="208" spans="1:15" s="98" customFormat="1" outlineLevel="1">
      <c r="A208" s="141" t="s">
        <v>3478</v>
      </c>
      <c r="B208" s="175" t="s">
        <v>232</v>
      </c>
      <c r="C208" s="100" t="s">
        <v>1639</v>
      </c>
      <c r="D208" s="99" t="s">
        <v>1467</v>
      </c>
      <c r="E208" s="491">
        <v>607.85</v>
      </c>
      <c r="F208" s="20">
        <f t="shared" si="45"/>
        <v>8.2500000000000018</v>
      </c>
      <c r="G208" s="19">
        <f t="shared" si="46"/>
        <v>5014.7625000000016</v>
      </c>
      <c r="H208" s="19">
        <f t="shared" si="47"/>
        <v>17323.497056250006</v>
      </c>
      <c r="I208" s="114" t="s">
        <v>1523</v>
      </c>
      <c r="J208" s="210">
        <f>VLOOKUP(I208,'Reajuste Atual'!$L$19:$M$25,2,FALSE)</f>
        <v>2.4544999999999999</v>
      </c>
      <c r="K208" s="190"/>
      <c r="L208" s="20">
        <v>11.55</v>
      </c>
      <c r="M208" s="765">
        <f t="shared" si="34"/>
        <v>8.2500000000000018</v>
      </c>
      <c r="N208" s="765">
        <f t="shared" si="35"/>
        <v>8.4</v>
      </c>
      <c r="O208" s="765">
        <f t="shared" si="31"/>
        <v>8.2500000000000018</v>
      </c>
    </row>
    <row r="209" spans="1:15" s="98" customFormat="1" outlineLevel="1">
      <c r="A209" s="141" t="s">
        <v>3478</v>
      </c>
      <c r="B209" s="175" t="s">
        <v>233</v>
      </c>
      <c r="C209" s="100" t="s">
        <v>1706</v>
      </c>
      <c r="D209" s="99" t="s">
        <v>1467</v>
      </c>
      <c r="E209" s="491">
        <v>113.94</v>
      </c>
      <c r="F209" s="20">
        <f t="shared" si="45"/>
        <v>203.15000000000003</v>
      </c>
      <c r="G209" s="19">
        <f t="shared" si="46"/>
        <v>23146.911000000004</v>
      </c>
      <c r="H209" s="19">
        <f t="shared" si="47"/>
        <v>84437.616636900013</v>
      </c>
      <c r="I209" s="114" t="s">
        <v>1526</v>
      </c>
      <c r="J209" s="210">
        <f>VLOOKUP(I209,'Reajuste Atual'!$L$19:$M$25,2,FALSE)</f>
        <v>2.6478999999999999</v>
      </c>
      <c r="K209" s="190"/>
      <c r="L209" s="20">
        <v>284.41000000000003</v>
      </c>
      <c r="M209" s="765">
        <f t="shared" si="34"/>
        <v>203.15000000000003</v>
      </c>
      <c r="N209" s="765">
        <f t="shared" si="35"/>
        <v>206.84363636363639</v>
      </c>
      <c r="O209" s="765">
        <f t="shared" si="31"/>
        <v>203.15000000000003</v>
      </c>
    </row>
    <row r="210" spans="1:15" s="98" customFormat="1" outlineLevel="1">
      <c r="A210" s="141" t="s">
        <v>3478</v>
      </c>
      <c r="B210" s="175" t="s">
        <v>234</v>
      </c>
      <c r="C210" s="100" t="s">
        <v>1574</v>
      </c>
      <c r="D210" s="99" t="s">
        <v>1467</v>
      </c>
      <c r="E210" s="491">
        <v>12.15</v>
      </c>
      <c r="F210" s="20">
        <f t="shared" si="45"/>
        <v>168.82857142857145</v>
      </c>
      <c r="G210" s="19">
        <f t="shared" si="46"/>
        <v>2051.267142857143</v>
      </c>
      <c r="H210" s="19">
        <f t="shared" si="47"/>
        <v>7482.8174104285717</v>
      </c>
      <c r="I210" s="114" t="s">
        <v>1526</v>
      </c>
      <c r="J210" s="210">
        <f>VLOOKUP(I210,'Reajuste Atual'!$L$19:$M$25,2,FALSE)</f>
        <v>2.6478999999999999</v>
      </c>
      <c r="K210" s="190"/>
      <c r="L210" s="20">
        <v>236.36</v>
      </c>
      <c r="M210" s="765">
        <f t="shared" si="34"/>
        <v>168.82857142857145</v>
      </c>
      <c r="N210" s="765">
        <f t="shared" si="35"/>
        <v>171.89818181818183</v>
      </c>
      <c r="O210" s="765">
        <f t="shared" si="31"/>
        <v>168.82857142857145</v>
      </c>
    </row>
    <row r="211" spans="1:15" s="98" customFormat="1" outlineLevel="1">
      <c r="A211" s="141" t="s">
        <v>3478</v>
      </c>
      <c r="B211" s="175" t="s">
        <v>235</v>
      </c>
      <c r="C211" s="100" t="s">
        <v>1570</v>
      </c>
      <c r="D211" s="99" t="s">
        <v>1470</v>
      </c>
      <c r="E211" s="491">
        <v>641.61</v>
      </c>
      <c r="F211" s="20">
        <f t="shared" si="45"/>
        <v>38.228571428571435</v>
      </c>
      <c r="G211" s="19">
        <f t="shared" si="46"/>
        <v>24527.83371428572</v>
      </c>
      <c r="H211" s="19">
        <f t="shared" si="47"/>
        <v>89475.084606342876</v>
      </c>
      <c r="I211" s="114" t="s">
        <v>1526</v>
      </c>
      <c r="J211" s="210">
        <f>VLOOKUP(I211,'Reajuste Atual'!$L$19:$M$25,2,FALSE)</f>
        <v>2.6478999999999999</v>
      </c>
      <c r="K211" s="190"/>
      <c r="L211" s="20">
        <v>53.52</v>
      </c>
      <c r="M211" s="765">
        <f t="shared" si="34"/>
        <v>38.228571428571435</v>
      </c>
      <c r="N211" s="765">
        <f t="shared" si="35"/>
        <v>38.923636363636369</v>
      </c>
      <c r="O211" s="765">
        <f t="shared" si="31"/>
        <v>38.228571428571435</v>
      </c>
    </row>
    <row r="212" spans="1:15" s="98" customFormat="1" outlineLevel="1">
      <c r="A212" s="141" t="s">
        <v>3478</v>
      </c>
      <c r="B212" s="175" t="s">
        <v>236</v>
      </c>
      <c r="C212" s="100" t="s">
        <v>1707</v>
      </c>
      <c r="D212" s="99" t="s">
        <v>1471</v>
      </c>
      <c r="E212" s="491">
        <v>10044</v>
      </c>
      <c r="F212" s="20">
        <f t="shared" si="45"/>
        <v>2.7642857142857147</v>
      </c>
      <c r="G212" s="19">
        <f t="shared" si="46"/>
        <v>27764.485714285718</v>
      </c>
      <c r="H212" s="19">
        <f t="shared" si="47"/>
        <v>101282.06743714288</v>
      </c>
      <c r="I212" s="114" t="s">
        <v>1526</v>
      </c>
      <c r="J212" s="210">
        <f>VLOOKUP(I212,'Reajuste Atual'!$L$19:$M$25,2,FALSE)</f>
        <v>2.6478999999999999</v>
      </c>
      <c r="K212" s="190"/>
      <c r="L212" s="20">
        <v>3.87</v>
      </c>
      <c r="M212" s="765">
        <f t="shared" si="34"/>
        <v>2.7642857142857147</v>
      </c>
      <c r="N212" s="765">
        <f t="shared" si="35"/>
        <v>2.8145454545454545</v>
      </c>
      <c r="O212" s="765">
        <f t="shared" si="31"/>
        <v>2.7642857142857147</v>
      </c>
    </row>
    <row r="213" spans="1:15" s="98" customFormat="1" outlineLevel="1">
      <c r="A213" s="141" t="s">
        <v>3478</v>
      </c>
      <c r="B213" s="175" t="s">
        <v>237</v>
      </c>
      <c r="C213" s="100" t="s">
        <v>1708</v>
      </c>
      <c r="D213" s="99" t="s">
        <v>1472</v>
      </c>
      <c r="E213" s="491">
        <v>2276</v>
      </c>
      <c r="F213" s="20">
        <f t="shared" si="45"/>
        <v>45.335714285714289</v>
      </c>
      <c r="G213" s="19">
        <f t="shared" si="46"/>
        <v>103184.08571428573</v>
      </c>
      <c r="H213" s="19">
        <f t="shared" si="47"/>
        <v>469074.85365714284</v>
      </c>
      <c r="I213" s="114" t="s">
        <v>1522</v>
      </c>
      <c r="J213" s="210">
        <f>VLOOKUP(I213,'Reajuste Atual'!$L$19:$M$25,2,FALSE)</f>
        <v>3.5459999999999998</v>
      </c>
      <c r="K213" s="190"/>
      <c r="L213" s="20">
        <v>63.47</v>
      </c>
      <c r="M213" s="765">
        <f t="shared" si="34"/>
        <v>45.335714285714289</v>
      </c>
      <c r="N213" s="765">
        <f t="shared" si="35"/>
        <v>46.16</v>
      </c>
      <c r="O213" s="765">
        <f t="shared" si="31"/>
        <v>45.335714285714289</v>
      </c>
    </row>
    <row r="214" spans="1:15" s="98" customFormat="1" outlineLevel="1">
      <c r="A214" s="141" t="s">
        <v>3478</v>
      </c>
      <c r="B214" s="175" t="s">
        <v>238</v>
      </c>
      <c r="C214" s="100" t="s">
        <v>1709</v>
      </c>
      <c r="D214" s="181" t="s">
        <v>1468</v>
      </c>
      <c r="E214" s="491">
        <v>27</v>
      </c>
      <c r="F214" s="20">
        <f t="shared" si="45"/>
        <v>20.178571428571431</v>
      </c>
      <c r="G214" s="19">
        <f t="shared" si="46"/>
        <v>544.82142857142867</v>
      </c>
      <c r="H214" s="19">
        <f t="shared" si="47"/>
        <v>2476.7582142857145</v>
      </c>
      <c r="I214" s="114" t="s">
        <v>1522</v>
      </c>
      <c r="J214" s="210">
        <f>VLOOKUP(I214,'Reajuste Atual'!$L$19:$M$25,2,FALSE)</f>
        <v>3.5459999999999998</v>
      </c>
      <c r="K214" s="190"/>
      <c r="L214" s="20">
        <v>28.25</v>
      </c>
      <c r="M214" s="765">
        <f t="shared" si="34"/>
        <v>20.178571428571431</v>
      </c>
      <c r="N214" s="765">
        <f t="shared" si="35"/>
        <v>20.545454545454547</v>
      </c>
      <c r="O214" s="765">
        <f t="shared" si="31"/>
        <v>20.178571428571431</v>
      </c>
    </row>
    <row r="215" spans="1:15" s="98" customFormat="1" outlineLevel="1">
      <c r="A215" s="141" t="s">
        <v>3478</v>
      </c>
      <c r="B215" s="175" t="s">
        <v>239</v>
      </c>
      <c r="C215" s="100" t="s">
        <v>1710</v>
      </c>
      <c r="D215" s="99" t="s">
        <v>1472</v>
      </c>
      <c r="E215" s="491">
        <v>252</v>
      </c>
      <c r="F215" s="20">
        <f t="shared" si="45"/>
        <v>5.1000000000000005</v>
      </c>
      <c r="G215" s="19">
        <f t="shared" si="46"/>
        <v>1285.2</v>
      </c>
      <c r="H215" s="19">
        <f t="shared" si="47"/>
        <v>5276.2600799999991</v>
      </c>
      <c r="I215" s="114" t="s">
        <v>1521</v>
      </c>
      <c r="J215" s="210">
        <f>VLOOKUP(I215,'Reajuste Atual'!$L$19:$M$25,2,FALSE)</f>
        <v>3.1053999999999999</v>
      </c>
      <c r="K215" s="190"/>
      <c r="L215" s="20">
        <v>7.14</v>
      </c>
      <c r="M215" s="765">
        <f t="shared" si="34"/>
        <v>5.1000000000000005</v>
      </c>
      <c r="N215" s="765">
        <f t="shared" si="35"/>
        <v>5.1927272727272724</v>
      </c>
      <c r="O215" s="765">
        <f t="shared" si="31"/>
        <v>5.1000000000000005</v>
      </c>
    </row>
    <row r="216" spans="1:15" s="98" customFormat="1" outlineLevel="1">
      <c r="A216" s="141" t="s">
        <v>3478</v>
      </c>
      <c r="B216" s="180" t="s">
        <v>240</v>
      </c>
      <c r="C216" s="100" t="s">
        <v>1638</v>
      </c>
      <c r="D216" s="21" t="s">
        <v>1472</v>
      </c>
      <c r="E216" s="491">
        <v>146</v>
      </c>
      <c r="F216" s="20">
        <f t="shared" si="45"/>
        <v>11.850000000000001</v>
      </c>
      <c r="G216" s="19">
        <f t="shared" si="46"/>
        <v>1730.1000000000001</v>
      </c>
      <c r="H216" s="19">
        <f t="shared" si="47"/>
        <v>7865.0346</v>
      </c>
      <c r="I216" s="114" t="s">
        <v>1522</v>
      </c>
      <c r="J216" s="210">
        <f>VLOOKUP(I216,'Reajuste Atual'!$L$19:$M$25,2,FALSE)</f>
        <v>3.5459999999999998</v>
      </c>
      <c r="K216" s="190"/>
      <c r="L216" s="20">
        <v>16.59</v>
      </c>
      <c r="M216" s="765">
        <f t="shared" si="34"/>
        <v>11.850000000000001</v>
      </c>
      <c r="N216" s="765">
        <f t="shared" si="35"/>
        <v>12.065454545454545</v>
      </c>
      <c r="O216" s="765">
        <f t="shared" si="31"/>
        <v>11.850000000000001</v>
      </c>
    </row>
    <row r="217" spans="1:15" s="98" customFormat="1" ht="31.5" outlineLevel="1">
      <c r="A217" s="141" t="s">
        <v>3478</v>
      </c>
      <c r="B217" s="180" t="s">
        <v>241</v>
      </c>
      <c r="C217" s="100" t="s">
        <v>1711</v>
      </c>
      <c r="D217" s="21" t="s">
        <v>1468</v>
      </c>
      <c r="E217" s="491">
        <v>1</v>
      </c>
      <c r="F217" s="20">
        <f t="shared" si="45"/>
        <v>54448.542857142864</v>
      </c>
      <c r="G217" s="19">
        <f t="shared" si="46"/>
        <v>54448.542857142864</v>
      </c>
      <c r="H217" s="19">
        <f t="shared" si="47"/>
        <v>223533.04784571429</v>
      </c>
      <c r="I217" s="114" t="s">
        <v>1521</v>
      </c>
      <c r="J217" s="210">
        <f>VLOOKUP(I217,'Reajuste Atual'!$L$19:$M$25,2,FALSE)</f>
        <v>3.1053999999999999</v>
      </c>
      <c r="K217" s="190"/>
      <c r="L217" s="20">
        <v>76227.960000000006</v>
      </c>
      <c r="M217" s="765">
        <f t="shared" si="34"/>
        <v>54448.542857142864</v>
      </c>
      <c r="N217" s="765">
        <f t="shared" si="35"/>
        <v>55438.516363636365</v>
      </c>
      <c r="O217" s="765">
        <f t="shared" si="31"/>
        <v>54448.542857142864</v>
      </c>
    </row>
    <row r="218" spans="1:15" s="98" customFormat="1" outlineLevel="1">
      <c r="B218" s="179" t="s">
        <v>242</v>
      </c>
      <c r="C218" s="106" t="s">
        <v>1428</v>
      </c>
      <c r="D218" s="94"/>
      <c r="E218" s="88"/>
      <c r="F218" s="89"/>
      <c r="G218" s="88">
        <f>SUM(G219:G230)</f>
        <v>253672.63272727272</v>
      </c>
      <c r="H218" s="88">
        <f>SUM(H219:H230)</f>
        <v>1041427.6263985456</v>
      </c>
      <c r="I218" s="112">
        <v>0</v>
      </c>
      <c r="J218" s="84"/>
      <c r="K218" s="192"/>
      <c r="L218" s="89"/>
      <c r="M218" s="765">
        <f t="shared" si="34"/>
        <v>0</v>
      </c>
      <c r="N218" s="765">
        <f t="shared" si="35"/>
        <v>0</v>
      </c>
      <c r="O218" s="765">
        <f t="shared" ref="O218:O281" si="48">IF(A218="S",M218,N218)</f>
        <v>0</v>
      </c>
    </row>
    <row r="219" spans="1:15" s="98" customFormat="1" outlineLevel="1">
      <c r="A219" s="141" t="s">
        <v>3483</v>
      </c>
      <c r="B219" s="175" t="s">
        <v>243</v>
      </c>
      <c r="C219" s="100" t="s">
        <v>1712</v>
      </c>
      <c r="D219" s="181" t="s">
        <v>1468</v>
      </c>
      <c r="E219" s="491">
        <v>25</v>
      </c>
      <c r="F219" s="20">
        <f t="shared" ref="F219:F230" si="49">O219</f>
        <v>3025.5636363636363</v>
      </c>
      <c r="G219" s="19">
        <f t="shared" ref="G219:G230" si="50">E219*F219</f>
        <v>75639.090909090912</v>
      </c>
      <c r="H219" s="19">
        <f t="shared" ref="H219:H230" si="51">G219*(1+J219)</f>
        <v>310528.72381818178</v>
      </c>
      <c r="I219" s="114" t="s">
        <v>1521</v>
      </c>
      <c r="J219" s="210">
        <f>VLOOKUP(I219,'Reajuste Atual'!$L$19:$M$25,2,FALSE)</f>
        <v>3.1053999999999999</v>
      </c>
      <c r="K219" s="190"/>
      <c r="L219" s="20">
        <v>4160.1499999999996</v>
      </c>
      <c r="M219" s="765">
        <f t="shared" ref="M219:M282" si="52">L219/($M$23+1)</f>
        <v>2971.5357142857142</v>
      </c>
      <c r="N219" s="765">
        <f t="shared" ref="N219:N282" si="53">L219/($N$23+1)</f>
        <v>3025.5636363636363</v>
      </c>
      <c r="O219" s="765">
        <f t="shared" si="48"/>
        <v>3025.5636363636363</v>
      </c>
    </row>
    <row r="220" spans="1:15" s="98" customFormat="1" outlineLevel="1">
      <c r="A220" s="141" t="s">
        <v>3483</v>
      </c>
      <c r="B220" s="175" t="s">
        <v>244</v>
      </c>
      <c r="C220" s="766" t="s">
        <v>1713</v>
      </c>
      <c r="D220" s="181" t="s">
        <v>1468</v>
      </c>
      <c r="E220" s="491">
        <v>25</v>
      </c>
      <c r="F220" s="20">
        <f t="shared" si="49"/>
        <v>931.8981818181818</v>
      </c>
      <c r="G220" s="19">
        <f t="shared" si="50"/>
        <v>23297.454545454544</v>
      </c>
      <c r="H220" s="19">
        <f t="shared" si="51"/>
        <v>95645.369890909074</v>
      </c>
      <c r="I220" s="114" t="s">
        <v>1521</v>
      </c>
      <c r="J220" s="210">
        <f>VLOOKUP(I220,'Reajuste Atual'!$L$19:$M$25,2,FALSE)</f>
        <v>3.1053999999999999</v>
      </c>
      <c r="K220" s="190"/>
      <c r="L220" s="20">
        <v>1281.3599999999999</v>
      </c>
      <c r="M220" s="765">
        <f t="shared" si="52"/>
        <v>915.25714285714287</v>
      </c>
      <c r="N220" s="765">
        <f t="shared" si="53"/>
        <v>931.8981818181818</v>
      </c>
      <c r="O220" s="765">
        <f t="shared" si="48"/>
        <v>931.8981818181818</v>
      </c>
    </row>
    <row r="221" spans="1:15" s="98" customFormat="1" outlineLevel="1">
      <c r="A221" s="141" t="s">
        <v>3483</v>
      </c>
      <c r="B221" s="175" t="s">
        <v>245</v>
      </c>
      <c r="C221" s="766" t="s">
        <v>1714</v>
      </c>
      <c r="D221" s="181" t="s">
        <v>1468</v>
      </c>
      <c r="E221" s="491">
        <v>25</v>
      </c>
      <c r="F221" s="20">
        <f t="shared" si="49"/>
        <v>631.42545454545461</v>
      </c>
      <c r="G221" s="19">
        <f t="shared" si="50"/>
        <v>15785.636363636366</v>
      </c>
      <c r="H221" s="19">
        <f t="shared" si="51"/>
        <v>64806.351527272731</v>
      </c>
      <c r="I221" s="114" t="s">
        <v>1521</v>
      </c>
      <c r="J221" s="210">
        <f>VLOOKUP(I221,'Reajuste Atual'!$L$19:$M$25,2,FALSE)</f>
        <v>3.1053999999999999</v>
      </c>
      <c r="K221" s="190"/>
      <c r="L221" s="20">
        <v>868.21</v>
      </c>
      <c r="M221" s="765">
        <f t="shared" si="52"/>
        <v>620.15000000000009</v>
      </c>
      <c r="N221" s="765">
        <f t="shared" si="53"/>
        <v>631.42545454545461</v>
      </c>
      <c r="O221" s="765">
        <f t="shared" si="48"/>
        <v>631.42545454545461</v>
      </c>
    </row>
    <row r="222" spans="1:15" s="98" customFormat="1" outlineLevel="1">
      <c r="A222" s="141" t="s">
        <v>3483</v>
      </c>
      <c r="B222" s="175" t="s">
        <v>246</v>
      </c>
      <c r="C222" s="100" t="s">
        <v>1715</v>
      </c>
      <c r="D222" s="99" t="s">
        <v>1472</v>
      </c>
      <c r="E222" s="911">
        <v>252</v>
      </c>
      <c r="F222" s="20">
        <f t="shared" si="49"/>
        <v>142.83636363636364</v>
      </c>
      <c r="G222" s="19">
        <f t="shared" si="50"/>
        <v>35994.763636363641</v>
      </c>
      <c r="H222" s="19">
        <f t="shared" si="51"/>
        <v>147772.90263272729</v>
      </c>
      <c r="I222" s="114" t="s">
        <v>1521</v>
      </c>
      <c r="J222" s="210">
        <f>VLOOKUP(I222,'Reajuste Atual'!$L$19:$M$25,2,FALSE)</f>
        <v>3.1053999999999999</v>
      </c>
      <c r="K222" s="190"/>
      <c r="L222" s="20">
        <v>196.4</v>
      </c>
      <c r="M222" s="765">
        <f t="shared" si="52"/>
        <v>140.28571428571431</v>
      </c>
      <c r="N222" s="765">
        <f t="shared" si="53"/>
        <v>142.83636363636364</v>
      </c>
      <c r="O222" s="765">
        <f t="shared" si="48"/>
        <v>142.83636363636364</v>
      </c>
    </row>
    <row r="223" spans="1:15" s="98" customFormat="1" ht="31.5" outlineLevel="1">
      <c r="A223" s="141" t="s">
        <v>3483</v>
      </c>
      <c r="B223" s="175" t="s">
        <v>247</v>
      </c>
      <c r="C223" s="100" t="s">
        <v>1716</v>
      </c>
      <c r="D223" s="181" t="s">
        <v>1468</v>
      </c>
      <c r="E223" s="491">
        <v>1</v>
      </c>
      <c r="F223" s="20">
        <f t="shared" si="49"/>
        <v>24404.632727272729</v>
      </c>
      <c r="G223" s="19">
        <f t="shared" si="50"/>
        <v>24404.632727272729</v>
      </c>
      <c r="H223" s="19">
        <f t="shared" si="51"/>
        <v>100190.77919854545</v>
      </c>
      <c r="I223" s="114" t="s">
        <v>1521</v>
      </c>
      <c r="J223" s="210">
        <f>VLOOKUP(I223,'Reajuste Atual'!$L$19:$M$25,2,FALSE)</f>
        <v>3.1053999999999999</v>
      </c>
      <c r="K223" s="190"/>
      <c r="L223" s="20">
        <v>33556.370000000003</v>
      </c>
      <c r="M223" s="765">
        <f t="shared" si="52"/>
        <v>23968.835714285717</v>
      </c>
      <c r="N223" s="765">
        <f t="shared" si="53"/>
        <v>24404.632727272729</v>
      </c>
      <c r="O223" s="765">
        <f t="shared" si="48"/>
        <v>24404.632727272729</v>
      </c>
    </row>
    <row r="224" spans="1:15" s="98" customFormat="1" ht="47.25" outlineLevel="1">
      <c r="A224" s="141" t="s">
        <v>3483</v>
      </c>
      <c r="B224" s="175" t="s">
        <v>248</v>
      </c>
      <c r="C224" s="100" t="s">
        <v>1717</v>
      </c>
      <c r="D224" s="181" t="s">
        <v>1468</v>
      </c>
      <c r="E224" s="491">
        <v>1</v>
      </c>
      <c r="F224" s="20">
        <f t="shared" si="49"/>
        <v>17153.869090909091</v>
      </c>
      <c r="G224" s="19">
        <f t="shared" si="50"/>
        <v>17153.869090909091</v>
      </c>
      <c r="H224" s="19">
        <f t="shared" si="51"/>
        <v>70423.494165818178</v>
      </c>
      <c r="I224" s="114" t="s">
        <v>1521</v>
      </c>
      <c r="J224" s="210">
        <f>VLOOKUP(I224,'Reajuste Atual'!$L$19:$M$25,2,FALSE)</f>
        <v>3.1053999999999999</v>
      </c>
      <c r="K224" s="190"/>
      <c r="L224" s="20">
        <v>23586.57</v>
      </c>
      <c r="M224" s="765">
        <f t="shared" si="52"/>
        <v>16847.55</v>
      </c>
      <c r="N224" s="765">
        <f t="shared" si="53"/>
        <v>17153.869090909091</v>
      </c>
      <c r="O224" s="765">
        <f t="shared" si="48"/>
        <v>17153.869090909091</v>
      </c>
    </row>
    <row r="225" spans="1:15" s="98" customFormat="1" ht="47.25" outlineLevel="1">
      <c r="A225" s="141" t="s">
        <v>3483</v>
      </c>
      <c r="B225" s="175" t="s">
        <v>249</v>
      </c>
      <c r="C225" s="100" t="s">
        <v>1718</v>
      </c>
      <c r="D225" s="181" t="s">
        <v>1468</v>
      </c>
      <c r="E225" s="491">
        <v>1</v>
      </c>
      <c r="F225" s="20">
        <f t="shared" si="49"/>
        <v>7746.6981818181812</v>
      </c>
      <c r="G225" s="19">
        <f t="shared" si="50"/>
        <v>7746.6981818181812</v>
      </c>
      <c r="H225" s="19">
        <f t="shared" si="51"/>
        <v>31803.294715636359</v>
      </c>
      <c r="I225" s="114" t="s">
        <v>1521</v>
      </c>
      <c r="J225" s="210">
        <f>VLOOKUP(I225,'Reajuste Atual'!$L$19:$M$25,2,FALSE)</f>
        <v>3.1053999999999999</v>
      </c>
      <c r="K225" s="190"/>
      <c r="L225" s="20">
        <v>10651.71</v>
      </c>
      <c r="M225" s="765">
        <f t="shared" si="52"/>
        <v>7608.3642857142859</v>
      </c>
      <c r="N225" s="765">
        <f t="shared" si="53"/>
        <v>7746.6981818181812</v>
      </c>
      <c r="O225" s="765">
        <f t="shared" si="48"/>
        <v>7746.6981818181812</v>
      </c>
    </row>
    <row r="226" spans="1:15" s="98" customFormat="1" ht="47.25" outlineLevel="1">
      <c r="A226" s="141" t="s">
        <v>3483</v>
      </c>
      <c r="B226" s="175" t="s">
        <v>250</v>
      </c>
      <c r="C226" s="100" t="s">
        <v>3112</v>
      </c>
      <c r="D226" s="181" t="s">
        <v>1468</v>
      </c>
      <c r="E226" s="491">
        <v>1</v>
      </c>
      <c r="F226" s="20">
        <f t="shared" si="49"/>
        <v>33564.930909090908</v>
      </c>
      <c r="G226" s="19">
        <f t="shared" si="50"/>
        <v>33564.930909090908</v>
      </c>
      <c r="H226" s="19">
        <f t="shared" si="51"/>
        <v>137797.4673541818</v>
      </c>
      <c r="I226" s="114" t="s">
        <v>1521</v>
      </c>
      <c r="J226" s="210">
        <f>VLOOKUP(I226,'Reajuste Atual'!$L$19:$M$25,2,FALSE)</f>
        <v>3.1053999999999999</v>
      </c>
      <c r="K226" s="190"/>
      <c r="L226" s="20">
        <v>46151.78</v>
      </c>
      <c r="M226" s="765">
        <f t="shared" si="52"/>
        <v>32965.557142857142</v>
      </c>
      <c r="N226" s="765">
        <f t="shared" si="53"/>
        <v>33564.930909090908</v>
      </c>
      <c r="O226" s="765">
        <f t="shared" si="48"/>
        <v>33564.930909090908</v>
      </c>
    </row>
    <row r="227" spans="1:15" s="98" customFormat="1" ht="47.25" outlineLevel="1">
      <c r="A227" s="141" t="s">
        <v>3483</v>
      </c>
      <c r="B227" s="175" t="s">
        <v>251</v>
      </c>
      <c r="C227" s="100" t="s">
        <v>1719</v>
      </c>
      <c r="D227" s="181" t="s">
        <v>1468</v>
      </c>
      <c r="E227" s="491">
        <v>1</v>
      </c>
      <c r="F227" s="20">
        <f t="shared" si="49"/>
        <v>6762.4872727272732</v>
      </c>
      <c r="G227" s="19">
        <f t="shared" si="50"/>
        <v>6762.4872727272732</v>
      </c>
      <c r="H227" s="19">
        <f t="shared" si="51"/>
        <v>27762.715249454544</v>
      </c>
      <c r="I227" s="114" t="s">
        <v>1521</v>
      </c>
      <c r="J227" s="210">
        <f>VLOOKUP(I227,'Reajuste Atual'!$L$19:$M$25,2,FALSE)</f>
        <v>3.1053999999999999</v>
      </c>
      <c r="K227" s="190"/>
      <c r="L227" s="20">
        <v>9298.42</v>
      </c>
      <c r="M227" s="765">
        <f t="shared" si="52"/>
        <v>6641.7285714285717</v>
      </c>
      <c r="N227" s="765">
        <f t="shared" si="53"/>
        <v>6762.4872727272732</v>
      </c>
      <c r="O227" s="765">
        <f t="shared" si="48"/>
        <v>6762.4872727272732</v>
      </c>
    </row>
    <row r="228" spans="1:15" s="98" customFormat="1" ht="47.25" outlineLevel="1">
      <c r="A228" s="141" t="s">
        <v>3483</v>
      </c>
      <c r="B228" s="175" t="s">
        <v>252</v>
      </c>
      <c r="C228" s="100" t="s">
        <v>1720</v>
      </c>
      <c r="D228" s="181" t="s">
        <v>1468</v>
      </c>
      <c r="E228" s="491">
        <v>1</v>
      </c>
      <c r="F228" s="20">
        <f t="shared" si="49"/>
        <v>2871.4472727272728</v>
      </c>
      <c r="G228" s="19">
        <f t="shared" si="50"/>
        <v>2871.4472727272728</v>
      </c>
      <c r="H228" s="19">
        <f t="shared" si="51"/>
        <v>11788.439633454544</v>
      </c>
      <c r="I228" s="114" t="s">
        <v>1521</v>
      </c>
      <c r="J228" s="210">
        <f>VLOOKUP(I228,'Reajuste Atual'!$L$19:$M$25,2,FALSE)</f>
        <v>3.1053999999999999</v>
      </c>
      <c r="K228" s="190"/>
      <c r="L228" s="20">
        <v>3948.24</v>
      </c>
      <c r="M228" s="765">
        <f t="shared" si="52"/>
        <v>2820.1714285714288</v>
      </c>
      <c r="N228" s="765">
        <f t="shared" si="53"/>
        <v>2871.4472727272728</v>
      </c>
      <c r="O228" s="765">
        <f t="shared" si="48"/>
        <v>2871.4472727272728</v>
      </c>
    </row>
    <row r="229" spans="1:15" s="98" customFormat="1" ht="31.5" outlineLevel="1">
      <c r="A229" s="141" t="s">
        <v>3483</v>
      </c>
      <c r="B229" s="175" t="s">
        <v>253</v>
      </c>
      <c r="C229" s="100" t="s">
        <v>1721</v>
      </c>
      <c r="D229" s="181" t="s">
        <v>1468</v>
      </c>
      <c r="E229" s="491">
        <v>1</v>
      </c>
      <c r="F229" s="20">
        <f t="shared" si="49"/>
        <v>7288.9236363636364</v>
      </c>
      <c r="G229" s="19">
        <f t="shared" si="50"/>
        <v>7288.9236363636364</v>
      </c>
      <c r="H229" s="19">
        <f t="shared" si="51"/>
        <v>29923.947096727268</v>
      </c>
      <c r="I229" s="114" t="s">
        <v>1521</v>
      </c>
      <c r="J229" s="210">
        <f>VLOOKUP(I229,'Reajuste Atual'!$L$19:$M$25,2,FALSE)</f>
        <v>3.1053999999999999</v>
      </c>
      <c r="K229" s="190"/>
      <c r="L229" s="20">
        <v>10022.27</v>
      </c>
      <c r="M229" s="765">
        <f t="shared" si="52"/>
        <v>7158.7642857142864</v>
      </c>
      <c r="N229" s="765">
        <f t="shared" si="53"/>
        <v>7288.9236363636364</v>
      </c>
      <c r="O229" s="765">
        <f t="shared" si="48"/>
        <v>7288.9236363636364</v>
      </c>
    </row>
    <row r="230" spans="1:15" s="98" customFormat="1" outlineLevel="1">
      <c r="A230" s="141" t="s">
        <v>3483</v>
      </c>
      <c r="B230" s="175" t="s">
        <v>254</v>
      </c>
      <c r="C230" s="100" t="s">
        <v>1722</v>
      </c>
      <c r="D230" s="181" t="s">
        <v>1468</v>
      </c>
      <c r="E230" s="491">
        <v>1</v>
      </c>
      <c r="F230" s="20">
        <f t="shared" si="49"/>
        <v>3162.6981818181816</v>
      </c>
      <c r="G230" s="19">
        <f t="shared" si="50"/>
        <v>3162.6981818181816</v>
      </c>
      <c r="H230" s="19">
        <f t="shared" si="51"/>
        <v>12984.141115636361</v>
      </c>
      <c r="I230" s="114" t="s">
        <v>1521</v>
      </c>
      <c r="J230" s="210">
        <f>VLOOKUP(I230,'Reajuste Atual'!$L$19:$M$25,2,FALSE)</f>
        <v>3.1053999999999999</v>
      </c>
      <c r="K230" s="190"/>
      <c r="L230" s="20">
        <v>4348.71</v>
      </c>
      <c r="M230" s="765">
        <f t="shared" si="52"/>
        <v>3106.221428571429</v>
      </c>
      <c r="N230" s="765">
        <f t="shared" si="53"/>
        <v>3162.6981818181816</v>
      </c>
      <c r="O230" s="765">
        <f t="shared" si="48"/>
        <v>3162.6981818181816</v>
      </c>
    </row>
    <row r="231" spans="1:15" s="98" customFormat="1" outlineLevel="1">
      <c r="B231" s="178" t="s">
        <v>255</v>
      </c>
      <c r="C231" s="102" t="s">
        <v>1429</v>
      </c>
      <c r="D231" s="91"/>
      <c r="E231" s="63"/>
      <c r="F231" s="63"/>
      <c r="G231" s="63">
        <f>+G232+G256</f>
        <v>682189.62055194797</v>
      </c>
      <c r="H231" s="63">
        <f>+H232+H256</f>
        <v>2719198.8141554892</v>
      </c>
      <c r="I231" s="111">
        <v>0</v>
      </c>
      <c r="J231" s="86"/>
      <c r="K231" s="191"/>
      <c r="L231" s="63"/>
      <c r="M231" s="765">
        <f t="shared" si="52"/>
        <v>0</v>
      </c>
      <c r="N231" s="765">
        <f t="shared" si="53"/>
        <v>0</v>
      </c>
      <c r="O231" s="765">
        <f t="shared" si="48"/>
        <v>0</v>
      </c>
    </row>
    <row r="232" spans="1:15" s="98" customFormat="1" outlineLevel="1">
      <c r="B232" s="179" t="s">
        <v>256</v>
      </c>
      <c r="C232" s="106" t="s">
        <v>1394</v>
      </c>
      <c r="D232" s="81"/>
      <c r="E232" s="89"/>
      <c r="F232" s="89"/>
      <c r="G232" s="89">
        <f>SUM(G233:G255)</f>
        <v>317204.12964285712</v>
      </c>
      <c r="H232" s="89">
        <f>SUM(H233:H255)</f>
        <v>1220787.3797773074</v>
      </c>
      <c r="I232" s="112">
        <v>0</v>
      </c>
      <c r="J232" s="84"/>
      <c r="K232" s="192"/>
      <c r="L232" s="89"/>
      <c r="M232" s="765">
        <f t="shared" si="52"/>
        <v>0</v>
      </c>
      <c r="N232" s="765">
        <f t="shared" si="53"/>
        <v>0</v>
      </c>
      <c r="O232" s="765">
        <f t="shared" si="48"/>
        <v>0</v>
      </c>
    </row>
    <row r="233" spans="1:15" s="98" customFormat="1" outlineLevel="1">
      <c r="A233" s="141" t="s">
        <v>3478</v>
      </c>
      <c r="B233" s="175" t="s">
        <v>257</v>
      </c>
      <c r="C233" s="100" t="s">
        <v>1568</v>
      </c>
      <c r="D233" s="99" t="s">
        <v>1467</v>
      </c>
      <c r="E233" s="491">
        <v>2538.4299999999998</v>
      </c>
      <c r="F233" s="20">
        <f t="shared" ref="F233:F255" si="54">O233</f>
        <v>3.9571428571428573</v>
      </c>
      <c r="G233" s="19">
        <f t="shared" ref="G233:G255" si="55">E233*F233</f>
        <v>10044.930142857143</v>
      </c>
      <c r="H233" s="19">
        <f t="shared" ref="H233:H255" si="56">G233*(1+J233)</f>
        <v>34700.211178500002</v>
      </c>
      <c r="I233" s="114" t="s">
        <v>1523</v>
      </c>
      <c r="J233" s="210">
        <f>VLOOKUP(I233,'Reajuste Atual'!$L$19:$M$25,2,FALSE)</f>
        <v>2.4544999999999999</v>
      </c>
      <c r="K233" s="190"/>
      <c r="L233" s="20">
        <v>5.54</v>
      </c>
      <c r="M233" s="765">
        <f t="shared" si="52"/>
        <v>3.9571428571428573</v>
      </c>
      <c r="N233" s="765">
        <f t="shared" si="53"/>
        <v>4.0290909090909093</v>
      </c>
      <c r="O233" s="765">
        <f t="shared" si="48"/>
        <v>3.9571428571428573</v>
      </c>
    </row>
    <row r="234" spans="1:15" s="98" customFormat="1" outlineLevel="1">
      <c r="A234" s="141" t="s">
        <v>3478</v>
      </c>
      <c r="B234" s="175" t="s">
        <v>258</v>
      </c>
      <c r="C234" s="100" t="s">
        <v>1569</v>
      </c>
      <c r="D234" s="99" t="s">
        <v>1467</v>
      </c>
      <c r="E234" s="491">
        <v>1014.01</v>
      </c>
      <c r="F234" s="20">
        <f t="shared" si="54"/>
        <v>5.2928571428571436</v>
      </c>
      <c r="G234" s="19">
        <f t="shared" si="55"/>
        <v>5367.0100714285718</v>
      </c>
      <c r="H234" s="19">
        <f t="shared" si="56"/>
        <v>18540.336291750002</v>
      </c>
      <c r="I234" s="114" t="s">
        <v>1523</v>
      </c>
      <c r="J234" s="210">
        <f>VLOOKUP(I234,'Reajuste Atual'!$L$19:$M$25,2,FALSE)</f>
        <v>2.4544999999999999</v>
      </c>
      <c r="K234" s="190"/>
      <c r="L234" s="20">
        <v>7.41</v>
      </c>
      <c r="M234" s="765">
        <f t="shared" si="52"/>
        <v>5.2928571428571436</v>
      </c>
      <c r="N234" s="765">
        <f t="shared" si="53"/>
        <v>5.3890909090909096</v>
      </c>
      <c r="O234" s="765">
        <f t="shared" si="48"/>
        <v>5.2928571428571436</v>
      </c>
    </row>
    <row r="235" spans="1:15" s="98" customFormat="1" outlineLevel="1">
      <c r="A235" s="141" t="s">
        <v>3478</v>
      </c>
      <c r="B235" s="175" t="s">
        <v>259</v>
      </c>
      <c r="C235" s="100" t="s">
        <v>1636</v>
      </c>
      <c r="D235" s="99" t="s">
        <v>1467</v>
      </c>
      <c r="E235" s="491">
        <v>375.4</v>
      </c>
      <c r="F235" s="20">
        <f t="shared" si="54"/>
        <v>203.15000000000003</v>
      </c>
      <c r="G235" s="19">
        <f t="shared" si="55"/>
        <v>76262.510000000009</v>
      </c>
      <c r="H235" s="19">
        <f t="shared" si="56"/>
        <v>278198.01022900001</v>
      </c>
      <c r="I235" s="114" t="s">
        <v>1526</v>
      </c>
      <c r="J235" s="210">
        <f>VLOOKUP(I235,'Reajuste Atual'!$L$19:$M$25,2,FALSE)</f>
        <v>2.6478999999999999</v>
      </c>
      <c r="K235" s="190"/>
      <c r="L235" s="20">
        <v>284.41000000000003</v>
      </c>
      <c r="M235" s="765">
        <f t="shared" si="52"/>
        <v>203.15000000000003</v>
      </c>
      <c r="N235" s="765">
        <f t="shared" si="53"/>
        <v>206.84363636363639</v>
      </c>
      <c r="O235" s="765">
        <f t="shared" si="48"/>
        <v>203.15000000000003</v>
      </c>
    </row>
    <row r="236" spans="1:15" s="98" customFormat="1" outlineLevel="1">
      <c r="A236" s="141" t="s">
        <v>3478</v>
      </c>
      <c r="B236" s="175" t="s">
        <v>260</v>
      </c>
      <c r="C236" s="100" t="s">
        <v>1574</v>
      </c>
      <c r="D236" s="99" t="s">
        <v>1467</v>
      </c>
      <c r="E236" s="491">
        <v>54.14</v>
      </c>
      <c r="F236" s="20">
        <f t="shared" si="54"/>
        <v>168.82857142857145</v>
      </c>
      <c r="G236" s="19">
        <f t="shared" si="55"/>
        <v>9140.3788571428577</v>
      </c>
      <c r="H236" s="19">
        <f t="shared" si="56"/>
        <v>33343.188032971433</v>
      </c>
      <c r="I236" s="114" t="s">
        <v>1526</v>
      </c>
      <c r="J236" s="210">
        <f>VLOOKUP(I236,'Reajuste Atual'!$L$19:$M$25,2,FALSE)</f>
        <v>2.6478999999999999</v>
      </c>
      <c r="K236" s="190"/>
      <c r="L236" s="20">
        <v>236.36</v>
      </c>
      <c r="M236" s="765">
        <f t="shared" si="52"/>
        <v>168.82857142857145</v>
      </c>
      <c r="N236" s="765">
        <f t="shared" si="53"/>
        <v>171.89818181818183</v>
      </c>
      <c r="O236" s="765">
        <f t="shared" si="48"/>
        <v>168.82857142857145</v>
      </c>
    </row>
    <row r="237" spans="1:15" s="98" customFormat="1" outlineLevel="1">
      <c r="A237" s="141" t="s">
        <v>3478</v>
      </c>
      <c r="B237" s="175" t="s">
        <v>261</v>
      </c>
      <c r="C237" s="100" t="s">
        <v>1570</v>
      </c>
      <c r="D237" s="99" t="s">
        <v>1470</v>
      </c>
      <c r="E237" s="491">
        <v>887.89</v>
      </c>
      <c r="F237" s="20">
        <f t="shared" si="54"/>
        <v>38.228571428571435</v>
      </c>
      <c r="G237" s="19">
        <f t="shared" si="55"/>
        <v>33942.766285714293</v>
      </c>
      <c r="H237" s="19">
        <f t="shared" si="56"/>
        <v>123819.81713365717</v>
      </c>
      <c r="I237" s="114" t="s">
        <v>1526</v>
      </c>
      <c r="J237" s="210">
        <f>VLOOKUP(I237,'Reajuste Atual'!$L$19:$M$25,2,FALSE)</f>
        <v>2.6478999999999999</v>
      </c>
      <c r="K237" s="190"/>
      <c r="L237" s="20">
        <v>53.52</v>
      </c>
      <c r="M237" s="765">
        <f t="shared" si="52"/>
        <v>38.228571428571435</v>
      </c>
      <c r="N237" s="765">
        <f t="shared" si="53"/>
        <v>38.923636363636369</v>
      </c>
      <c r="O237" s="765">
        <f t="shared" si="48"/>
        <v>38.228571428571435</v>
      </c>
    </row>
    <row r="238" spans="1:15" s="98" customFormat="1" outlineLevel="1">
      <c r="A238" s="141" t="s">
        <v>3478</v>
      </c>
      <c r="B238" s="175" t="s">
        <v>262</v>
      </c>
      <c r="C238" s="100" t="s">
        <v>1707</v>
      </c>
      <c r="D238" s="99" t="s">
        <v>1471</v>
      </c>
      <c r="E238" s="491">
        <v>16436</v>
      </c>
      <c r="F238" s="20">
        <f t="shared" si="54"/>
        <v>2.7642857142857147</v>
      </c>
      <c r="G238" s="19">
        <f t="shared" si="55"/>
        <v>45433.8</v>
      </c>
      <c r="H238" s="19">
        <f t="shared" si="56"/>
        <v>165737.95902000001</v>
      </c>
      <c r="I238" s="114" t="s">
        <v>1526</v>
      </c>
      <c r="J238" s="210">
        <f>VLOOKUP(I238,'Reajuste Atual'!$L$19:$M$25,2,FALSE)</f>
        <v>2.6478999999999999</v>
      </c>
      <c r="K238" s="190"/>
      <c r="L238" s="20">
        <v>3.87</v>
      </c>
      <c r="M238" s="765">
        <f t="shared" si="52"/>
        <v>2.7642857142857147</v>
      </c>
      <c r="N238" s="765">
        <f t="shared" si="53"/>
        <v>2.8145454545454545</v>
      </c>
      <c r="O238" s="765">
        <f t="shared" si="48"/>
        <v>2.7642857142857147</v>
      </c>
    </row>
    <row r="239" spans="1:15" s="98" customFormat="1" outlineLevel="1">
      <c r="A239" s="141" t="s">
        <v>3478</v>
      </c>
      <c r="B239" s="175" t="s">
        <v>263</v>
      </c>
      <c r="C239" s="100" t="s">
        <v>1723</v>
      </c>
      <c r="D239" s="99" t="s">
        <v>1472</v>
      </c>
      <c r="E239" s="491">
        <v>72.73</v>
      </c>
      <c r="F239" s="20">
        <f t="shared" si="54"/>
        <v>11.850000000000001</v>
      </c>
      <c r="G239" s="19">
        <f t="shared" si="55"/>
        <v>861.85050000000012</v>
      </c>
      <c r="H239" s="19">
        <f t="shared" si="56"/>
        <v>3917.9723730000001</v>
      </c>
      <c r="I239" s="114" t="s">
        <v>1522</v>
      </c>
      <c r="J239" s="210">
        <f>VLOOKUP(I239,'Reajuste Atual'!$L$19:$M$25,2,FALSE)</f>
        <v>3.5459999999999998</v>
      </c>
      <c r="K239" s="190"/>
      <c r="L239" s="20">
        <v>16.59</v>
      </c>
      <c r="M239" s="765">
        <f t="shared" si="52"/>
        <v>11.850000000000001</v>
      </c>
      <c r="N239" s="765">
        <f t="shared" si="53"/>
        <v>12.065454545454545</v>
      </c>
      <c r="O239" s="765">
        <f t="shared" si="48"/>
        <v>11.850000000000001</v>
      </c>
    </row>
    <row r="240" spans="1:15" s="98" customFormat="1" outlineLevel="1">
      <c r="A240" s="141" t="s">
        <v>3478</v>
      </c>
      <c r="B240" s="175" t="s">
        <v>264</v>
      </c>
      <c r="C240" s="100" t="s">
        <v>1629</v>
      </c>
      <c r="D240" s="99" t="s">
        <v>1472</v>
      </c>
      <c r="E240" s="491">
        <v>120.05</v>
      </c>
      <c r="F240" s="20">
        <f t="shared" si="54"/>
        <v>7.5642857142857149</v>
      </c>
      <c r="G240" s="19">
        <f t="shared" si="55"/>
        <v>908.09250000000009</v>
      </c>
      <c r="H240" s="19">
        <f t="shared" si="56"/>
        <v>4128.1885050000001</v>
      </c>
      <c r="I240" s="114" t="s">
        <v>1522</v>
      </c>
      <c r="J240" s="210">
        <f>VLOOKUP(I240,'Reajuste Atual'!$L$19:$M$25,2,FALSE)</f>
        <v>3.5459999999999998</v>
      </c>
      <c r="K240" s="190"/>
      <c r="L240" s="20">
        <v>10.59</v>
      </c>
      <c r="M240" s="765">
        <f t="shared" si="52"/>
        <v>7.5642857142857149</v>
      </c>
      <c r="N240" s="765">
        <f t="shared" si="53"/>
        <v>7.7018181818181821</v>
      </c>
      <c r="O240" s="765">
        <f t="shared" si="48"/>
        <v>7.5642857142857149</v>
      </c>
    </row>
    <row r="241" spans="1:15" s="98" customFormat="1" outlineLevel="1">
      <c r="A241" s="141" t="s">
        <v>3478</v>
      </c>
      <c r="B241" s="175" t="s">
        <v>265</v>
      </c>
      <c r="C241" s="100" t="s">
        <v>1430</v>
      </c>
      <c r="D241" s="99" t="s">
        <v>1472</v>
      </c>
      <c r="E241" s="491">
        <v>46.49</v>
      </c>
      <c r="F241" s="20">
        <f t="shared" si="54"/>
        <v>67.192857142857136</v>
      </c>
      <c r="G241" s="19">
        <f t="shared" si="55"/>
        <v>3123.7959285714282</v>
      </c>
      <c r="H241" s="19">
        <f t="shared" si="56"/>
        <v>14200.776291285711</v>
      </c>
      <c r="I241" s="114" t="s">
        <v>1522</v>
      </c>
      <c r="J241" s="210">
        <f>VLOOKUP(I241,'Reajuste Atual'!$L$19:$M$25,2,FALSE)</f>
        <v>3.5459999999999998</v>
      </c>
      <c r="K241" s="190"/>
      <c r="L241" s="20">
        <v>94.07</v>
      </c>
      <c r="M241" s="765">
        <f t="shared" si="52"/>
        <v>67.192857142857136</v>
      </c>
      <c r="N241" s="765">
        <f t="shared" si="53"/>
        <v>68.414545454545447</v>
      </c>
      <c r="O241" s="765">
        <f t="shared" si="48"/>
        <v>67.192857142857136</v>
      </c>
    </row>
    <row r="242" spans="1:15" s="98" customFormat="1" outlineLevel="1">
      <c r="A242" s="141" t="s">
        <v>3478</v>
      </c>
      <c r="B242" s="175" t="s">
        <v>266</v>
      </c>
      <c r="C242" s="100" t="s">
        <v>1724</v>
      </c>
      <c r="D242" s="99" t="s">
        <v>1472</v>
      </c>
      <c r="E242" s="491">
        <v>13.2</v>
      </c>
      <c r="F242" s="20">
        <f t="shared" si="54"/>
        <v>31.914285714285715</v>
      </c>
      <c r="G242" s="19">
        <f t="shared" si="55"/>
        <v>421.26857142857142</v>
      </c>
      <c r="H242" s="19">
        <f t="shared" si="56"/>
        <v>1915.0869257142854</v>
      </c>
      <c r="I242" s="114" t="s">
        <v>1522</v>
      </c>
      <c r="J242" s="210">
        <f>VLOOKUP(I242,'Reajuste Atual'!$L$19:$M$25,2,FALSE)</f>
        <v>3.5459999999999998</v>
      </c>
      <c r="K242" s="190"/>
      <c r="L242" s="20">
        <v>44.68</v>
      </c>
      <c r="M242" s="765">
        <f t="shared" si="52"/>
        <v>31.914285714285715</v>
      </c>
      <c r="N242" s="765">
        <f t="shared" si="53"/>
        <v>32.494545454545452</v>
      </c>
      <c r="O242" s="765">
        <f t="shared" si="48"/>
        <v>31.914285714285715</v>
      </c>
    </row>
    <row r="243" spans="1:15" s="98" customFormat="1" outlineLevel="1">
      <c r="A243" s="141" t="s">
        <v>3478</v>
      </c>
      <c r="B243" s="175" t="s">
        <v>267</v>
      </c>
      <c r="C243" s="100" t="s">
        <v>1725</v>
      </c>
      <c r="D243" s="99" t="s">
        <v>1472</v>
      </c>
      <c r="E243" s="491">
        <v>20.85</v>
      </c>
      <c r="F243" s="20">
        <f t="shared" si="54"/>
        <v>116.82142857142858</v>
      </c>
      <c r="G243" s="19">
        <f t="shared" si="55"/>
        <v>2435.7267857142861</v>
      </c>
      <c r="H243" s="19">
        <f t="shared" si="56"/>
        <v>11072.813967857142</v>
      </c>
      <c r="I243" s="114" t="s">
        <v>1522</v>
      </c>
      <c r="J243" s="210">
        <f>VLOOKUP(I243,'Reajuste Atual'!$L$19:$M$25,2,FALSE)</f>
        <v>3.5459999999999998</v>
      </c>
      <c r="K243" s="190"/>
      <c r="L243" s="20">
        <v>163.55000000000001</v>
      </c>
      <c r="M243" s="765">
        <f t="shared" si="52"/>
        <v>116.82142857142858</v>
      </c>
      <c r="N243" s="765">
        <f t="shared" si="53"/>
        <v>118.94545454545455</v>
      </c>
      <c r="O243" s="765">
        <f t="shared" si="48"/>
        <v>116.82142857142858</v>
      </c>
    </row>
    <row r="244" spans="1:15" s="98" customFormat="1" outlineLevel="1">
      <c r="A244" s="141" t="s">
        <v>3478</v>
      </c>
      <c r="B244" s="175" t="s">
        <v>268</v>
      </c>
      <c r="C244" s="100" t="s">
        <v>1726</v>
      </c>
      <c r="D244" s="181" t="s">
        <v>1468</v>
      </c>
      <c r="E244" s="850">
        <v>0</v>
      </c>
      <c r="F244" s="20">
        <f t="shared" si="54"/>
        <v>22.371428571428574</v>
      </c>
      <c r="G244" s="19">
        <f t="shared" si="55"/>
        <v>0</v>
      </c>
      <c r="H244" s="19">
        <f t="shared" si="56"/>
        <v>0</v>
      </c>
      <c r="I244" s="114" t="s">
        <v>1522</v>
      </c>
      <c r="J244" s="210">
        <f>VLOOKUP(I244,'Reajuste Atual'!$L$19:$M$25,2,FALSE)</f>
        <v>3.5459999999999998</v>
      </c>
      <c r="K244" s="190"/>
      <c r="L244" s="20">
        <v>31.32</v>
      </c>
      <c r="M244" s="765">
        <f t="shared" si="52"/>
        <v>22.371428571428574</v>
      </c>
      <c r="N244" s="765">
        <f t="shared" si="53"/>
        <v>22.778181818181817</v>
      </c>
      <c r="O244" s="765">
        <f t="shared" si="48"/>
        <v>22.371428571428574</v>
      </c>
    </row>
    <row r="245" spans="1:15" s="98" customFormat="1" outlineLevel="1">
      <c r="A245" s="141" t="s">
        <v>3478</v>
      </c>
      <c r="B245" s="175" t="s">
        <v>269</v>
      </c>
      <c r="C245" s="100" t="s">
        <v>1727</v>
      </c>
      <c r="D245" s="181" t="s">
        <v>1468</v>
      </c>
      <c r="E245" s="850">
        <v>0</v>
      </c>
      <c r="F245" s="20">
        <f t="shared" si="54"/>
        <v>18.207142857142856</v>
      </c>
      <c r="G245" s="19">
        <f t="shared" si="55"/>
        <v>0</v>
      </c>
      <c r="H245" s="19">
        <f t="shared" si="56"/>
        <v>0</v>
      </c>
      <c r="I245" s="114" t="s">
        <v>1522</v>
      </c>
      <c r="J245" s="210">
        <f>VLOOKUP(I245,'Reajuste Atual'!$L$19:$M$25,2,FALSE)</f>
        <v>3.5459999999999998</v>
      </c>
      <c r="K245" s="190"/>
      <c r="L245" s="20">
        <v>25.49</v>
      </c>
      <c r="M245" s="765">
        <f t="shared" si="52"/>
        <v>18.207142857142856</v>
      </c>
      <c r="N245" s="765">
        <f t="shared" si="53"/>
        <v>18.538181818181815</v>
      </c>
      <c r="O245" s="765">
        <f t="shared" si="48"/>
        <v>18.207142857142856</v>
      </c>
    </row>
    <row r="246" spans="1:15" s="98" customFormat="1" outlineLevel="1">
      <c r="A246" s="141" t="s">
        <v>3478</v>
      </c>
      <c r="B246" s="175" t="s">
        <v>270</v>
      </c>
      <c r="C246" s="100" t="s">
        <v>1728</v>
      </c>
      <c r="D246" s="181" t="s">
        <v>1468</v>
      </c>
      <c r="E246" s="850">
        <v>0</v>
      </c>
      <c r="F246" s="20">
        <f t="shared" si="54"/>
        <v>7187.6428571428578</v>
      </c>
      <c r="G246" s="19">
        <f t="shared" si="55"/>
        <v>0</v>
      </c>
      <c r="H246" s="19">
        <f t="shared" si="56"/>
        <v>0</v>
      </c>
      <c r="I246" s="114" t="s">
        <v>1522</v>
      </c>
      <c r="J246" s="210">
        <f>VLOOKUP(I246,'Reajuste Atual'!$L$19:$M$25,2,FALSE)</f>
        <v>3.5459999999999998</v>
      </c>
      <c r="K246" s="190"/>
      <c r="L246" s="20">
        <v>10062.700000000001</v>
      </c>
      <c r="M246" s="765">
        <f t="shared" si="52"/>
        <v>7187.6428571428578</v>
      </c>
      <c r="N246" s="765">
        <f t="shared" si="53"/>
        <v>7318.3272727272733</v>
      </c>
      <c r="O246" s="765">
        <f t="shared" si="48"/>
        <v>7187.6428571428578</v>
      </c>
    </row>
    <row r="247" spans="1:15" s="98" customFormat="1" outlineLevel="1">
      <c r="A247" s="141" t="s">
        <v>3478</v>
      </c>
      <c r="B247" s="175" t="s">
        <v>271</v>
      </c>
      <c r="C247" s="100" t="s">
        <v>1729</v>
      </c>
      <c r="D247" s="181" t="s">
        <v>1468</v>
      </c>
      <c r="E247" s="850">
        <v>0</v>
      </c>
      <c r="F247" s="20">
        <f t="shared" si="54"/>
        <v>2370.6642857142856</v>
      </c>
      <c r="G247" s="19">
        <f t="shared" si="55"/>
        <v>0</v>
      </c>
      <c r="H247" s="19">
        <f t="shared" si="56"/>
        <v>0</v>
      </c>
      <c r="I247" s="114" t="s">
        <v>1522</v>
      </c>
      <c r="J247" s="210">
        <f>VLOOKUP(I247,'Reajuste Atual'!$L$19:$M$25,2,FALSE)</f>
        <v>3.5459999999999998</v>
      </c>
      <c r="K247" s="190"/>
      <c r="L247" s="20">
        <v>3318.93</v>
      </c>
      <c r="M247" s="765">
        <f t="shared" si="52"/>
        <v>2370.6642857142856</v>
      </c>
      <c r="N247" s="765">
        <f t="shared" si="53"/>
        <v>2413.7672727272725</v>
      </c>
      <c r="O247" s="765">
        <f t="shared" si="48"/>
        <v>2370.6642857142856</v>
      </c>
    </row>
    <row r="248" spans="1:15" s="98" customFormat="1" outlineLevel="1">
      <c r="A248" s="141" t="s">
        <v>3478</v>
      </c>
      <c r="B248" s="175" t="s">
        <v>272</v>
      </c>
      <c r="C248" s="100" t="s">
        <v>1663</v>
      </c>
      <c r="D248" s="99" t="s">
        <v>1472</v>
      </c>
      <c r="E248" s="491">
        <v>40</v>
      </c>
      <c r="F248" s="20">
        <f t="shared" si="54"/>
        <v>30.685714285714287</v>
      </c>
      <c r="G248" s="19">
        <f t="shared" si="55"/>
        <v>1227.4285714285716</v>
      </c>
      <c r="H248" s="19">
        <f t="shared" si="56"/>
        <v>5579.8902857142857</v>
      </c>
      <c r="I248" s="114" t="s">
        <v>1522</v>
      </c>
      <c r="J248" s="210">
        <f>VLOOKUP(I248,'Reajuste Atual'!$L$19:$M$25,2,FALSE)</f>
        <v>3.5459999999999998</v>
      </c>
      <c r="K248" s="190"/>
      <c r="L248" s="20">
        <v>42.96</v>
      </c>
      <c r="M248" s="765">
        <f t="shared" si="52"/>
        <v>30.685714285714287</v>
      </c>
      <c r="N248" s="765">
        <f t="shared" si="53"/>
        <v>31.243636363636366</v>
      </c>
      <c r="O248" s="765">
        <f t="shared" si="48"/>
        <v>30.685714285714287</v>
      </c>
    </row>
    <row r="249" spans="1:15" s="98" customFormat="1" outlineLevel="1">
      <c r="A249" s="141" t="s">
        <v>3478</v>
      </c>
      <c r="B249" s="175" t="s">
        <v>273</v>
      </c>
      <c r="C249" s="100" t="s">
        <v>1730</v>
      </c>
      <c r="D249" s="181" t="s">
        <v>1468</v>
      </c>
      <c r="E249" s="491">
        <v>14</v>
      </c>
      <c r="F249" s="20">
        <f t="shared" si="54"/>
        <v>4671.6714285714288</v>
      </c>
      <c r="G249" s="19">
        <f t="shared" si="55"/>
        <v>65403.4</v>
      </c>
      <c r="H249" s="19">
        <f t="shared" si="56"/>
        <v>268507.11835999996</v>
      </c>
      <c r="I249" s="114" t="s">
        <v>1521</v>
      </c>
      <c r="J249" s="210">
        <f>VLOOKUP(I249,'Reajuste Atual'!$L$19:$M$25,2,FALSE)</f>
        <v>3.1053999999999999</v>
      </c>
      <c r="K249" s="190"/>
      <c r="L249" s="20">
        <v>6540.34</v>
      </c>
      <c r="M249" s="765">
        <f t="shared" si="52"/>
        <v>4671.6714285714288</v>
      </c>
      <c r="N249" s="765">
        <f t="shared" si="53"/>
        <v>4756.6109090909094</v>
      </c>
      <c r="O249" s="765">
        <f t="shared" si="48"/>
        <v>4671.6714285714288</v>
      </c>
    </row>
    <row r="250" spans="1:15" s="98" customFormat="1" outlineLevel="1">
      <c r="A250" s="141" t="s">
        <v>3478</v>
      </c>
      <c r="B250" s="175" t="s">
        <v>274</v>
      </c>
      <c r="C250" s="100" t="s">
        <v>1731</v>
      </c>
      <c r="D250" s="181" t="s">
        <v>1468</v>
      </c>
      <c r="E250" s="491">
        <v>12</v>
      </c>
      <c r="F250" s="20">
        <f t="shared" si="54"/>
        <v>4285.5785714285721</v>
      </c>
      <c r="G250" s="19">
        <f t="shared" si="55"/>
        <v>51426.942857142865</v>
      </c>
      <c r="H250" s="19">
        <f t="shared" si="56"/>
        <v>211128.17120571429</v>
      </c>
      <c r="I250" s="114" t="s">
        <v>1521</v>
      </c>
      <c r="J250" s="210">
        <f>VLOOKUP(I250,'Reajuste Atual'!$L$19:$M$25,2,FALSE)</f>
        <v>3.1053999999999999</v>
      </c>
      <c r="K250" s="190"/>
      <c r="L250" s="20">
        <v>5999.81</v>
      </c>
      <c r="M250" s="765">
        <f t="shared" si="52"/>
        <v>4285.5785714285721</v>
      </c>
      <c r="N250" s="765">
        <f t="shared" si="53"/>
        <v>4363.4981818181823</v>
      </c>
      <c r="O250" s="765">
        <f t="shared" si="48"/>
        <v>4285.5785714285721</v>
      </c>
    </row>
    <row r="251" spans="1:15" s="98" customFormat="1" outlineLevel="1">
      <c r="A251" s="141" t="s">
        <v>3478</v>
      </c>
      <c r="B251" s="175" t="s">
        <v>2787</v>
      </c>
      <c r="C251" s="100" t="s">
        <v>2788</v>
      </c>
      <c r="D251" s="181" t="s">
        <v>1468</v>
      </c>
      <c r="E251" s="491">
        <v>3</v>
      </c>
      <c r="F251" s="20">
        <f t="shared" si="54"/>
        <v>568.98571428571438</v>
      </c>
      <c r="G251" s="19">
        <f t="shared" si="55"/>
        <v>1706.957142857143</v>
      </c>
      <c r="H251" s="19">
        <f t="shared" si="56"/>
        <v>7007.741854285714</v>
      </c>
      <c r="I251" s="114" t="s">
        <v>1521</v>
      </c>
      <c r="J251" s="210">
        <f>VLOOKUP(I251,'Reajuste Atual'!$L$19:$M$25,2,FALSE)</f>
        <v>3.1053999999999999</v>
      </c>
      <c r="K251" s="190"/>
      <c r="L251" s="20">
        <v>796.58</v>
      </c>
      <c r="M251" s="765">
        <f t="shared" si="52"/>
        <v>568.98571428571438</v>
      </c>
      <c r="N251" s="765">
        <f t="shared" si="53"/>
        <v>579.33090909090913</v>
      </c>
      <c r="O251" s="765">
        <f t="shared" si="48"/>
        <v>568.98571428571438</v>
      </c>
    </row>
    <row r="252" spans="1:15" s="98" customFormat="1" outlineLevel="1">
      <c r="A252" s="141" t="s">
        <v>3478</v>
      </c>
      <c r="B252" s="175" t="s">
        <v>2789</v>
      </c>
      <c r="C252" s="100" t="s">
        <v>2790</v>
      </c>
      <c r="D252" s="181" t="s">
        <v>1468</v>
      </c>
      <c r="E252" s="491">
        <v>6</v>
      </c>
      <c r="F252" s="20">
        <f t="shared" si="54"/>
        <v>847.42857142857156</v>
      </c>
      <c r="G252" s="19">
        <f t="shared" si="55"/>
        <v>5084.5714285714294</v>
      </c>
      <c r="H252" s="19">
        <f t="shared" si="56"/>
        <v>20874.199542857143</v>
      </c>
      <c r="I252" s="114" t="s">
        <v>1521</v>
      </c>
      <c r="J252" s="210">
        <f>VLOOKUP(I252,'Reajuste Atual'!$L$19:$M$25,2,FALSE)</f>
        <v>3.1053999999999999</v>
      </c>
      <c r="K252" s="190"/>
      <c r="L252" s="20">
        <v>1186.4000000000001</v>
      </c>
      <c r="M252" s="765">
        <f t="shared" si="52"/>
        <v>847.42857142857156</v>
      </c>
      <c r="N252" s="765">
        <f t="shared" si="53"/>
        <v>862.83636363636367</v>
      </c>
      <c r="O252" s="765">
        <f t="shared" si="48"/>
        <v>847.42857142857156</v>
      </c>
    </row>
    <row r="253" spans="1:15" s="98" customFormat="1" outlineLevel="1">
      <c r="A253" s="141" t="s">
        <v>3478</v>
      </c>
      <c r="B253" s="175" t="s">
        <v>2791</v>
      </c>
      <c r="C253" s="100" t="s">
        <v>2792</v>
      </c>
      <c r="D253" s="181" t="s">
        <v>1468</v>
      </c>
      <c r="E253" s="491">
        <v>6</v>
      </c>
      <c r="F253" s="20">
        <f t="shared" si="54"/>
        <v>226.99285714285716</v>
      </c>
      <c r="G253" s="19">
        <f t="shared" si="55"/>
        <v>1361.957142857143</v>
      </c>
      <c r="H253" s="19">
        <f t="shared" si="56"/>
        <v>5591.3788542857146</v>
      </c>
      <c r="I253" s="114" t="s">
        <v>1521</v>
      </c>
      <c r="J253" s="210">
        <f>VLOOKUP(I253,'Reajuste Atual'!$L$19:$M$25,2,FALSE)</f>
        <v>3.1053999999999999</v>
      </c>
      <c r="K253" s="190"/>
      <c r="L253" s="20">
        <v>317.79000000000002</v>
      </c>
      <c r="M253" s="765">
        <f t="shared" si="52"/>
        <v>226.99285714285716</v>
      </c>
      <c r="N253" s="765">
        <f t="shared" si="53"/>
        <v>231.12</v>
      </c>
      <c r="O253" s="765">
        <f t="shared" si="48"/>
        <v>226.99285714285716</v>
      </c>
    </row>
    <row r="254" spans="1:15" s="98" customFormat="1" outlineLevel="1">
      <c r="A254" s="141" t="s">
        <v>3478</v>
      </c>
      <c r="B254" s="175" t="s">
        <v>2793</v>
      </c>
      <c r="C254" s="100" t="s">
        <v>2794</v>
      </c>
      <c r="D254" s="181" t="s">
        <v>1468</v>
      </c>
      <c r="E254" s="491">
        <v>3</v>
      </c>
      <c r="F254" s="20">
        <f t="shared" si="54"/>
        <v>581.09285714285716</v>
      </c>
      <c r="G254" s="19">
        <f t="shared" si="55"/>
        <v>1743.2785714285715</v>
      </c>
      <c r="H254" s="19">
        <f t="shared" si="56"/>
        <v>7156.8558471428569</v>
      </c>
      <c r="I254" s="114" t="s">
        <v>1521</v>
      </c>
      <c r="J254" s="210">
        <f>VLOOKUP(I254,'Reajuste Atual'!$L$19:$M$25,2,FALSE)</f>
        <v>3.1053999999999999</v>
      </c>
      <c r="K254" s="190"/>
      <c r="L254" s="20">
        <v>813.53</v>
      </c>
      <c r="M254" s="765">
        <f t="shared" si="52"/>
        <v>581.09285714285716</v>
      </c>
      <c r="N254" s="765">
        <f t="shared" si="53"/>
        <v>591.65818181818179</v>
      </c>
      <c r="O254" s="765">
        <f t="shared" si="48"/>
        <v>581.09285714285716</v>
      </c>
    </row>
    <row r="255" spans="1:15" s="98" customFormat="1" outlineLevel="1">
      <c r="A255" s="141" t="s">
        <v>3478</v>
      </c>
      <c r="B255" s="175" t="s">
        <v>2795</v>
      </c>
      <c r="C255" s="100" t="s">
        <v>2796</v>
      </c>
      <c r="D255" s="181" t="s">
        <v>1468</v>
      </c>
      <c r="E255" s="491">
        <v>3</v>
      </c>
      <c r="F255" s="20">
        <f t="shared" si="54"/>
        <v>435.82142857142856</v>
      </c>
      <c r="G255" s="19">
        <f t="shared" si="55"/>
        <v>1307.4642857142858</v>
      </c>
      <c r="H255" s="19">
        <f t="shared" si="56"/>
        <v>5367.6638785714285</v>
      </c>
      <c r="I255" s="114" t="s">
        <v>1521</v>
      </c>
      <c r="J255" s="210">
        <f>VLOOKUP(I255,'Reajuste Atual'!$L$19:$M$25,2,FALSE)</f>
        <v>3.1053999999999999</v>
      </c>
      <c r="K255" s="190"/>
      <c r="L255" s="20">
        <v>610.15</v>
      </c>
      <c r="M255" s="765">
        <f t="shared" si="52"/>
        <v>435.82142857142856</v>
      </c>
      <c r="N255" s="765">
        <f t="shared" si="53"/>
        <v>443.74545454545455</v>
      </c>
      <c r="O255" s="765">
        <f t="shared" si="48"/>
        <v>435.82142857142856</v>
      </c>
    </row>
    <row r="256" spans="1:15" s="98" customFormat="1" outlineLevel="1">
      <c r="B256" s="179" t="s">
        <v>275</v>
      </c>
      <c r="C256" s="106" t="s">
        <v>1431</v>
      </c>
      <c r="D256" s="94"/>
      <c r="E256" s="89"/>
      <c r="F256" s="89">
        <v>0</v>
      </c>
      <c r="G256" s="89">
        <f>SUM(G257:G270)</f>
        <v>364985.49090909091</v>
      </c>
      <c r="H256" s="89">
        <f>SUM(H257:H270)</f>
        <v>1498411.4343781816</v>
      </c>
      <c r="I256" s="112">
        <v>0</v>
      </c>
      <c r="J256" s="84"/>
      <c r="K256" s="192"/>
      <c r="L256" s="89">
        <v>0</v>
      </c>
      <c r="M256" s="765">
        <f t="shared" si="52"/>
        <v>0</v>
      </c>
      <c r="N256" s="765">
        <f t="shared" si="53"/>
        <v>0</v>
      </c>
      <c r="O256" s="765">
        <f t="shared" si="48"/>
        <v>0</v>
      </c>
    </row>
    <row r="257" spans="1:15" s="98" customFormat="1" outlineLevel="1">
      <c r="A257" s="141" t="s">
        <v>3483</v>
      </c>
      <c r="B257" s="175" t="s">
        <v>276</v>
      </c>
      <c r="C257" s="100" t="s">
        <v>1732</v>
      </c>
      <c r="D257" s="181" t="s">
        <v>1468</v>
      </c>
      <c r="E257" s="491">
        <v>14</v>
      </c>
      <c r="F257" s="20">
        <f t="shared" ref="F257:F270" si="57">O257</f>
        <v>4717.6581818181812</v>
      </c>
      <c r="G257" s="19">
        <f t="shared" ref="G257:G270" si="58">E257*F257</f>
        <v>66047.214545454539</v>
      </c>
      <c r="H257" s="19">
        <f t="shared" ref="H257:H270" si="59">G257*(1+J257)</f>
        <v>271150.23459490901</v>
      </c>
      <c r="I257" s="114" t="s">
        <v>1521</v>
      </c>
      <c r="J257" s="210">
        <f>VLOOKUP(I257,'Reajuste Atual'!$L$19:$M$25,2,FALSE)</f>
        <v>3.1053999999999999</v>
      </c>
      <c r="K257" s="190"/>
      <c r="L257" s="20">
        <v>6486.78</v>
      </c>
      <c r="M257" s="765">
        <f t="shared" si="52"/>
        <v>4633.4142857142861</v>
      </c>
      <c r="N257" s="765">
        <f t="shared" si="53"/>
        <v>4717.6581818181812</v>
      </c>
      <c r="O257" s="765">
        <f t="shared" si="48"/>
        <v>4717.6581818181812</v>
      </c>
    </row>
    <row r="258" spans="1:15" s="98" customFormat="1" outlineLevel="1">
      <c r="A258" s="141" t="s">
        <v>3483</v>
      </c>
      <c r="B258" s="175" t="s">
        <v>277</v>
      </c>
      <c r="C258" s="100" t="s">
        <v>1733</v>
      </c>
      <c r="D258" s="181" t="s">
        <v>1468</v>
      </c>
      <c r="E258" s="491">
        <v>12</v>
      </c>
      <c r="F258" s="20">
        <f t="shared" si="57"/>
        <v>3231.8763636363637</v>
      </c>
      <c r="G258" s="19">
        <f t="shared" si="58"/>
        <v>38782.516363636365</v>
      </c>
      <c r="H258" s="19">
        <f t="shared" si="59"/>
        <v>159217.74267927272</v>
      </c>
      <c r="I258" s="114" t="s">
        <v>1521</v>
      </c>
      <c r="J258" s="210">
        <f>VLOOKUP(I258,'Reajuste Atual'!$L$19:$M$25,2,FALSE)</f>
        <v>3.1053999999999999</v>
      </c>
      <c r="K258" s="190"/>
      <c r="L258" s="20">
        <v>4443.83</v>
      </c>
      <c r="M258" s="765">
        <f t="shared" si="52"/>
        <v>3174.1642857142861</v>
      </c>
      <c r="N258" s="765">
        <f t="shared" si="53"/>
        <v>3231.8763636363637</v>
      </c>
      <c r="O258" s="765">
        <f t="shared" si="48"/>
        <v>3231.8763636363637</v>
      </c>
    </row>
    <row r="259" spans="1:15" s="98" customFormat="1" outlineLevel="1">
      <c r="A259" s="141" t="s">
        <v>3483</v>
      </c>
      <c r="B259" s="175" t="s">
        <v>278</v>
      </c>
      <c r="C259" s="100" t="s">
        <v>1734</v>
      </c>
      <c r="D259" s="181" t="s">
        <v>1468</v>
      </c>
      <c r="E259" s="491">
        <v>15</v>
      </c>
      <c r="F259" s="20">
        <f t="shared" si="57"/>
        <v>5659.2581818181816</v>
      </c>
      <c r="G259" s="19">
        <f t="shared" si="58"/>
        <v>84888.872727272726</v>
      </c>
      <c r="H259" s="19">
        <f t="shared" si="59"/>
        <v>348502.77809454541</v>
      </c>
      <c r="I259" s="114" t="s">
        <v>1521</v>
      </c>
      <c r="J259" s="210">
        <f>VLOOKUP(I259,'Reajuste Atual'!$L$19:$M$25,2,FALSE)</f>
        <v>3.1053999999999999</v>
      </c>
      <c r="K259" s="190"/>
      <c r="L259" s="20">
        <v>7781.48</v>
      </c>
      <c r="M259" s="765">
        <f t="shared" si="52"/>
        <v>5558.2</v>
      </c>
      <c r="N259" s="765">
        <f t="shared" si="53"/>
        <v>5659.2581818181816</v>
      </c>
      <c r="O259" s="765">
        <f t="shared" si="48"/>
        <v>5659.2581818181816</v>
      </c>
    </row>
    <row r="260" spans="1:15" s="98" customFormat="1" outlineLevel="1">
      <c r="A260" s="141" t="s">
        <v>3483</v>
      </c>
      <c r="B260" s="175" t="s">
        <v>279</v>
      </c>
      <c r="C260" s="100" t="s">
        <v>1735</v>
      </c>
      <c r="D260" s="181" t="s">
        <v>1468</v>
      </c>
      <c r="E260" s="491">
        <v>15</v>
      </c>
      <c r="F260" s="20">
        <f t="shared" si="57"/>
        <v>4741.1927272727271</v>
      </c>
      <c r="G260" s="19">
        <f t="shared" si="58"/>
        <v>71117.8909090909</v>
      </c>
      <c r="H260" s="19">
        <f t="shared" si="59"/>
        <v>291967.38933818176</v>
      </c>
      <c r="I260" s="114" t="s">
        <v>1521</v>
      </c>
      <c r="J260" s="210">
        <f>VLOOKUP(I260,'Reajuste Atual'!$L$19:$M$25,2,FALSE)</f>
        <v>3.1053999999999999</v>
      </c>
      <c r="K260" s="190"/>
      <c r="L260" s="20">
        <v>6519.14</v>
      </c>
      <c r="M260" s="765">
        <f t="shared" si="52"/>
        <v>4656.5285714285719</v>
      </c>
      <c r="N260" s="765">
        <f t="shared" si="53"/>
        <v>4741.1927272727271</v>
      </c>
      <c r="O260" s="765">
        <f t="shared" si="48"/>
        <v>4741.1927272727271</v>
      </c>
    </row>
    <row r="261" spans="1:15" s="98" customFormat="1" outlineLevel="1">
      <c r="A261" s="141" t="s">
        <v>3483</v>
      </c>
      <c r="B261" s="175" t="s">
        <v>280</v>
      </c>
      <c r="C261" s="100" t="s">
        <v>1736</v>
      </c>
      <c r="D261" s="181" t="s">
        <v>1468</v>
      </c>
      <c r="E261" s="850">
        <v>0</v>
      </c>
      <c r="F261" s="20">
        <f t="shared" si="57"/>
        <v>12280.872727272728</v>
      </c>
      <c r="G261" s="19">
        <f t="shared" si="58"/>
        <v>0</v>
      </c>
      <c r="H261" s="19">
        <f t="shared" si="59"/>
        <v>0</v>
      </c>
      <c r="I261" s="114" t="s">
        <v>1521</v>
      </c>
      <c r="J261" s="210">
        <f>VLOOKUP(I261,'Reajuste Atual'!$L$19:$M$25,2,FALSE)</f>
        <v>3.1053999999999999</v>
      </c>
      <c r="K261" s="190"/>
      <c r="L261" s="20">
        <v>16886.2</v>
      </c>
      <c r="M261" s="765">
        <f t="shared" si="52"/>
        <v>12061.571428571429</v>
      </c>
      <c r="N261" s="765">
        <f t="shared" si="53"/>
        <v>12280.872727272728</v>
      </c>
      <c r="O261" s="765">
        <f t="shared" si="48"/>
        <v>12280.872727272728</v>
      </c>
    </row>
    <row r="262" spans="1:15" s="98" customFormat="1" outlineLevel="1">
      <c r="A262" s="141" t="s">
        <v>3483</v>
      </c>
      <c r="B262" s="175" t="s">
        <v>281</v>
      </c>
      <c r="C262" s="100" t="s">
        <v>1737</v>
      </c>
      <c r="D262" s="181" t="s">
        <v>1468</v>
      </c>
      <c r="E262" s="850">
        <v>0</v>
      </c>
      <c r="F262" s="20">
        <f t="shared" si="57"/>
        <v>402712.64</v>
      </c>
      <c r="G262" s="19">
        <f t="shared" si="58"/>
        <v>0</v>
      </c>
      <c r="H262" s="19">
        <f t="shared" si="59"/>
        <v>0</v>
      </c>
      <c r="I262" s="114" t="s">
        <v>1521</v>
      </c>
      <c r="J262" s="210">
        <f>VLOOKUP(I262,'Reajuste Atual'!$L$19:$M$25,2,FALSE)</f>
        <v>3.1053999999999999</v>
      </c>
      <c r="K262" s="190"/>
      <c r="L262" s="20">
        <v>553729.88</v>
      </c>
      <c r="M262" s="765">
        <f t="shared" si="52"/>
        <v>395521.34285714291</v>
      </c>
      <c r="N262" s="765">
        <f t="shared" si="53"/>
        <v>402712.64</v>
      </c>
      <c r="O262" s="765">
        <f t="shared" si="48"/>
        <v>402712.64</v>
      </c>
    </row>
    <row r="263" spans="1:15" s="98" customFormat="1" outlineLevel="1">
      <c r="A263" s="141" t="s">
        <v>3483</v>
      </c>
      <c r="B263" s="175" t="s">
        <v>282</v>
      </c>
      <c r="C263" s="100" t="s">
        <v>1738</v>
      </c>
      <c r="D263" s="181" t="s">
        <v>1468</v>
      </c>
      <c r="E263" s="850">
        <v>0</v>
      </c>
      <c r="F263" s="20">
        <f t="shared" si="57"/>
        <v>44905.694545454549</v>
      </c>
      <c r="G263" s="19">
        <f t="shared" si="58"/>
        <v>0</v>
      </c>
      <c r="H263" s="19">
        <f t="shared" si="59"/>
        <v>0</v>
      </c>
      <c r="I263" s="114" t="s">
        <v>1521</v>
      </c>
      <c r="J263" s="210">
        <f>VLOOKUP(I263,'Reajuste Atual'!$L$19:$M$25,2,FALSE)</f>
        <v>3.1053999999999999</v>
      </c>
      <c r="K263" s="190"/>
      <c r="L263" s="20">
        <v>61745.33</v>
      </c>
      <c r="M263" s="765">
        <f t="shared" si="52"/>
        <v>44103.807142857149</v>
      </c>
      <c r="N263" s="765">
        <f t="shared" si="53"/>
        <v>44905.694545454549</v>
      </c>
      <c r="O263" s="765">
        <f t="shared" si="48"/>
        <v>44905.694545454549</v>
      </c>
    </row>
    <row r="264" spans="1:15" s="98" customFormat="1" outlineLevel="1">
      <c r="A264" s="141" t="s">
        <v>3483</v>
      </c>
      <c r="B264" s="175" t="s">
        <v>283</v>
      </c>
      <c r="C264" s="100" t="s">
        <v>1739</v>
      </c>
      <c r="D264" s="181" t="s">
        <v>1468</v>
      </c>
      <c r="E264" s="491">
        <v>8</v>
      </c>
      <c r="F264" s="20">
        <f t="shared" si="57"/>
        <v>6622</v>
      </c>
      <c r="G264" s="19">
        <f t="shared" si="58"/>
        <v>52976</v>
      </c>
      <c r="H264" s="19">
        <f t="shared" si="59"/>
        <v>217487.67039999997</v>
      </c>
      <c r="I264" s="114" t="s">
        <v>1521</v>
      </c>
      <c r="J264" s="210">
        <f>VLOOKUP(I264,'Reajuste Atual'!$L$19:$M$25,2,FALSE)</f>
        <v>3.1053999999999999</v>
      </c>
      <c r="K264" s="190"/>
      <c r="L264" s="20">
        <v>9105.25</v>
      </c>
      <c r="M264" s="765">
        <f t="shared" si="52"/>
        <v>6503.75</v>
      </c>
      <c r="N264" s="765">
        <f t="shared" si="53"/>
        <v>6622</v>
      </c>
      <c r="O264" s="765">
        <f t="shared" si="48"/>
        <v>6622</v>
      </c>
    </row>
    <row r="265" spans="1:15" s="98" customFormat="1" outlineLevel="1">
      <c r="A265" s="141" t="s">
        <v>3483</v>
      </c>
      <c r="B265" s="175" t="s">
        <v>284</v>
      </c>
      <c r="C265" s="100" t="s">
        <v>1740</v>
      </c>
      <c r="D265" s="181" t="s">
        <v>1468</v>
      </c>
      <c r="E265" s="491">
        <v>6</v>
      </c>
      <c r="F265" s="20">
        <f t="shared" si="57"/>
        <v>6063.4618181818187</v>
      </c>
      <c r="G265" s="19">
        <f t="shared" si="58"/>
        <v>36380.770909090912</v>
      </c>
      <c r="H265" s="19">
        <f t="shared" si="59"/>
        <v>149357.61689018182</v>
      </c>
      <c r="I265" s="114" t="s">
        <v>1521</v>
      </c>
      <c r="J265" s="210">
        <f>VLOOKUP(I265,'Reajuste Atual'!$L$19:$M$25,2,FALSE)</f>
        <v>3.1053999999999999</v>
      </c>
      <c r="K265" s="190"/>
      <c r="L265" s="20">
        <v>8337.26</v>
      </c>
      <c r="M265" s="765">
        <f t="shared" si="52"/>
        <v>5955.1857142857152</v>
      </c>
      <c r="N265" s="765">
        <f t="shared" si="53"/>
        <v>6063.4618181818187</v>
      </c>
      <c r="O265" s="765">
        <f t="shared" si="48"/>
        <v>6063.4618181818187</v>
      </c>
    </row>
    <row r="266" spans="1:15" s="98" customFormat="1" outlineLevel="1">
      <c r="A266" s="141" t="s">
        <v>3483</v>
      </c>
      <c r="B266" s="175" t="s">
        <v>2797</v>
      </c>
      <c r="C266" s="100" t="s">
        <v>2798</v>
      </c>
      <c r="D266" s="181" t="s">
        <v>1468</v>
      </c>
      <c r="E266" s="491">
        <v>3</v>
      </c>
      <c r="F266" s="20">
        <f t="shared" si="57"/>
        <v>675.9345454545454</v>
      </c>
      <c r="G266" s="19">
        <f t="shared" si="58"/>
        <v>2027.8036363636361</v>
      </c>
      <c r="H266" s="19">
        <f t="shared" si="59"/>
        <v>8324.9450487272698</v>
      </c>
      <c r="I266" s="114" t="s">
        <v>1521</v>
      </c>
      <c r="J266" s="210">
        <f>VLOOKUP(I266,'Reajuste Atual'!$L$19:$M$25,2,FALSE)</f>
        <v>3.1053999999999999</v>
      </c>
      <c r="K266" s="190"/>
      <c r="L266" s="20">
        <v>929.41</v>
      </c>
      <c r="M266" s="765">
        <f t="shared" si="52"/>
        <v>663.86428571428576</v>
      </c>
      <c r="N266" s="765">
        <f t="shared" si="53"/>
        <v>675.9345454545454</v>
      </c>
      <c r="O266" s="765">
        <f t="shared" si="48"/>
        <v>675.9345454545454</v>
      </c>
    </row>
    <row r="267" spans="1:15" s="98" customFormat="1" outlineLevel="1">
      <c r="A267" s="141" t="s">
        <v>3483</v>
      </c>
      <c r="B267" s="175" t="s">
        <v>2799</v>
      </c>
      <c r="C267" s="100" t="s">
        <v>2800</v>
      </c>
      <c r="D267" s="181" t="s">
        <v>1468</v>
      </c>
      <c r="E267" s="491">
        <v>6</v>
      </c>
      <c r="F267" s="20">
        <f t="shared" si="57"/>
        <v>836.87272727272727</v>
      </c>
      <c r="G267" s="19">
        <f t="shared" si="58"/>
        <v>5021.2363636363634</v>
      </c>
      <c r="H267" s="19">
        <f t="shared" si="59"/>
        <v>20614.183767272723</v>
      </c>
      <c r="I267" s="114" t="s">
        <v>1521</v>
      </c>
      <c r="J267" s="210">
        <f>VLOOKUP(I267,'Reajuste Atual'!$L$19:$M$25,2,FALSE)</f>
        <v>3.1053999999999999</v>
      </c>
      <c r="K267" s="190"/>
      <c r="L267" s="20">
        <v>1150.7</v>
      </c>
      <c r="M267" s="765">
        <f t="shared" si="52"/>
        <v>821.92857142857156</v>
      </c>
      <c r="N267" s="765">
        <f t="shared" si="53"/>
        <v>836.87272727272727</v>
      </c>
      <c r="O267" s="765">
        <f t="shared" si="48"/>
        <v>836.87272727272727</v>
      </c>
    </row>
    <row r="268" spans="1:15" s="98" customFormat="1" outlineLevel="1">
      <c r="A268" s="141" t="s">
        <v>3483</v>
      </c>
      <c r="B268" s="175" t="s">
        <v>2801</v>
      </c>
      <c r="C268" s="100" t="s">
        <v>2802</v>
      </c>
      <c r="D268" s="181" t="s">
        <v>1468</v>
      </c>
      <c r="E268" s="491">
        <v>6</v>
      </c>
      <c r="F268" s="20">
        <f t="shared" si="57"/>
        <v>402.34181818181821</v>
      </c>
      <c r="G268" s="19">
        <f t="shared" si="58"/>
        <v>2414.050909090909</v>
      </c>
      <c r="H268" s="19">
        <f t="shared" si="59"/>
        <v>9910.6446021818174</v>
      </c>
      <c r="I268" s="114" t="s">
        <v>1521</v>
      </c>
      <c r="J268" s="210">
        <f>VLOOKUP(I268,'Reajuste Atual'!$L$19:$M$25,2,FALSE)</f>
        <v>3.1053999999999999</v>
      </c>
      <c r="K268" s="190"/>
      <c r="L268" s="20">
        <v>553.22</v>
      </c>
      <c r="M268" s="765">
        <f t="shared" si="52"/>
        <v>395.1571428571429</v>
      </c>
      <c r="N268" s="765">
        <f t="shared" si="53"/>
        <v>402.34181818181821</v>
      </c>
      <c r="O268" s="765">
        <f t="shared" si="48"/>
        <v>402.34181818181821</v>
      </c>
    </row>
    <row r="269" spans="1:15" s="98" customFormat="1" outlineLevel="1">
      <c r="A269" s="141" t="s">
        <v>3483</v>
      </c>
      <c r="B269" s="175" t="s">
        <v>2803</v>
      </c>
      <c r="C269" s="100" t="s">
        <v>2804</v>
      </c>
      <c r="D269" s="181" t="s">
        <v>1468</v>
      </c>
      <c r="E269" s="491">
        <v>3</v>
      </c>
      <c r="F269" s="20">
        <f t="shared" si="57"/>
        <v>804.68363636363642</v>
      </c>
      <c r="G269" s="19">
        <f t="shared" si="58"/>
        <v>2414.050909090909</v>
      </c>
      <c r="H269" s="19">
        <f t="shared" si="59"/>
        <v>9910.6446021818174</v>
      </c>
      <c r="I269" s="114" t="s">
        <v>1521</v>
      </c>
      <c r="J269" s="210">
        <f>VLOOKUP(I269,'Reajuste Atual'!$L$19:$M$25,2,FALSE)</f>
        <v>3.1053999999999999</v>
      </c>
      <c r="K269" s="190"/>
      <c r="L269" s="20">
        <v>1106.44</v>
      </c>
      <c r="M269" s="765">
        <f t="shared" si="52"/>
        <v>790.3142857142858</v>
      </c>
      <c r="N269" s="765">
        <f t="shared" si="53"/>
        <v>804.68363636363642</v>
      </c>
      <c r="O269" s="765">
        <f t="shared" si="48"/>
        <v>804.68363636363642</v>
      </c>
    </row>
    <row r="270" spans="1:15" s="98" customFormat="1" outlineLevel="1">
      <c r="A270" s="141" t="s">
        <v>3483</v>
      </c>
      <c r="B270" s="175" t="s">
        <v>2805</v>
      </c>
      <c r="C270" s="100" t="s">
        <v>2806</v>
      </c>
      <c r="D270" s="181" t="s">
        <v>1468</v>
      </c>
      <c r="E270" s="491">
        <v>3</v>
      </c>
      <c r="F270" s="20">
        <f t="shared" si="57"/>
        <v>971.69454545454539</v>
      </c>
      <c r="G270" s="19">
        <f t="shared" si="58"/>
        <v>2915.0836363636363</v>
      </c>
      <c r="H270" s="19">
        <f t="shared" si="59"/>
        <v>11967.584360727271</v>
      </c>
      <c r="I270" s="114" t="s">
        <v>1521</v>
      </c>
      <c r="J270" s="210">
        <f>VLOOKUP(I270,'Reajuste Atual'!$L$19:$M$25,2,FALSE)</f>
        <v>3.1053999999999999</v>
      </c>
      <c r="K270" s="190"/>
      <c r="L270" s="20">
        <v>1336.08</v>
      </c>
      <c r="M270" s="765">
        <f t="shared" si="52"/>
        <v>954.34285714285716</v>
      </c>
      <c r="N270" s="765">
        <f t="shared" si="53"/>
        <v>971.69454545454539</v>
      </c>
      <c r="O270" s="765">
        <f t="shared" si="48"/>
        <v>971.69454545454539</v>
      </c>
    </row>
    <row r="271" spans="1:15" s="120" customFormat="1" outlineLevel="1">
      <c r="B271" s="178" t="s">
        <v>1540</v>
      </c>
      <c r="C271" s="102" t="s">
        <v>3818</v>
      </c>
      <c r="D271" s="91"/>
      <c r="E271" s="64"/>
      <c r="F271" s="64"/>
      <c r="G271" s="64">
        <f>+G272+G276</f>
        <v>110119.44362477792</v>
      </c>
      <c r="H271" s="64">
        <f>+H272+H276</f>
        <v>451860.27872323466</v>
      </c>
      <c r="I271" s="115"/>
      <c r="J271" s="92"/>
      <c r="K271" s="194"/>
      <c r="L271" s="64"/>
      <c r="M271" s="765">
        <f t="shared" si="52"/>
        <v>0</v>
      </c>
      <c r="N271" s="765">
        <f t="shared" si="53"/>
        <v>0</v>
      </c>
      <c r="O271" s="765">
        <f t="shared" si="48"/>
        <v>0</v>
      </c>
    </row>
    <row r="272" spans="1:15" s="98" customFormat="1" outlineLevel="1">
      <c r="B272" s="179" t="s">
        <v>1542</v>
      </c>
      <c r="C272" s="106" t="s">
        <v>1407</v>
      </c>
      <c r="D272" s="94"/>
      <c r="E272" s="89"/>
      <c r="F272" s="89"/>
      <c r="G272" s="89">
        <f>SUM(G273:G275)</f>
        <v>39970.31635205065</v>
      </c>
      <c r="H272" s="89">
        <f>SUM(H273:H275)</f>
        <v>163870.05161778015</v>
      </c>
      <c r="I272" s="112">
        <v>0</v>
      </c>
      <c r="J272" s="84"/>
      <c r="K272" s="192"/>
      <c r="L272" s="89"/>
      <c r="M272" s="765">
        <f t="shared" si="52"/>
        <v>0</v>
      </c>
      <c r="N272" s="765">
        <f t="shared" si="53"/>
        <v>0</v>
      </c>
      <c r="O272" s="765">
        <f t="shared" si="48"/>
        <v>0</v>
      </c>
    </row>
    <row r="273" spans="1:15" s="98" customFormat="1" outlineLevel="1">
      <c r="A273" s="141" t="s">
        <v>3478</v>
      </c>
      <c r="B273" s="175" t="s">
        <v>3573</v>
      </c>
      <c r="C273" s="119" t="s">
        <v>2810</v>
      </c>
      <c r="D273" s="21" t="s">
        <v>1468</v>
      </c>
      <c r="E273" s="491">
        <v>1</v>
      </c>
      <c r="F273" s="20">
        <f t="shared" ref="F273:F275" si="60">O273</f>
        <v>38947.841352050651</v>
      </c>
      <c r="G273" s="19">
        <f>E273*F273</f>
        <v>38947.841352050651</v>
      </c>
      <c r="H273" s="19">
        <f t="shared" ref="H273:H275" si="61">G273*(1+J273)</f>
        <v>159896.46788670874</v>
      </c>
      <c r="I273" s="114" t="s">
        <v>1521</v>
      </c>
      <c r="J273" s="210">
        <f>VLOOKUP(I273,'Reajuste Atual'!$L$19:$M$25,2,FALSE)</f>
        <v>3.1053999999999999</v>
      </c>
      <c r="K273" s="190"/>
      <c r="L273" s="20">
        <v>54526.977892870906</v>
      </c>
      <c r="M273" s="765">
        <f t="shared" si="52"/>
        <v>38947.841352050651</v>
      </c>
      <c r="N273" s="765">
        <f t="shared" si="53"/>
        <v>39655.983922087929</v>
      </c>
      <c r="O273" s="765">
        <f t="shared" si="48"/>
        <v>38947.841352050651</v>
      </c>
    </row>
    <row r="274" spans="1:15" s="98" customFormat="1" outlineLevel="1">
      <c r="A274" s="141" t="s">
        <v>3478</v>
      </c>
      <c r="B274" s="175" t="s">
        <v>3574</v>
      </c>
      <c r="C274" s="100" t="s">
        <v>2812</v>
      </c>
      <c r="D274" s="21" t="s">
        <v>1468</v>
      </c>
      <c r="E274" s="491">
        <v>1</v>
      </c>
      <c r="F274" s="20">
        <f t="shared" si="60"/>
        <v>532.67142857142858</v>
      </c>
      <c r="G274" s="19">
        <f>E274*F274</f>
        <v>532.67142857142858</v>
      </c>
      <c r="H274" s="19">
        <f t="shared" si="61"/>
        <v>2186.8292828571425</v>
      </c>
      <c r="I274" s="114" t="s">
        <v>1521</v>
      </c>
      <c r="J274" s="210">
        <f>VLOOKUP(I274,'Reajuste Atual'!$L$19:$M$25,2,FALSE)</f>
        <v>3.1053999999999999</v>
      </c>
      <c r="K274" s="190"/>
      <c r="L274" s="20">
        <v>745.74</v>
      </c>
      <c r="M274" s="765">
        <f t="shared" si="52"/>
        <v>532.67142857142858</v>
      </c>
      <c r="N274" s="765">
        <f t="shared" si="53"/>
        <v>542.35636363636365</v>
      </c>
      <c r="O274" s="765">
        <f t="shared" si="48"/>
        <v>532.67142857142858</v>
      </c>
    </row>
    <row r="275" spans="1:15" s="98" customFormat="1" outlineLevel="1">
      <c r="A275" s="141" t="s">
        <v>3478</v>
      </c>
      <c r="B275" s="175" t="s">
        <v>3575</v>
      </c>
      <c r="C275" s="100" t="s">
        <v>1564</v>
      </c>
      <c r="D275" s="21" t="s">
        <v>1468</v>
      </c>
      <c r="E275" s="491">
        <v>3.75</v>
      </c>
      <c r="F275" s="20">
        <f t="shared" si="60"/>
        <v>130.61428571428573</v>
      </c>
      <c r="G275" s="19">
        <f>E275*F275</f>
        <v>489.8035714285715</v>
      </c>
      <c r="H275" s="19">
        <f t="shared" si="61"/>
        <v>1786.754448214286</v>
      </c>
      <c r="I275" s="114" t="s">
        <v>1526</v>
      </c>
      <c r="J275" s="210">
        <f>VLOOKUP(I275,'Reajuste Atual'!$L$19:$M$25,2,FALSE)</f>
        <v>2.6478999999999999</v>
      </c>
      <c r="K275" s="190"/>
      <c r="L275" s="20">
        <v>182.86</v>
      </c>
      <c r="M275" s="765">
        <f t="shared" si="52"/>
        <v>130.61428571428573</v>
      </c>
      <c r="N275" s="765">
        <f t="shared" si="53"/>
        <v>132.98909090909092</v>
      </c>
      <c r="O275" s="765">
        <f t="shared" si="48"/>
        <v>130.61428571428573</v>
      </c>
    </row>
    <row r="276" spans="1:15" s="98" customFormat="1" outlineLevel="1">
      <c r="B276" s="179" t="s">
        <v>1543</v>
      </c>
      <c r="C276" s="106" t="s">
        <v>1546</v>
      </c>
      <c r="D276" s="94"/>
      <c r="E276" s="89"/>
      <c r="F276" s="89"/>
      <c r="G276" s="89">
        <f>SUM(G277:G278)</f>
        <v>70149.127272727274</v>
      </c>
      <c r="H276" s="89">
        <f>SUM(H277:H278)</f>
        <v>287990.22710545448</v>
      </c>
      <c r="I276" s="112">
        <v>0</v>
      </c>
      <c r="J276" s="84"/>
      <c r="K276" s="192"/>
      <c r="L276" s="89">
        <v>96455.05</v>
      </c>
      <c r="M276" s="765">
        <f t="shared" si="52"/>
        <v>68896.46428571429</v>
      </c>
      <c r="N276" s="765">
        <f t="shared" si="53"/>
        <v>70149.127272727274</v>
      </c>
      <c r="O276" s="765">
        <f t="shared" si="48"/>
        <v>70149.127272727274</v>
      </c>
    </row>
    <row r="277" spans="1:15" s="98" customFormat="1" outlineLevel="1">
      <c r="A277" s="141" t="s">
        <v>3483</v>
      </c>
      <c r="B277" s="175" t="s">
        <v>3576</v>
      </c>
      <c r="C277" s="100" t="s">
        <v>2816</v>
      </c>
      <c r="D277" s="21" t="s">
        <v>1468</v>
      </c>
      <c r="E277" s="491">
        <v>1</v>
      </c>
      <c r="F277" s="20">
        <f t="shared" ref="F277:F278" si="62">O277</f>
        <v>68322.283636363631</v>
      </c>
      <c r="G277" s="19">
        <f>E277*F277</f>
        <v>68322.283636363631</v>
      </c>
      <c r="H277" s="19">
        <f t="shared" ref="H277:H278" si="63">G277*(1+J277)</f>
        <v>280490.30324072723</v>
      </c>
      <c r="I277" s="114" t="s">
        <v>1521</v>
      </c>
      <c r="J277" s="210">
        <f>VLOOKUP(I277,'Reajuste Atual'!$L$19:$M$25,2,FALSE)</f>
        <v>3.1053999999999999</v>
      </c>
      <c r="K277" s="190"/>
      <c r="L277" s="20">
        <v>93943.14</v>
      </c>
      <c r="M277" s="765">
        <f t="shared" si="52"/>
        <v>67102.242857142861</v>
      </c>
      <c r="N277" s="765">
        <f t="shared" si="53"/>
        <v>68322.283636363631</v>
      </c>
      <c r="O277" s="765">
        <f t="shared" si="48"/>
        <v>68322.283636363631</v>
      </c>
    </row>
    <row r="278" spans="1:15" s="98" customFormat="1" outlineLevel="1">
      <c r="A278" s="141" t="s">
        <v>3483</v>
      </c>
      <c r="B278" s="175" t="s">
        <v>3577</v>
      </c>
      <c r="C278" s="100" t="s">
        <v>2818</v>
      </c>
      <c r="D278" s="21" t="s">
        <v>1468</v>
      </c>
      <c r="E278" s="491">
        <v>1</v>
      </c>
      <c r="F278" s="20">
        <f t="shared" si="62"/>
        <v>1826.8436363636363</v>
      </c>
      <c r="G278" s="19">
        <f>E278*F278</f>
        <v>1826.8436363636363</v>
      </c>
      <c r="H278" s="19">
        <f t="shared" si="63"/>
        <v>7499.9238647272714</v>
      </c>
      <c r="I278" s="114" t="s">
        <v>1521</v>
      </c>
      <c r="J278" s="210">
        <f>VLOOKUP(I278,'Reajuste Atual'!$L$19:$M$25,2,FALSE)</f>
        <v>3.1053999999999999</v>
      </c>
      <c r="K278" s="190"/>
      <c r="L278" s="20">
        <v>2511.91</v>
      </c>
      <c r="M278" s="765">
        <f t="shared" si="52"/>
        <v>1794.2214285714285</v>
      </c>
      <c r="N278" s="765">
        <f t="shared" si="53"/>
        <v>1826.8436363636363</v>
      </c>
      <c r="O278" s="765">
        <f t="shared" si="48"/>
        <v>1826.8436363636363</v>
      </c>
    </row>
    <row r="279" spans="1:15" s="120" customFormat="1" ht="15.75" customHeight="1" outlineLevel="1">
      <c r="B279" s="178" t="s">
        <v>2807</v>
      </c>
      <c r="C279" s="102" t="s">
        <v>3812</v>
      </c>
      <c r="D279" s="91"/>
      <c r="E279" s="64"/>
      <c r="F279" s="64"/>
      <c r="G279" s="64">
        <f>G280+G287</f>
        <v>370216.13593247702</v>
      </c>
      <c r="H279" s="64">
        <f>H280+H287</f>
        <v>1506592.1337955368</v>
      </c>
      <c r="I279" s="115"/>
      <c r="J279" s="92"/>
      <c r="K279" s="194"/>
      <c r="L279" s="64"/>
      <c r="M279" s="765">
        <f t="shared" si="52"/>
        <v>0</v>
      </c>
      <c r="N279" s="765">
        <f t="shared" si="53"/>
        <v>0</v>
      </c>
      <c r="O279" s="765">
        <f t="shared" si="48"/>
        <v>0</v>
      </c>
    </row>
    <row r="280" spans="1:15" s="98" customFormat="1" outlineLevel="1">
      <c r="B280" s="179" t="s">
        <v>2808</v>
      </c>
      <c r="C280" s="106" t="s">
        <v>1407</v>
      </c>
      <c r="D280" s="94"/>
      <c r="E280" s="89"/>
      <c r="F280" s="89"/>
      <c r="G280" s="89">
        <f>SUM(G281:G286)</f>
        <v>35094.532997142858</v>
      </c>
      <c r="H280" s="89">
        <f>SUM(H281:H286)</f>
        <v>130783.90510481574</v>
      </c>
      <c r="I280" s="112">
        <v>0</v>
      </c>
      <c r="J280" s="84"/>
      <c r="K280" s="192"/>
      <c r="L280" s="89"/>
      <c r="M280" s="765">
        <f t="shared" si="52"/>
        <v>0</v>
      </c>
      <c r="N280" s="765">
        <f t="shared" si="53"/>
        <v>0</v>
      </c>
      <c r="O280" s="765">
        <f t="shared" si="48"/>
        <v>0</v>
      </c>
    </row>
    <row r="281" spans="1:15" s="98" customFormat="1" outlineLevel="1">
      <c r="A281" s="141" t="s">
        <v>3478</v>
      </c>
      <c r="B281" s="175" t="s">
        <v>2809</v>
      </c>
      <c r="C281" s="119" t="s">
        <v>2323</v>
      </c>
      <c r="D281" s="47" t="s">
        <v>1467</v>
      </c>
      <c r="E281" s="491">
        <v>3809.5200000000004</v>
      </c>
      <c r="F281" s="20">
        <f t="shared" ref="F281:F286" si="64">O281</f>
        <v>2.3071428571428574</v>
      </c>
      <c r="G281" s="19">
        <f t="shared" ref="G281:G286" si="65">E281*F281</f>
        <v>8789.1068571428586</v>
      </c>
      <c r="H281" s="19">
        <f t="shared" ref="H281:H286" si="66">G281*(1+J281)</f>
        <v>30361.969638000006</v>
      </c>
      <c r="I281" s="114" t="s">
        <v>1523</v>
      </c>
      <c r="J281" s="210">
        <f>VLOOKUP(I281,'Reajuste Atual'!$L$19:$M$25,2,FALSE)</f>
        <v>2.4544999999999999</v>
      </c>
      <c r="K281" s="190"/>
      <c r="L281" s="20">
        <v>3.23</v>
      </c>
      <c r="M281" s="765">
        <f t="shared" si="52"/>
        <v>2.3071428571428574</v>
      </c>
      <c r="N281" s="765">
        <f t="shared" si="53"/>
        <v>2.3490909090909091</v>
      </c>
      <c r="O281" s="765">
        <f t="shared" si="48"/>
        <v>2.3071428571428574</v>
      </c>
    </row>
    <row r="282" spans="1:15" s="98" customFormat="1" outlineLevel="1">
      <c r="A282" s="141" t="s">
        <v>3478</v>
      </c>
      <c r="B282" s="175" t="s">
        <v>2811</v>
      </c>
      <c r="C282" s="119" t="s">
        <v>2324</v>
      </c>
      <c r="D282" s="47" t="s">
        <v>1467</v>
      </c>
      <c r="E282" s="491">
        <v>2075.7600000000002</v>
      </c>
      <c r="F282" s="20">
        <f t="shared" si="64"/>
        <v>5.2928571428571436</v>
      </c>
      <c r="G282" s="19">
        <f t="shared" si="65"/>
        <v>10986.701142857146</v>
      </c>
      <c r="H282" s="19">
        <f t="shared" si="66"/>
        <v>37953.559098000012</v>
      </c>
      <c r="I282" s="114" t="s">
        <v>1523</v>
      </c>
      <c r="J282" s="210">
        <f>VLOOKUP(I282,'Reajuste Atual'!$L$19:$M$25,2,FALSE)</f>
        <v>2.4544999999999999</v>
      </c>
      <c r="K282" s="190"/>
      <c r="L282" s="20">
        <v>7.41</v>
      </c>
      <c r="M282" s="765">
        <f t="shared" si="52"/>
        <v>5.2928571428571436</v>
      </c>
      <c r="N282" s="765">
        <f t="shared" si="53"/>
        <v>5.3890909090909096</v>
      </c>
      <c r="O282" s="765">
        <f t="shared" ref="O282:O294" si="67">IF(A282="S",M282,N282)</f>
        <v>5.2928571428571436</v>
      </c>
    </row>
    <row r="283" spans="1:15" s="98" customFormat="1" outlineLevel="1">
      <c r="A283" s="141" t="s">
        <v>3478</v>
      </c>
      <c r="B283" s="175" t="s">
        <v>2813</v>
      </c>
      <c r="C283" s="119" t="s">
        <v>2326</v>
      </c>
      <c r="D283" s="47" t="s">
        <v>1469</v>
      </c>
      <c r="E283" s="491">
        <v>0.5454</v>
      </c>
      <c r="F283" s="20">
        <f t="shared" si="64"/>
        <v>1186.2428571428572</v>
      </c>
      <c r="G283" s="19">
        <f t="shared" si="65"/>
        <v>646.97685428571435</v>
      </c>
      <c r="H283" s="19">
        <f t="shared" si="66"/>
        <v>2234.9815431300003</v>
      </c>
      <c r="I283" s="114" t="s">
        <v>1523</v>
      </c>
      <c r="J283" s="210">
        <f>VLOOKUP(I283,'Reajuste Atual'!$L$19:$M$25,2,FALSE)</f>
        <v>2.4544999999999999</v>
      </c>
      <c r="K283" s="190"/>
      <c r="L283" s="20">
        <v>1660.74</v>
      </c>
      <c r="M283" s="765">
        <f t="shared" ref="M283:M294" si="68">L283/($M$23+1)</f>
        <v>1186.2428571428572</v>
      </c>
      <c r="N283" s="765">
        <f t="shared" ref="N283:N294" si="69">L283/($N$23+1)</f>
        <v>1207.810909090909</v>
      </c>
      <c r="O283" s="765">
        <f t="shared" si="67"/>
        <v>1186.2428571428572</v>
      </c>
    </row>
    <row r="284" spans="1:15" s="98" customFormat="1" outlineLevel="1">
      <c r="A284" s="141" t="s">
        <v>3478</v>
      </c>
      <c r="B284" s="175" t="s">
        <v>3578</v>
      </c>
      <c r="C284" s="119" t="s">
        <v>2342</v>
      </c>
      <c r="D284" s="47" t="s">
        <v>1472</v>
      </c>
      <c r="E284" s="491">
        <v>1800</v>
      </c>
      <c r="F284" s="20">
        <f t="shared" si="64"/>
        <v>7.5642857142857149</v>
      </c>
      <c r="G284" s="19">
        <f t="shared" si="65"/>
        <v>13615.714285714286</v>
      </c>
      <c r="H284" s="19">
        <f t="shared" si="66"/>
        <v>55897.953428571425</v>
      </c>
      <c r="I284" s="114" t="s">
        <v>1521</v>
      </c>
      <c r="J284" s="210">
        <f>VLOOKUP(I284,'Reajuste Atual'!$L$19:$M$25,2,FALSE)</f>
        <v>3.1053999999999999</v>
      </c>
      <c r="K284" s="190"/>
      <c r="L284" s="20">
        <v>10.59</v>
      </c>
      <c r="M284" s="765">
        <f t="shared" si="68"/>
        <v>7.5642857142857149</v>
      </c>
      <c r="N284" s="765">
        <f t="shared" si="69"/>
        <v>7.7018181818181821</v>
      </c>
      <c r="O284" s="765">
        <f t="shared" si="67"/>
        <v>7.5642857142857149</v>
      </c>
    </row>
    <row r="285" spans="1:15" s="98" customFormat="1" outlineLevel="1">
      <c r="A285" s="141" t="s">
        <v>3478</v>
      </c>
      <c r="B285" s="175" t="s">
        <v>3579</v>
      </c>
      <c r="C285" s="119" t="s">
        <v>2345</v>
      </c>
      <c r="D285" s="47" t="s">
        <v>1472</v>
      </c>
      <c r="E285" s="491">
        <v>18</v>
      </c>
      <c r="F285" s="20">
        <f t="shared" si="64"/>
        <v>10.821428571428573</v>
      </c>
      <c r="G285" s="19">
        <f t="shared" si="65"/>
        <v>194.78571428571431</v>
      </c>
      <c r="H285" s="19">
        <f t="shared" si="66"/>
        <v>799.67327142857141</v>
      </c>
      <c r="I285" s="114" t="s">
        <v>1521</v>
      </c>
      <c r="J285" s="210">
        <f>VLOOKUP(I285,'Reajuste Atual'!$L$19:$M$25,2,FALSE)</f>
        <v>3.1053999999999999</v>
      </c>
      <c r="K285" s="190"/>
      <c r="L285" s="20">
        <v>15.15</v>
      </c>
      <c r="M285" s="765">
        <f t="shared" si="68"/>
        <v>10.821428571428573</v>
      </c>
      <c r="N285" s="765">
        <f t="shared" si="69"/>
        <v>11.018181818181818</v>
      </c>
      <c r="O285" s="765">
        <f t="shared" si="67"/>
        <v>10.821428571428573</v>
      </c>
    </row>
    <row r="286" spans="1:15" s="98" customFormat="1" outlineLevel="1">
      <c r="A286" s="141" t="s">
        <v>3478</v>
      </c>
      <c r="B286" s="175" t="s">
        <v>3580</v>
      </c>
      <c r="C286" s="119" t="s">
        <v>1565</v>
      </c>
      <c r="D286" s="47" t="s">
        <v>1467</v>
      </c>
      <c r="E286" s="491">
        <v>8.9700000000000006</v>
      </c>
      <c r="F286" s="20">
        <f t="shared" si="64"/>
        <v>96.014285714285705</v>
      </c>
      <c r="G286" s="19">
        <f t="shared" si="65"/>
        <v>861.24814285714285</v>
      </c>
      <c r="H286" s="19">
        <f t="shared" si="66"/>
        <v>3535.768125685714</v>
      </c>
      <c r="I286" s="114" t="s">
        <v>1521</v>
      </c>
      <c r="J286" s="210">
        <f>VLOOKUP(I286,'Reajuste Atual'!$L$19:$M$25,2,FALSE)</f>
        <v>3.1053999999999999</v>
      </c>
      <c r="K286" s="190"/>
      <c r="L286" s="20">
        <v>134.41999999999999</v>
      </c>
      <c r="M286" s="765">
        <f t="shared" si="68"/>
        <v>96.014285714285705</v>
      </c>
      <c r="N286" s="765">
        <f t="shared" si="69"/>
        <v>97.759999999999991</v>
      </c>
      <c r="O286" s="765">
        <f t="shared" si="67"/>
        <v>96.014285714285705</v>
      </c>
    </row>
    <row r="287" spans="1:15" s="98" customFormat="1" outlineLevel="1">
      <c r="B287" s="179" t="s">
        <v>2814</v>
      </c>
      <c r="C287" s="106" t="s">
        <v>1546</v>
      </c>
      <c r="D287" s="94"/>
      <c r="E287" s="89"/>
      <c r="F287" s="89"/>
      <c r="G287" s="89">
        <f>SUM(G288:G294)</f>
        <v>335121.60293533414</v>
      </c>
      <c r="H287" s="89">
        <f>SUM(H288:H294)</f>
        <v>1375808.2286907211</v>
      </c>
      <c r="I287" s="112">
        <v>0</v>
      </c>
      <c r="J287" s="84"/>
      <c r="K287" s="192"/>
      <c r="L287" s="89">
        <v>6401.4313453614677</v>
      </c>
      <c r="M287" s="765">
        <f t="shared" si="68"/>
        <v>4572.4509609724773</v>
      </c>
      <c r="N287" s="765">
        <f t="shared" si="69"/>
        <v>4655.5864329901588</v>
      </c>
      <c r="O287" s="765">
        <f t="shared" si="67"/>
        <v>4655.5864329901588</v>
      </c>
    </row>
    <row r="288" spans="1:15" s="98" customFormat="1" outlineLevel="1">
      <c r="A288" s="141" t="s">
        <v>3483</v>
      </c>
      <c r="B288" s="175" t="s">
        <v>2815</v>
      </c>
      <c r="C288" s="100" t="s">
        <v>2393</v>
      </c>
      <c r="D288" s="21" t="s">
        <v>1468</v>
      </c>
      <c r="E288" s="491">
        <v>1</v>
      </c>
      <c r="F288" s="20">
        <f t="shared" ref="F288:F294" si="70">O288</f>
        <v>563.5927272727273</v>
      </c>
      <c r="G288" s="19">
        <f t="shared" ref="G288:G294" si="71">E288*F288</f>
        <v>563.5927272727273</v>
      </c>
      <c r="H288" s="19">
        <f t="shared" ref="H288:H294" si="72">G288*(1+J288)</f>
        <v>2313.7735825454542</v>
      </c>
      <c r="I288" s="114" t="s">
        <v>1521</v>
      </c>
      <c r="J288" s="210">
        <f>VLOOKUP(I288,'Reajuste Atual'!$L$19:$M$25,2,FALSE)</f>
        <v>3.1053999999999999</v>
      </c>
      <c r="K288" s="190"/>
      <c r="L288" s="20">
        <v>774.94</v>
      </c>
      <c r="M288" s="765">
        <f t="shared" si="68"/>
        <v>553.52857142857147</v>
      </c>
      <c r="N288" s="765">
        <f t="shared" si="69"/>
        <v>563.5927272727273</v>
      </c>
      <c r="O288" s="765">
        <f t="shared" si="67"/>
        <v>563.5927272727273</v>
      </c>
    </row>
    <row r="289" spans="1:15" s="98" customFormat="1" outlineLevel="1">
      <c r="A289" s="141" t="s">
        <v>3483</v>
      </c>
      <c r="B289" s="175" t="s">
        <v>2817</v>
      </c>
      <c r="C289" s="100" t="s">
        <v>2452</v>
      </c>
      <c r="D289" s="21" t="s">
        <v>1468</v>
      </c>
      <c r="E289" s="491">
        <v>1</v>
      </c>
      <c r="F289" s="20">
        <f t="shared" si="70"/>
        <v>951.46909090909094</v>
      </c>
      <c r="G289" s="19">
        <f t="shared" si="71"/>
        <v>951.46909090909094</v>
      </c>
      <c r="H289" s="19">
        <f t="shared" si="72"/>
        <v>3906.1612058181813</v>
      </c>
      <c r="I289" s="114" t="s">
        <v>1521</v>
      </c>
      <c r="J289" s="210">
        <f>VLOOKUP(I289,'Reajuste Atual'!$L$19:$M$25,2,FALSE)</f>
        <v>3.1053999999999999</v>
      </c>
      <c r="K289" s="190"/>
      <c r="L289" s="20">
        <v>1308.27</v>
      </c>
      <c r="M289" s="765">
        <f t="shared" si="68"/>
        <v>934.47857142857151</v>
      </c>
      <c r="N289" s="765">
        <f t="shared" si="69"/>
        <v>951.46909090909094</v>
      </c>
      <c r="O289" s="765">
        <f t="shared" si="67"/>
        <v>951.46909090909094</v>
      </c>
    </row>
    <row r="290" spans="1:15" s="98" customFormat="1" outlineLevel="1">
      <c r="A290" s="141" t="s">
        <v>3483</v>
      </c>
      <c r="B290" s="175" t="s">
        <v>3581</v>
      </c>
      <c r="C290" s="100" t="s">
        <v>2501</v>
      </c>
      <c r="D290" s="21" t="s">
        <v>1468</v>
      </c>
      <c r="E290" s="491">
        <v>1</v>
      </c>
      <c r="F290" s="20">
        <f t="shared" si="70"/>
        <v>2427.7672727272725</v>
      </c>
      <c r="G290" s="19">
        <f t="shared" si="71"/>
        <v>2427.7672727272725</v>
      </c>
      <c r="H290" s="19">
        <f t="shared" si="72"/>
        <v>9966.9557614545429</v>
      </c>
      <c r="I290" s="114" t="s">
        <v>1521</v>
      </c>
      <c r="J290" s="210">
        <f>VLOOKUP(I290,'Reajuste Atual'!$L$19:$M$25,2,FALSE)</f>
        <v>3.1053999999999999</v>
      </c>
      <c r="K290" s="190"/>
      <c r="L290" s="20">
        <v>3338.18</v>
      </c>
      <c r="M290" s="765">
        <f t="shared" si="68"/>
        <v>2384.4142857142856</v>
      </c>
      <c r="N290" s="765">
        <f t="shared" si="69"/>
        <v>2427.7672727272725</v>
      </c>
      <c r="O290" s="765">
        <f t="shared" si="67"/>
        <v>2427.7672727272725</v>
      </c>
    </row>
    <row r="291" spans="1:15" s="98" customFormat="1" outlineLevel="1">
      <c r="A291" s="141" t="s">
        <v>3483</v>
      </c>
      <c r="B291" s="175" t="s">
        <v>3582</v>
      </c>
      <c r="C291" s="100" t="s">
        <v>2506</v>
      </c>
      <c r="D291" s="47" t="s">
        <v>1472</v>
      </c>
      <c r="E291" s="491">
        <v>1800</v>
      </c>
      <c r="F291" s="20">
        <f t="shared" si="70"/>
        <v>183.10545454545456</v>
      </c>
      <c r="G291" s="19">
        <f t="shared" si="71"/>
        <v>329589.81818181823</v>
      </c>
      <c r="H291" s="19">
        <f t="shared" si="72"/>
        <v>1353098.0395636365</v>
      </c>
      <c r="I291" s="114" t="s">
        <v>1521</v>
      </c>
      <c r="J291" s="210">
        <f>VLOOKUP(I291,'Reajuste Atual'!$L$19:$M$25,2,FALSE)</f>
        <v>3.1053999999999999</v>
      </c>
      <c r="K291" s="190"/>
      <c r="L291" s="20">
        <v>251.77</v>
      </c>
      <c r="M291" s="765">
        <f t="shared" si="68"/>
        <v>179.83571428571432</v>
      </c>
      <c r="N291" s="765">
        <f t="shared" si="69"/>
        <v>183.10545454545456</v>
      </c>
      <c r="O291" s="765">
        <f t="shared" si="67"/>
        <v>183.10545454545456</v>
      </c>
    </row>
    <row r="292" spans="1:15" s="98" customFormat="1" outlineLevel="1">
      <c r="A292" s="141" t="s">
        <v>3483</v>
      </c>
      <c r="B292" s="175" t="s">
        <v>3583</v>
      </c>
      <c r="C292" s="100" t="s">
        <v>2820</v>
      </c>
      <c r="D292" s="181" t="s">
        <v>1468</v>
      </c>
      <c r="E292" s="491">
        <v>3</v>
      </c>
      <c r="F292" s="20">
        <f t="shared" si="70"/>
        <v>358.32</v>
      </c>
      <c r="G292" s="19">
        <f t="shared" si="71"/>
        <v>1074.96</v>
      </c>
      <c r="H292" s="19">
        <f t="shared" si="72"/>
        <v>4413.1407839999993</v>
      </c>
      <c r="I292" s="114" t="s">
        <v>1521</v>
      </c>
      <c r="J292" s="210">
        <f>VLOOKUP(I292,'Reajuste Atual'!$L$19:$M$25,2,FALSE)</f>
        <v>3.1053999999999999</v>
      </c>
      <c r="K292" s="190"/>
      <c r="L292" s="20">
        <v>492.69</v>
      </c>
      <c r="M292" s="765">
        <f t="shared" si="68"/>
        <v>351.92142857142858</v>
      </c>
      <c r="N292" s="765">
        <f t="shared" si="69"/>
        <v>358.32</v>
      </c>
      <c r="O292" s="765">
        <f t="shared" si="67"/>
        <v>358.32</v>
      </c>
    </row>
    <row r="293" spans="1:15" s="98" customFormat="1" outlineLevel="1">
      <c r="A293" s="141" t="s">
        <v>3483</v>
      </c>
      <c r="B293" s="175" t="s">
        <v>3584</v>
      </c>
      <c r="C293" s="100" t="s">
        <v>2821</v>
      </c>
      <c r="D293" s="181" t="s">
        <v>1468</v>
      </c>
      <c r="E293" s="491">
        <v>3</v>
      </c>
      <c r="F293" s="20">
        <f t="shared" si="70"/>
        <v>29.883636363636366</v>
      </c>
      <c r="G293" s="19">
        <f t="shared" si="71"/>
        <v>89.650909090909096</v>
      </c>
      <c r="H293" s="19">
        <f t="shared" si="72"/>
        <v>368.05284218181816</v>
      </c>
      <c r="I293" s="114" t="s">
        <v>1521</v>
      </c>
      <c r="J293" s="210">
        <f>VLOOKUP(I293,'Reajuste Atual'!$L$19:$M$25,2,FALSE)</f>
        <v>3.1053999999999999</v>
      </c>
      <c r="K293" s="190"/>
      <c r="L293" s="20">
        <v>41.09</v>
      </c>
      <c r="M293" s="765">
        <f t="shared" si="68"/>
        <v>29.350000000000005</v>
      </c>
      <c r="N293" s="765">
        <f t="shared" si="69"/>
        <v>29.883636363636366</v>
      </c>
      <c r="O293" s="765">
        <f t="shared" si="67"/>
        <v>29.883636363636366</v>
      </c>
    </row>
    <row r="294" spans="1:15" s="98" customFormat="1" outlineLevel="1">
      <c r="A294" s="141" t="s">
        <v>3483</v>
      </c>
      <c r="B294" s="175" t="s">
        <v>3585</v>
      </c>
      <c r="C294" s="100" t="s">
        <v>2822</v>
      </c>
      <c r="D294" s="181" t="s">
        <v>1468</v>
      </c>
      <c r="E294" s="491">
        <v>3</v>
      </c>
      <c r="F294" s="20">
        <f t="shared" si="70"/>
        <v>141.44825117197684</v>
      </c>
      <c r="G294" s="19">
        <f t="shared" si="71"/>
        <v>424.34475351593051</v>
      </c>
      <c r="H294" s="19">
        <f t="shared" si="72"/>
        <v>1742.1049510843009</v>
      </c>
      <c r="I294" s="114" t="s">
        <v>1521</v>
      </c>
      <c r="J294" s="210">
        <f>VLOOKUP(I294,'Reajuste Atual'!$L$19:$M$25,2,FALSE)</f>
        <v>3.1053999999999999</v>
      </c>
      <c r="K294" s="190"/>
      <c r="L294" s="770">
        <v>194.49134536146815</v>
      </c>
      <c r="M294" s="771">
        <f t="shared" si="68"/>
        <v>138.92238954390584</v>
      </c>
      <c r="N294" s="771">
        <f t="shared" si="69"/>
        <v>141.44825117197684</v>
      </c>
      <c r="O294" s="771">
        <f t="shared" si="67"/>
        <v>141.44825117197684</v>
      </c>
    </row>
    <row r="295" spans="1:15" s="98" customFormat="1" outlineLevel="1">
      <c r="B295" s="200"/>
      <c r="C295" s="100"/>
      <c r="D295" s="99"/>
      <c r="E295" s="491"/>
      <c r="F295" s="20"/>
      <c r="G295" s="19"/>
      <c r="H295" s="19"/>
      <c r="I295" s="114"/>
      <c r="J295" s="210"/>
      <c r="K295" s="190"/>
    </row>
    <row r="296" spans="1:15" s="98" customFormat="1" ht="16.5" outlineLevel="1" thickBot="1">
      <c r="B296" s="772"/>
      <c r="C296" s="117"/>
      <c r="D296" s="118"/>
      <c r="E296" s="117"/>
      <c r="F296" s="117"/>
      <c r="G296" s="117"/>
      <c r="H296" s="117"/>
      <c r="I296" s="117"/>
      <c r="J296" s="773"/>
      <c r="K296" s="190"/>
    </row>
    <row r="297" spans="1:15" s="98" customFormat="1" ht="18.75">
      <c r="B297" s="214"/>
      <c r="C297"/>
      <c r="D297" s="202"/>
      <c r="E297" s="129"/>
      <c r="F297" s="129"/>
      <c r="G297" s="774"/>
      <c r="H297" s="774"/>
      <c r="I297" s="775"/>
      <c r="J297" s="24"/>
      <c r="K297" s="24"/>
    </row>
    <row r="298" spans="1:15">
      <c r="B298" s="48" t="s">
        <v>3586</v>
      </c>
      <c r="C298" s="1"/>
      <c r="E298" s="1"/>
      <c r="F298" s="1"/>
      <c r="G298" s="776"/>
      <c r="H298" s="1079"/>
      <c r="I298" s="1079"/>
      <c r="J298" s="1"/>
      <c r="K298" s="1"/>
    </row>
    <row r="299" spans="1:15">
      <c r="B299" s="777" t="s">
        <v>3587</v>
      </c>
      <c r="C299" s="1"/>
      <c r="D299" s="1"/>
      <c r="E299" s="1"/>
      <c r="F299" s="1"/>
      <c r="G299" s="776"/>
      <c r="H299" s="1079"/>
      <c r="I299" s="1079"/>
      <c r="J299" s="1"/>
      <c r="K299" s="1"/>
    </row>
    <row r="300" spans="1:15">
      <c r="B300" s="777" t="s">
        <v>3588</v>
      </c>
      <c r="G300" s="776"/>
      <c r="H300" s="1064"/>
      <c r="I300" s="1064"/>
    </row>
    <row r="301" spans="1:15">
      <c r="B301" s="777" t="s">
        <v>3589</v>
      </c>
      <c r="G301" s="778"/>
      <c r="H301" s="778"/>
      <c r="I301" s="778"/>
    </row>
    <row r="303" spans="1:15">
      <c r="B303" s="48" t="s">
        <v>3590</v>
      </c>
    </row>
    <row r="313" spans="2:68" s="166" customFormat="1">
      <c r="B313" s="48"/>
      <c r="C313" s="49"/>
      <c r="D313" s="141"/>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row>
    <row r="314" spans="2:68" s="166" customFormat="1">
      <c r="B314" s="48"/>
      <c r="C314" s="49"/>
      <c r="D314" s="141"/>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row>
    <row r="315" spans="2:68" s="166" customFormat="1">
      <c r="B315" s="48"/>
      <c r="C315" s="49"/>
      <c r="D315" s="141"/>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row>
    <row r="316" spans="2:68" s="166" customFormat="1">
      <c r="B316" s="48"/>
      <c r="C316" s="49"/>
      <c r="D316" s="141"/>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row>
    <row r="317" spans="2:68" s="166" customFormat="1">
      <c r="B317" s="48"/>
      <c r="C317" s="49"/>
      <c r="D317" s="141"/>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row>
    <row r="318" spans="2:68" s="166" customFormat="1">
      <c r="B318" s="48"/>
      <c r="C318" s="49"/>
      <c r="D318" s="141"/>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row>
    <row r="319" spans="2:68" s="166" customFormat="1">
      <c r="B319" s="48"/>
      <c r="C319" s="49"/>
      <c r="D319" s="141"/>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row>
    <row r="320" spans="2:68" s="166" customFormat="1">
      <c r="B320" s="48"/>
      <c r="C320" s="49"/>
      <c r="D320" s="141"/>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row>
    <row r="321" spans="2:68" s="166" customFormat="1">
      <c r="B321" s="48"/>
      <c r="C321" s="49"/>
      <c r="D321" s="141"/>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row>
    <row r="322" spans="2:68" s="166" customFormat="1">
      <c r="B322" s="48"/>
      <c r="C322" s="49"/>
      <c r="D322" s="141"/>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row>
    <row r="323" spans="2:68" s="166" customFormat="1">
      <c r="B323" s="48"/>
      <c r="C323" s="49"/>
      <c r="D323" s="141"/>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row>
    <row r="324" spans="2:68" s="166" customFormat="1">
      <c r="B324" s="48"/>
      <c r="C324" s="49"/>
      <c r="D324" s="141"/>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row>
    <row r="325" spans="2:68" s="166" customFormat="1">
      <c r="B325" s="48"/>
      <c r="C325" s="49"/>
      <c r="D325" s="141"/>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row>
    <row r="326" spans="2:68" s="166" customFormat="1">
      <c r="B326" s="48"/>
      <c r="C326" s="49"/>
      <c r="D326" s="141"/>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row>
    <row r="327" spans="2:68" s="166" customFormat="1">
      <c r="B327" s="48"/>
      <c r="C327" s="49"/>
      <c r="D327" s="141"/>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row>
    <row r="328" spans="2:68" s="166" customFormat="1">
      <c r="B328" s="48"/>
      <c r="C328" s="49"/>
      <c r="D328" s="141"/>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row>
    <row r="329" spans="2:68" s="166" customFormat="1">
      <c r="B329" s="48"/>
      <c r="C329" s="49"/>
      <c r="D329" s="141"/>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row>
    <row r="330" spans="2:68" s="166" customFormat="1">
      <c r="B330" s="48"/>
      <c r="C330" s="49"/>
      <c r="D330" s="141"/>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row>
    <row r="331" spans="2:68" s="166" customFormat="1">
      <c r="B331" s="48"/>
      <c r="C331" s="49"/>
      <c r="D331" s="141"/>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row>
    <row r="332" spans="2:68" s="166" customFormat="1">
      <c r="B332" s="48"/>
      <c r="C332" s="49"/>
      <c r="D332" s="141"/>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row>
    <row r="333" spans="2:68" s="166" customFormat="1">
      <c r="B333" s="48"/>
      <c r="C333" s="49"/>
      <c r="D333" s="141"/>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row>
    <row r="334" spans="2:68" s="166" customFormat="1">
      <c r="B334" s="48"/>
      <c r="C334" s="49"/>
      <c r="D334" s="141"/>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row>
    <row r="335" spans="2:68" s="166" customFormat="1">
      <c r="B335" s="48"/>
      <c r="C335" s="49"/>
      <c r="D335" s="141"/>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row>
    <row r="336" spans="2:68" s="166" customFormat="1">
      <c r="B336" s="48"/>
      <c r="C336" s="49"/>
      <c r="D336" s="141"/>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row>
    <row r="337" spans="2:68" s="166" customFormat="1">
      <c r="B337" s="48"/>
      <c r="C337" s="49"/>
      <c r="D337" s="141"/>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row>
    <row r="338" spans="2:68" s="166" customFormat="1">
      <c r="B338" s="48"/>
      <c r="C338" s="49"/>
      <c r="D338" s="141"/>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row>
    <row r="339" spans="2:68" s="166" customFormat="1">
      <c r="B339" s="48"/>
      <c r="C339" s="49"/>
      <c r="D339" s="141"/>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row>
    <row r="340" spans="2:68" s="166" customFormat="1">
      <c r="B340" s="48"/>
      <c r="C340" s="49"/>
      <c r="D340" s="141"/>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row>
    <row r="341" spans="2:68" s="166" customFormat="1">
      <c r="B341" s="48"/>
      <c r="C341" s="49"/>
      <c r="D341" s="141"/>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c r="BI341" s="50"/>
      <c r="BJ341" s="50"/>
      <c r="BK341" s="50"/>
      <c r="BL341" s="50"/>
      <c r="BM341" s="50"/>
      <c r="BN341" s="50"/>
      <c r="BO341" s="50"/>
      <c r="BP341" s="50"/>
    </row>
    <row r="342" spans="2:68" s="166" customFormat="1">
      <c r="B342" s="48"/>
      <c r="C342" s="49"/>
      <c r="D342" s="141"/>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c r="BI342" s="50"/>
      <c r="BJ342" s="50"/>
      <c r="BK342" s="50"/>
      <c r="BL342" s="50"/>
      <c r="BM342" s="50"/>
      <c r="BN342" s="50"/>
      <c r="BO342" s="50"/>
      <c r="BP342" s="50"/>
    </row>
    <row r="343" spans="2:68" s="166" customFormat="1">
      <c r="B343" s="48"/>
      <c r="C343" s="49"/>
      <c r="D343" s="141"/>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c r="BA343" s="50"/>
      <c r="BB343" s="50"/>
      <c r="BC343" s="50"/>
      <c r="BD343" s="50"/>
      <c r="BE343" s="50"/>
      <c r="BF343" s="50"/>
      <c r="BG343" s="50"/>
      <c r="BH343" s="50"/>
      <c r="BI343" s="50"/>
      <c r="BJ343" s="50"/>
      <c r="BK343" s="50"/>
      <c r="BL343" s="50"/>
      <c r="BM343" s="50"/>
      <c r="BN343" s="50"/>
      <c r="BO343" s="50"/>
      <c r="BP343" s="50"/>
    </row>
    <row r="344" spans="2:68" s="166" customFormat="1">
      <c r="B344" s="48"/>
      <c r="C344" s="49"/>
      <c r="D344" s="141"/>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c r="BI344" s="50"/>
      <c r="BJ344" s="50"/>
      <c r="BK344" s="50"/>
      <c r="BL344" s="50"/>
      <c r="BM344" s="50"/>
      <c r="BN344" s="50"/>
      <c r="BO344" s="50"/>
      <c r="BP344" s="50"/>
    </row>
    <row r="345" spans="2:68" s="166" customFormat="1">
      <c r="B345" s="48"/>
      <c r="C345" s="49"/>
      <c r="D345" s="141"/>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row>
    <row r="347" spans="2:68" s="166" customFormat="1">
      <c r="B347" s="48"/>
      <c r="C347" s="49"/>
      <c r="D347" s="141"/>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row>
    <row r="348" spans="2:68" s="166" customFormat="1">
      <c r="B348" s="48"/>
      <c r="C348" s="49"/>
      <c r="D348" s="141"/>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row>
    <row r="349" spans="2:68" s="166" customFormat="1">
      <c r="B349" s="48"/>
      <c r="C349" s="49"/>
      <c r="D349" s="141"/>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row>
    <row r="350" spans="2:68" s="166" customFormat="1">
      <c r="B350" s="48"/>
      <c r="C350" s="49"/>
      <c r="D350" s="141"/>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row>
    <row r="351" spans="2:68" s="166" customFormat="1">
      <c r="B351" s="48"/>
      <c r="C351" s="49"/>
      <c r="D351" s="141"/>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row>
    <row r="352" spans="2:68" s="166" customFormat="1">
      <c r="B352" s="48"/>
      <c r="C352" s="49"/>
      <c r="D352" s="141"/>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row>
    <row r="353" spans="2:68" s="166" customFormat="1">
      <c r="B353" s="48"/>
      <c r="C353" s="49"/>
      <c r="D353" s="141"/>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row>
    <row r="354" spans="2:68" s="166" customFormat="1">
      <c r="B354" s="48"/>
      <c r="C354" s="49"/>
      <c r="D354" s="141"/>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row>
    <row r="355" spans="2:68" s="166" customFormat="1">
      <c r="B355" s="48"/>
      <c r="C355" s="49"/>
      <c r="D355" s="141"/>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row>
    <row r="356" spans="2:68" s="166" customFormat="1">
      <c r="B356" s="48"/>
      <c r="C356" s="49"/>
      <c r="D356" s="141"/>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row>
    <row r="357" spans="2:68" s="166" customFormat="1">
      <c r="B357" s="48"/>
      <c r="C357" s="49"/>
      <c r="D357" s="141"/>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row>
    <row r="358" spans="2:68" s="166" customFormat="1">
      <c r="B358" s="48"/>
      <c r="C358" s="49"/>
      <c r="D358" s="141"/>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row>
    <row r="359" spans="2:68" s="166" customFormat="1">
      <c r="B359" s="48"/>
      <c r="C359" s="49"/>
      <c r="D359" s="141"/>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row>
    <row r="360" spans="2:68" s="166" customFormat="1">
      <c r="B360" s="48"/>
      <c r="C360" s="49"/>
      <c r="D360" s="141"/>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row>
    <row r="361" spans="2:68" s="166" customFormat="1">
      <c r="B361" s="48"/>
      <c r="C361" s="49"/>
      <c r="D361" s="141"/>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row>
    <row r="362" spans="2:68" s="166" customFormat="1">
      <c r="B362" s="48"/>
      <c r="C362" s="49"/>
      <c r="D362" s="141"/>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row>
    <row r="363" spans="2:68" s="166" customFormat="1">
      <c r="B363" s="48"/>
      <c r="C363" s="49"/>
      <c r="D363" s="141"/>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row>
  </sheetData>
  <autoFilter ref="B22:J297"/>
  <mergeCells count="12">
    <mergeCell ref="H300:I300"/>
    <mergeCell ref="B4:J4"/>
    <mergeCell ref="B5:J5"/>
    <mergeCell ref="B6:J6"/>
    <mergeCell ref="B8:J8"/>
    <mergeCell ref="J9:J11"/>
    <mergeCell ref="J12:J14"/>
    <mergeCell ref="J15:J19"/>
    <mergeCell ref="E21:G21"/>
    <mergeCell ref="I21:J21"/>
    <mergeCell ref="H298:I298"/>
    <mergeCell ref="H299:I299"/>
  </mergeCells>
  <printOptions horizontalCentered="1"/>
  <pageMargins left="0.39370078740157483" right="0.39370078740157483" top="0.39370078740157483" bottom="0.39370078740157483" header="0" footer="0"/>
  <pageSetup paperSize="9" scale="5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3"/>
  <sheetViews>
    <sheetView showGridLines="0" zoomScaleNormal="100" zoomScaleSheetLayoutView="100" workbookViewId="0">
      <selection activeCell="E6" sqref="E6:E7"/>
    </sheetView>
  </sheetViews>
  <sheetFormatPr defaultRowHeight="15"/>
  <cols>
    <col min="1" max="1" width="7.85546875" style="718" customWidth="1"/>
    <col min="2" max="2" width="49.140625" style="718" customWidth="1"/>
    <col min="3" max="3" width="10.7109375" style="718" customWidth="1"/>
    <col min="4" max="4" width="13.5703125" style="718" customWidth="1"/>
    <col min="5" max="5" width="13.42578125" style="718" customWidth="1"/>
    <col min="6" max="6" width="11.85546875" style="718" customWidth="1"/>
    <col min="7" max="7" width="14.28515625" style="718" customWidth="1"/>
    <col min="8" max="8" width="9.140625" style="439"/>
    <col min="9" max="9" width="20.42578125" style="439" customWidth="1"/>
    <col min="10" max="10" width="15.28515625" style="439" customWidth="1"/>
    <col min="11" max="11" width="6.7109375" style="439" customWidth="1"/>
    <col min="12" max="12" width="13.5703125" style="439" customWidth="1"/>
    <col min="13" max="256" width="9.140625" style="439"/>
    <col min="257" max="257" width="7.85546875" style="439" customWidth="1"/>
    <col min="258" max="258" width="56.7109375" style="439" customWidth="1"/>
    <col min="259" max="259" width="10.7109375" style="439" customWidth="1"/>
    <col min="260" max="260" width="13.5703125" style="439" customWidth="1"/>
    <col min="261" max="262" width="11.85546875" style="439" customWidth="1"/>
    <col min="263" max="263" width="13.140625" style="439" customWidth="1"/>
    <col min="264" max="264" width="9.140625" style="439"/>
    <col min="265" max="265" width="12.7109375" style="439" bestFit="1" customWidth="1"/>
    <col min="266" max="512" width="9.140625" style="439"/>
    <col min="513" max="513" width="7.85546875" style="439" customWidth="1"/>
    <col min="514" max="514" width="56.7109375" style="439" customWidth="1"/>
    <col min="515" max="515" width="10.7109375" style="439" customWidth="1"/>
    <col min="516" max="516" width="13.5703125" style="439" customWidth="1"/>
    <col min="517" max="518" width="11.85546875" style="439" customWidth="1"/>
    <col min="519" max="519" width="13.140625" style="439" customWidth="1"/>
    <col min="520" max="520" width="9.140625" style="439"/>
    <col min="521" max="521" width="12.7109375" style="439" bestFit="1" customWidth="1"/>
    <col min="522" max="768" width="9.140625" style="439"/>
    <col min="769" max="769" width="7.85546875" style="439" customWidth="1"/>
    <col min="770" max="770" width="56.7109375" style="439" customWidth="1"/>
    <col min="771" max="771" width="10.7109375" style="439" customWidth="1"/>
    <col min="772" max="772" width="13.5703125" style="439" customWidth="1"/>
    <col min="773" max="774" width="11.85546875" style="439" customWidth="1"/>
    <col min="775" max="775" width="13.140625" style="439" customWidth="1"/>
    <col min="776" max="776" width="9.140625" style="439"/>
    <col min="777" max="777" width="12.7109375" style="439" bestFit="1" customWidth="1"/>
    <col min="778" max="1024" width="9.140625" style="439"/>
    <col min="1025" max="1025" width="7.85546875" style="439" customWidth="1"/>
    <col min="1026" max="1026" width="56.7109375" style="439" customWidth="1"/>
    <col min="1027" max="1027" width="10.7109375" style="439" customWidth="1"/>
    <col min="1028" max="1028" width="13.5703125" style="439" customWidth="1"/>
    <col min="1029" max="1030" width="11.85546875" style="439" customWidth="1"/>
    <col min="1031" max="1031" width="13.140625" style="439" customWidth="1"/>
    <col min="1032" max="1032" width="9.140625" style="439"/>
    <col min="1033" max="1033" width="12.7109375" style="439" bestFit="1" customWidth="1"/>
    <col min="1034" max="1280" width="9.140625" style="439"/>
    <col min="1281" max="1281" width="7.85546875" style="439" customWidth="1"/>
    <col min="1282" max="1282" width="56.7109375" style="439" customWidth="1"/>
    <col min="1283" max="1283" width="10.7109375" style="439" customWidth="1"/>
    <col min="1284" max="1284" width="13.5703125" style="439" customWidth="1"/>
    <col min="1285" max="1286" width="11.85546875" style="439" customWidth="1"/>
    <col min="1287" max="1287" width="13.140625" style="439" customWidth="1"/>
    <col min="1288" max="1288" width="9.140625" style="439"/>
    <col min="1289" max="1289" width="12.7109375" style="439" bestFit="1" customWidth="1"/>
    <col min="1290" max="1536" width="9.140625" style="439"/>
    <col min="1537" max="1537" width="7.85546875" style="439" customWidth="1"/>
    <col min="1538" max="1538" width="56.7109375" style="439" customWidth="1"/>
    <col min="1539" max="1539" width="10.7109375" style="439" customWidth="1"/>
    <col min="1540" max="1540" width="13.5703125" style="439" customWidth="1"/>
    <col min="1541" max="1542" width="11.85546875" style="439" customWidth="1"/>
    <col min="1543" max="1543" width="13.140625" style="439" customWidth="1"/>
    <col min="1544" max="1544" width="9.140625" style="439"/>
    <col min="1545" max="1545" width="12.7109375" style="439" bestFit="1" customWidth="1"/>
    <col min="1546" max="1792" width="9.140625" style="439"/>
    <col min="1793" max="1793" width="7.85546875" style="439" customWidth="1"/>
    <col min="1794" max="1794" width="56.7109375" style="439" customWidth="1"/>
    <col min="1795" max="1795" width="10.7109375" style="439" customWidth="1"/>
    <col min="1796" max="1796" width="13.5703125" style="439" customWidth="1"/>
    <col min="1797" max="1798" width="11.85546875" style="439" customWidth="1"/>
    <col min="1799" max="1799" width="13.140625" style="439" customWidth="1"/>
    <col min="1800" max="1800" width="9.140625" style="439"/>
    <col min="1801" max="1801" width="12.7109375" style="439" bestFit="1" customWidth="1"/>
    <col min="1802" max="2048" width="9.140625" style="439"/>
    <col min="2049" max="2049" width="7.85546875" style="439" customWidth="1"/>
    <col min="2050" max="2050" width="56.7109375" style="439" customWidth="1"/>
    <col min="2051" max="2051" width="10.7109375" style="439" customWidth="1"/>
    <col min="2052" max="2052" width="13.5703125" style="439" customWidth="1"/>
    <col min="2053" max="2054" width="11.85546875" style="439" customWidth="1"/>
    <col min="2055" max="2055" width="13.140625" style="439" customWidth="1"/>
    <col min="2056" max="2056" width="9.140625" style="439"/>
    <col min="2057" max="2057" width="12.7109375" style="439" bestFit="1" customWidth="1"/>
    <col min="2058" max="2304" width="9.140625" style="439"/>
    <col min="2305" max="2305" width="7.85546875" style="439" customWidth="1"/>
    <col min="2306" max="2306" width="56.7109375" style="439" customWidth="1"/>
    <col min="2307" max="2307" width="10.7109375" style="439" customWidth="1"/>
    <col min="2308" max="2308" width="13.5703125" style="439" customWidth="1"/>
    <col min="2309" max="2310" width="11.85546875" style="439" customWidth="1"/>
    <col min="2311" max="2311" width="13.140625" style="439" customWidth="1"/>
    <col min="2312" max="2312" width="9.140625" style="439"/>
    <col min="2313" max="2313" width="12.7109375" style="439" bestFit="1" customWidth="1"/>
    <col min="2314" max="2560" width="9.140625" style="439"/>
    <col min="2561" max="2561" width="7.85546875" style="439" customWidth="1"/>
    <col min="2562" max="2562" width="56.7109375" style="439" customWidth="1"/>
    <col min="2563" max="2563" width="10.7109375" style="439" customWidth="1"/>
    <col min="2564" max="2564" width="13.5703125" style="439" customWidth="1"/>
    <col min="2565" max="2566" width="11.85546875" style="439" customWidth="1"/>
    <col min="2567" max="2567" width="13.140625" style="439" customWidth="1"/>
    <col min="2568" max="2568" width="9.140625" style="439"/>
    <col min="2569" max="2569" width="12.7109375" style="439" bestFit="1" customWidth="1"/>
    <col min="2570" max="2816" width="9.140625" style="439"/>
    <col min="2817" max="2817" width="7.85546875" style="439" customWidth="1"/>
    <col min="2818" max="2818" width="56.7109375" style="439" customWidth="1"/>
    <col min="2819" max="2819" width="10.7109375" style="439" customWidth="1"/>
    <col min="2820" max="2820" width="13.5703125" style="439" customWidth="1"/>
    <col min="2821" max="2822" width="11.85546875" style="439" customWidth="1"/>
    <col min="2823" max="2823" width="13.140625" style="439" customWidth="1"/>
    <col min="2824" max="2824" width="9.140625" style="439"/>
    <col min="2825" max="2825" width="12.7109375" style="439" bestFit="1" customWidth="1"/>
    <col min="2826" max="3072" width="9.140625" style="439"/>
    <col min="3073" max="3073" width="7.85546875" style="439" customWidth="1"/>
    <col min="3074" max="3074" width="56.7109375" style="439" customWidth="1"/>
    <col min="3075" max="3075" width="10.7109375" style="439" customWidth="1"/>
    <col min="3076" max="3076" width="13.5703125" style="439" customWidth="1"/>
    <col min="3077" max="3078" width="11.85546875" style="439" customWidth="1"/>
    <col min="3079" max="3079" width="13.140625" style="439" customWidth="1"/>
    <col min="3080" max="3080" width="9.140625" style="439"/>
    <col min="3081" max="3081" width="12.7109375" style="439" bestFit="1" customWidth="1"/>
    <col min="3082" max="3328" width="9.140625" style="439"/>
    <col min="3329" max="3329" width="7.85546875" style="439" customWidth="1"/>
    <col min="3330" max="3330" width="56.7109375" style="439" customWidth="1"/>
    <col min="3331" max="3331" width="10.7109375" style="439" customWidth="1"/>
    <col min="3332" max="3332" width="13.5703125" style="439" customWidth="1"/>
    <col min="3333" max="3334" width="11.85546875" style="439" customWidth="1"/>
    <col min="3335" max="3335" width="13.140625" style="439" customWidth="1"/>
    <col min="3336" max="3336" width="9.140625" style="439"/>
    <col min="3337" max="3337" width="12.7109375" style="439" bestFit="1" customWidth="1"/>
    <col min="3338" max="3584" width="9.140625" style="439"/>
    <col min="3585" max="3585" width="7.85546875" style="439" customWidth="1"/>
    <col min="3586" max="3586" width="56.7109375" style="439" customWidth="1"/>
    <col min="3587" max="3587" width="10.7109375" style="439" customWidth="1"/>
    <col min="3588" max="3588" width="13.5703125" style="439" customWidth="1"/>
    <col min="3589" max="3590" width="11.85546875" style="439" customWidth="1"/>
    <col min="3591" max="3591" width="13.140625" style="439" customWidth="1"/>
    <col min="3592" max="3592" width="9.140625" style="439"/>
    <col min="3593" max="3593" width="12.7109375" style="439" bestFit="1" customWidth="1"/>
    <col min="3594" max="3840" width="9.140625" style="439"/>
    <col min="3841" max="3841" width="7.85546875" style="439" customWidth="1"/>
    <col min="3842" max="3842" width="56.7109375" style="439" customWidth="1"/>
    <col min="3843" max="3843" width="10.7109375" style="439" customWidth="1"/>
    <col min="3844" max="3844" width="13.5703125" style="439" customWidth="1"/>
    <col min="3845" max="3846" width="11.85546875" style="439" customWidth="1"/>
    <col min="3847" max="3847" width="13.140625" style="439" customWidth="1"/>
    <col min="3848" max="3848" width="9.140625" style="439"/>
    <col min="3849" max="3849" width="12.7109375" style="439" bestFit="1" customWidth="1"/>
    <col min="3850" max="4096" width="9.140625" style="439"/>
    <col min="4097" max="4097" width="7.85546875" style="439" customWidth="1"/>
    <col min="4098" max="4098" width="56.7109375" style="439" customWidth="1"/>
    <col min="4099" max="4099" width="10.7109375" style="439" customWidth="1"/>
    <col min="4100" max="4100" width="13.5703125" style="439" customWidth="1"/>
    <col min="4101" max="4102" width="11.85546875" style="439" customWidth="1"/>
    <col min="4103" max="4103" width="13.140625" style="439" customWidth="1"/>
    <col min="4104" max="4104" width="9.140625" style="439"/>
    <col min="4105" max="4105" width="12.7109375" style="439" bestFit="1" customWidth="1"/>
    <col min="4106" max="4352" width="9.140625" style="439"/>
    <col min="4353" max="4353" width="7.85546875" style="439" customWidth="1"/>
    <col min="4354" max="4354" width="56.7109375" style="439" customWidth="1"/>
    <col min="4355" max="4355" width="10.7109375" style="439" customWidth="1"/>
    <col min="4356" max="4356" width="13.5703125" style="439" customWidth="1"/>
    <col min="4357" max="4358" width="11.85546875" style="439" customWidth="1"/>
    <col min="4359" max="4359" width="13.140625" style="439" customWidth="1"/>
    <col min="4360" max="4360" width="9.140625" style="439"/>
    <col min="4361" max="4361" width="12.7109375" style="439" bestFit="1" customWidth="1"/>
    <col min="4362" max="4608" width="9.140625" style="439"/>
    <col min="4609" max="4609" width="7.85546875" style="439" customWidth="1"/>
    <col min="4610" max="4610" width="56.7109375" style="439" customWidth="1"/>
    <col min="4611" max="4611" width="10.7109375" style="439" customWidth="1"/>
    <col min="4612" max="4612" width="13.5703125" style="439" customWidth="1"/>
    <col min="4613" max="4614" width="11.85546875" style="439" customWidth="1"/>
    <col min="4615" max="4615" width="13.140625" style="439" customWidth="1"/>
    <col min="4616" max="4616" width="9.140625" style="439"/>
    <col min="4617" max="4617" width="12.7109375" style="439" bestFit="1" customWidth="1"/>
    <col min="4618" max="4864" width="9.140625" style="439"/>
    <col min="4865" max="4865" width="7.85546875" style="439" customWidth="1"/>
    <col min="4866" max="4866" width="56.7109375" style="439" customWidth="1"/>
    <col min="4867" max="4867" width="10.7109375" style="439" customWidth="1"/>
    <col min="4868" max="4868" width="13.5703125" style="439" customWidth="1"/>
    <col min="4869" max="4870" width="11.85546875" style="439" customWidth="1"/>
    <col min="4871" max="4871" width="13.140625" style="439" customWidth="1"/>
    <col min="4872" max="4872" width="9.140625" style="439"/>
    <col min="4873" max="4873" width="12.7109375" style="439" bestFit="1" customWidth="1"/>
    <col min="4874" max="5120" width="9.140625" style="439"/>
    <col min="5121" max="5121" width="7.85546875" style="439" customWidth="1"/>
    <col min="5122" max="5122" width="56.7109375" style="439" customWidth="1"/>
    <col min="5123" max="5123" width="10.7109375" style="439" customWidth="1"/>
    <col min="5124" max="5124" width="13.5703125" style="439" customWidth="1"/>
    <col min="5125" max="5126" width="11.85546875" style="439" customWidth="1"/>
    <col min="5127" max="5127" width="13.140625" style="439" customWidth="1"/>
    <col min="5128" max="5128" width="9.140625" style="439"/>
    <col min="5129" max="5129" width="12.7109375" style="439" bestFit="1" customWidth="1"/>
    <col min="5130" max="5376" width="9.140625" style="439"/>
    <col min="5377" max="5377" width="7.85546875" style="439" customWidth="1"/>
    <col min="5378" max="5378" width="56.7109375" style="439" customWidth="1"/>
    <col min="5379" max="5379" width="10.7109375" style="439" customWidth="1"/>
    <col min="5380" max="5380" width="13.5703125" style="439" customWidth="1"/>
    <col min="5381" max="5382" width="11.85546875" style="439" customWidth="1"/>
    <col min="5383" max="5383" width="13.140625" style="439" customWidth="1"/>
    <col min="5384" max="5384" width="9.140625" style="439"/>
    <col min="5385" max="5385" width="12.7109375" style="439" bestFit="1" customWidth="1"/>
    <col min="5386" max="5632" width="9.140625" style="439"/>
    <col min="5633" max="5633" width="7.85546875" style="439" customWidth="1"/>
    <col min="5634" max="5634" width="56.7109375" style="439" customWidth="1"/>
    <col min="5635" max="5635" width="10.7109375" style="439" customWidth="1"/>
    <col min="5636" max="5636" width="13.5703125" style="439" customWidth="1"/>
    <col min="5637" max="5638" width="11.85546875" style="439" customWidth="1"/>
    <col min="5639" max="5639" width="13.140625" style="439" customWidth="1"/>
    <col min="5640" max="5640" width="9.140625" style="439"/>
    <col min="5641" max="5641" width="12.7109375" style="439" bestFit="1" customWidth="1"/>
    <col min="5642" max="5888" width="9.140625" style="439"/>
    <col min="5889" max="5889" width="7.85546875" style="439" customWidth="1"/>
    <col min="5890" max="5890" width="56.7109375" style="439" customWidth="1"/>
    <col min="5891" max="5891" width="10.7109375" style="439" customWidth="1"/>
    <col min="5892" max="5892" width="13.5703125" style="439" customWidth="1"/>
    <col min="5893" max="5894" width="11.85546875" style="439" customWidth="1"/>
    <col min="5895" max="5895" width="13.140625" style="439" customWidth="1"/>
    <col min="5896" max="5896" width="9.140625" style="439"/>
    <col min="5897" max="5897" width="12.7109375" style="439" bestFit="1" customWidth="1"/>
    <col min="5898" max="6144" width="9.140625" style="439"/>
    <col min="6145" max="6145" width="7.85546875" style="439" customWidth="1"/>
    <col min="6146" max="6146" width="56.7109375" style="439" customWidth="1"/>
    <col min="6147" max="6147" width="10.7109375" style="439" customWidth="1"/>
    <col min="6148" max="6148" width="13.5703125" style="439" customWidth="1"/>
    <col min="6149" max="6150" width="11.85546875" style="439" customWidth="1"/>
    <col min="6151" max="6151" width="13.140625" style="439" customWidth="1"/>
    <col min="6152" max="6152" width="9.140625" style="439"/>
    <col min="6153" max="6153" width="12.7109375" style="439" bestFit="1" customWidth="1"/>
    <col min="6154" max="6400" width="9.140625" style="439"/>
    <col min="6401" max="6401" width="7.85546875" style="439" customWidth="1"/>
    <col min="6402" max="6402" width="56.7109375" style="439" customWidth="1"/>
    <col min="6403" max="6403" width="10.7109375" style="439" customWidth="1"/>
    <col min="6404" max="6404" width="13.5703125" style="439" customWidth="1"/>
    <col min="6405" max="6406" width="11.85546875" style="439" customWidth="1"/>
    <col min="6407" max="6407" width="13.140625" style="439" customWidth="1"/>
    <col min="6408" max="6408" width="9.140625" style="439"/>
    <col min="6409" max="6409" width="12.7109375" style="439" bestFit="1" customWidth="1"/>
    <col min="6410" max="6656" width="9.140625" style="439"/>
    <col min="6657" max="6657" width="7.85546875" style="439" customWidth="1"/>
    <col min="6658" max="6658" width="56.7109375" style="439" customWidth="1"/>
    <col min="6659" max="6659" width="10.7109375" style="439" customWidth="1"/>
    <col min="6660" max="6660" width="13.5703125" style="439" customWidth="1"/>
    <col min="6661" max="6662" width="11.85546875" style="439" customWidth="1"/>
    <col min="6663" max="6663" width="13.140625" style="439" customWidth="1"/>
    <col min="6664" max="6664" width="9.140625" style="439"/>
    <col min="6665" max="6665" width="12.7109375" style="439" bestFit="1" customWidth="1"/>
    <col min="6666" max="6912" width="9.140625" style="439"/>
    <col min="6913" max="6913" width="7.85546875" style="439" customWidth="1"/>
    <col min="6914" max="6914" width="56.7109375" style="439" customWidth="1"/>
    <col min="6915" max="6915" width="10.7109375" style="439" customWidth="1"/>
    <col min="6916" max="6916" width="13.5703125" style="439" customWidth="1"/>
    <col min="6917" max="6918" width="11.85546875" style="439" customWidth="1"/>
    <col min="6919" max="6919" width="13.140625" style="439" customWidth="1"/>
    <col min="6920" max="6920" width="9.140625" style="439"/>
    <col min="6921" max="6921" width="12.7109375" style="439" bestFit="1" customWidth="1"/>
    <col min="6922" max="7168" width="9.140625" style="439"/>
    <col min="7169" max="7169" width="7.85546875" style="439" customWidth="1"/>
    <col min="7170" max="7170" width="56.7109375" style="439" customWidth="1"/>
    <col min="7171" max="7171" width="10.7109375" style="439" customWidth="1"/>
    <col min="7172" max="7172" width="13.5703125" style="439" customWidth="1"/>
    <col min="7173" max="7174" width="11.85546875" style="439" customWidth="1"/>
    <col min="7175" max="7175" width="13.140625" style="439" customWidth="1"/>
    <col min="7176" max="7176" width="9.140625" style="439"/>
    <col min="7177" max="7177" width="12.7109375" style="439" bestFit="1" customWidth="1"/>
    <col min="7178" max="7424" width="9.140625" style="439"/>
    <col min="7425" max="7425" width="7.85546875" style="439" customWidth="1"/>
    <col min="7426" max="7426" width="56.7109375" style="439" customWidth="1"/>
    <col min="7427" max="7427" width="10.7109375" style="439" customWidth="1"/>
    <col min="7428" max="7428" width="13.5703125" style="439" customWidth="1"/>
    <col min="7429" max="7430" width="11.85546875" style="439" customWidth="1"/>
    <col min="7431" max="7431" width="13.140625" style="439" customWidth="1"/>
    <col min="7432" max="7432" width="9.140625" style="439"/>
    <col min="7433" max="7433" width="12.7109375" style="439" bestFit="1" customWidth="1"/>
    <col min="7434" max="7680" width="9.140625" style="439"/>
    <col min="7681" max="7681" width="7.85546875" style="439" customWidth="1"/>
    <col min="7682" max="7682" width="56.7109375" style="439" customWidth="1"/>
    <col min="7683" max="7683" width="10.7109375" style="439" customWidth="1"/>
    <col min="7684" max="7684" width="13.5703125" style="439" customWidth="1"/>
    <col min="7685" max="7686" width="11.85546875" style="439" customWidth="1"/>
    <col min="7687" max="7687" width="13.140625" style="439" customWidth="1"/>
    <col min="7688" max="7688" width="9.140625" style="439"/>
    <col min="7689" max="7689" width="12.7109375" style="439" bestFit="1" customWidth="1"/>
    <col min="7690" max="7936" width="9.140625" style="439"/>
    <col min="7937" max="7937" width="7.85546875" style="439" customWidth="1"/>
    <col min="7938" max="7938" width="56.7109375" style="439" customWidth="1"/>
    <col min="7939" max="7939" width="10.7109375" style="439" customWidth="1"/>
    <col min="7940" max="7940" width="13.5703125" style="439" customWidth="1"/>
    <col min="7941" max="7942" width="11.85546875" style="439" customWidth="1"/>
    <col min="7943" max="7943" width="13.140625" style="439" customWidth="1"/>
    <col min="7944" max="7944" width="9.140625" style="439"/>
    <col min="7945" max="7945" width="12.7109375" style="439" bestFit="1" customWidth="1"/>
    <col min="7946" max="8192" width="9.140625" style="439"/>
    <col min="8193" max="8193" width="7.85546875" style="439" customWidth="1"/>
    <col min="8194" max="8194" width="56.7109375" style="439" customWidth="1"/>
    <col min="8195" max="8195" width="10.7109375" style="439" customWidth="1"/>
    <col min="8196" max="8196" width="13.5703125" style="439" customWidth="1"/>
    <col min="8197" max="8198" width="11.85546875" style="439" customWidth="1"/>
    <col min="8199" max="8199" width="13.140625" style="439" customWidth="1"/>
    <col min="8200" max="8200" width="9.140625" style="439"/>
    <col min="8201" max="8201" width="12.7109375" style="439" bestFit="1" customWidth="1"/>
    <col min="8202" max="8448" width="9.140625" style="439"/>
    <col min="8449" max="8449" width="7.85546875" style="439" customWidth="1"/>
    <col min="8450" max="8450" width="56.7109375" style="439" customWidth="1"/>
    <col min="8451" max="8451" width="10.7109375" style="439" customWidth="1"/>
    <col min="8452" max="8452" width="13.5703125" style="439" customWidth="1"/>
    <col min="8453" max="8454" width="11.85546875" style="439" customWidth="1"/>
    <col min="8455" max="8455" width="13.140625" style="439" customWidth="1"/>
    <col min="8456" max="8456" width="9.140625" style="439"/>
    <col min="8457" max="8457" width="12.7109375" style="439" bestFit="1" customWidth="1"/>
    <col min="8458" max="8704" width="9.140625" style="439"/>
    <col min="8705" max="8705" width="7.85546875" style="439" customWidth="1"/>
    <col min="8706" max="8706" width="56.7109375" style="439" customWidth="1"/>
    <col min="8707" max="8707" width="10.7109375" style="439" customWidth="1"/>
    <col min="8708" max="8708" width="13.5703125" style="439" customWidth="1"/>
    <col min="8709" max="8710" width="11.85546875" style="439" customWidth="1"/>
    <col min="8711" max="8711" width="13.140625" style="439" customWidth="1"/>
    <col min="8712" max="8712" width="9.140625" style="439"/>
    <col min="8713" max="8713" width="12.7109375" style="439" bestFit="1" customWidth="1"/>
    <col min="8714" max="8960" width="9.140625" style="439"/>
    <col min="8961" max="8961" width="7.85546875" style="439" customWidth="1"/>
    <col min="8962" max="8962" width="56.7109375" style="439" customWidth="1"/>
    <col min="8963" max="8963" width="10.7109375" style="439" customWidth="1"/>
    <col min="8964" max="8964" width="13.5703125" style="439" customWidth="1"/>
    <col min="8965" max="8966" width="11.85546875" style="439" customWidth="1"/>
    <col min="8967" max="8967" width="13.140625" style="439" customWidth="1"/>
    <col min="8968" max="8968" width="9.140625" style="439"/>
    <col min="8969" max="8969" width="12.7109375" style="439" bestFit="1" customWidth="1"/>
    <col min="8970" max="9216" width="9.140625" style="439"/>
    <col min="9217" max="9217" width="7.85546875" style="439" customWidth="1"/>
    <col min="9218" max="9218" width="56.7109375" style="439" customWidth="1"/>
    <col min="9219" max="9219" width="10.7109375" style="439" customWidth="1"/>
    <col min="9220" max="9220" width="13.5703125" style="439" customWidth="1"/>
    <col min="9221" max="9222" width="11.85546875" style="439" customWidth="1"/>
    <col min="9223" max="9223" width="13.140625" style="439" customWidth="1"/>
    <col min="9224" max="9224" width="9.140625" style="439"/>
    <col min="9225" max="9225" width="12.7109375" style="439" bestFit="1" customWidth="1"/>
    <col min="9226" max="9472" width="9.140625" style="439"/>
    <col min="9473" max="9473" width="7.85546875" style="439" customWidth="1"/>
    <col min="9474" max="9474" width="56.7109375" style="439" customWidth="1"/>
    <col min="9475" max="9475" width="10.7109375" style="439" customWidth="1"/>
    <col min="9476" max="9476" width="13.5703125" style="439" customWidth="1"/>
    <col min="9477" max="9478" width="11.85546875" style="439" customWidth="1"/>
    <col min="9479" max="9479" width="13.140625" style="439" customWidth="1"/>
    <col min="9480" max="9480" width="9.140625" style="439"/>
    <col min="9481" max="9481" width="12.7109375" style="439" bestFit="1" customWidth="1"/>
    <col min="9482" max="9728" width="9.140625" style="439"/>
    <col min="9729" max="9729" width="7.85546875" style="439" customWidth="1"/>
    <col min="9730" max="9730" width="56.7109375" style="439" customWidth="1"/>
    <col min="9731" max="9731" width="10.7109375" style="439" customWidth="1"/>
    <col min="9732" max="9732" width="13.5703125" style="439" customWidth="1"/>
    <col min="9733" max="9734" width="11.85546875" style="439" customWidth="1"/>
    <col min="9735" max="9735" width="13.140625" style="439" customWidth="1"/>
    <col min="9736" max="9736" width="9.140625" style="439"/>
    <col min="9737" max="9737" width="12.7109375" style="439" bestFit="1" customWidth="1"/>
    <col min="9738" max="9984" width="9.140625" style="439"/>
    <col min="9985" max="9985" width="7.85546875" style="439" customWidth="1"/>
    <col min="9986" max="9986" width="56.7109375" style="439" customWidth="1"/>
    <col min="9987" max="9987" width="10.7109375" style="439" customWidth="1"/>
    <col min="9988" max="9988" width="13.5703125" style="439" customWidth="1"/>
    <col min="9989" max="9990" width="11.85546875" style="439" customWidth="1"/>
    <col min="9991" max="9991" width="13.140625" style="439" customWidth="1"/>
    <col min="9992" max="9992" width="9.140625" style="439"/>
    <col min="9993" max="9993" width="12.7109375" style="439" bestFit="1" customWidth="1"/>
    <col min="9994" max="10240" width="9.140625" style="439"/>
    <col min="10241" max="10241" width="7.85546875" style="439" customWidth="1"/>
    <col min="10242" max="10242" width="56.7109375" style="439" customWidth="1"/>
    <col min="10243" max="10243" width="10.7109375" style="439" customWidth="1"/>
    <col min="10244" max="10244" width="13.5703125" style="439" customWidth="1"/>
    <col min="10245" max="10246" width="11.85546875" style="439" customWidth="1"/>
    <col min="10247" max="10247" width="13.140625" style="439" customWidth="1"/>
    <col min="10248" max="10248" width="9.140625" style="439"/>
    <col min="10249" max="10249" width="12.7109375" style="439" bestFit="1" customWidth="1"/>
    <col min="10250" max="10496" width="9.140625" style="439"/>
    <col min="10497" max="10497" width="7.85546875" style="439" customWidth="1"/>
    <col min="10498" max="10498" width="56.7109375" style="439" customWidth="1"/>
    <col min="10499" max="10499" width="10.7109375" style="439" customWidth="1"/>
    <col min="10500" max="10500" width="13.5703125" style="439" customWidth="1"/>
    <col min="10501" max="10502" width="11.85546875" style="439" customWidth="1"/>
    <col min="10503" max="10503" width="13.140625" style="439" customWidth="1"/>
    <col min="10504" max="10504" width="9.140625" style="439"/>
    <col min="10505" max="10505" width="12.7109375" style="439" bestFit="1" customWidth="1"/>
    <col min="10506" max="10752" width="9.140625" style="439"/>
    <col min="10753" max="10753" width="7.85546875" style="439" customWidth="1"/>
    <col min="10754" max="10754" width="56.7109375" style="439" customWidth="1"/>
    <col min="10755" max="10755" width="10.7109375" style="439" customWidth="1"/>
    <col min="10756" max="10756" width="13.5703125" style="439" customWidth="1"/>
    <col min="10757" max="10758" width="11.85546875" style="439" customWidth="1"/>
    <col min="10759" max="10759" width="13.140625" style="439" customWidth="1"/>
    <col min="10760" max="10760" width="9.140625" style="439"/>
    <col min="10761" max="10761" width="12.7109375" style="439" bestFit="1" customWidth="1"/>
    <col min="10762" max="11008" width="9.140625" style="439"/>
    <col min="11009" max="11009" width="7.85546875" style="439" customWidth="1"/>
    <col min="11010" max="11010" width="56.7109375" style="439" customWidth="1"/>
    <col min="11011" max="11011" width="10.7109375" style="439" customWidth="1"/>
    <col min="11012" max="11012" width="13.5703125" style="439" customWidth="1"/>
    <col min="11013" max="11014" width="11.85546875" style="439" customWidth="1"/>
    <col min="11015" max="11015" width="13.140625" style="439" customWidth="1"/>
    <col min="11016" max="11016" width="9.140625" style="439"/>
    <col min="11017" max="11017" width="12.7109375" style="439" bestFit="1" customWidth="1"/>
    <col min="11018" max="11264" width="9.140625" style="439"/>
    <col min="11265" max="11265" width="7.85546875" style="439" customWidth="1"/>
    <col min="11266" max="11266" width="56.7109375" style="439" customWidth="1"/>
    <col min="11267" max="11267" width="10.7109375" style="439" customWidth="1"/>
    <col min="11268" max="11268" width="13.5703125" style="439" customWidth="1"/>
    <col min="11269" max="11270" width="11.85546875" style="439" customWidth="1"/>
    <col min="11271" max="11271" width="13.140625" style="439" customWidth="1"/>
    <col min="11272" max="11272" width="9.140625" style="439"/>
    <col min="11273" max="11273" width="12.7109375" style="439" bestFit="1" customWidth="1"/>
    <col min="11274" max="11520" width="9.140625" style="439"/>
    <col min="11521" max="11521" width="7.85546875" style="439" customWidth="1"/>
    <col min="11522" max="11522" width="56.7109375" style="439" customWidth="1"/>
    <col min="11523" max="11523" width="10.7109375" style="439" customWidth="1"/>
    <col min="11524" max="11524" width="13.5703125" style="439" customWidth="1"/>
    <col min="11525" max="11526" width="11.85546875" style="439" customWidth="1"/>
    <col min="11527" max="11527" width="13.140625" style="439" customWidth="1"/>
    <col min="11528" max="11528" width="9.140625" style="439"/>
    <col min="11529" max="11529" width="12.7109375" style="439" bestFit="1" customWidth="1"/>
    <col min="11530" max="11776" width="9.140625" style="439"/>
    <col min="11777" max="11777" width="7.85546875" style="439" customWidth="1"/>
    <col min="11778" max="11778" width="56.7109375" style="439" customWidth="1"/>
    <col min="11779" max="11779" width="10.7109375" style="439" customWidth="1"/>
    <col min="11780" max="11780" width="13.5703125" style="439" customWidth="1"/>
    <col min="11781" max="11782" width="11.85546875" style="439" customWidth="1"/>
    <col min="11783" max="11783" width="13.140625" style="439" customWidth="1"/>
    <col min="11784" max="11784" width="9.140625" style="439"/>
    <col min="11785" max="11785" width="12.7109375" style="439" bestFit="1" customWidth="1"/>
    <col min="11786" max="12032" width="9.140625" style="439"/>
    <col min="12033" max="12033" width="7.85546875" style="439" customWidth="1"/>
    <col min="12034" max="12034" width="56.7109375" style="439" customWidth="1"/>
    <col min="12035" max="12035" width="10.7109375" style="439" customWidth="1"/>
    <col min="12036" max="12036" width="13.5703125" style="439" customWidth="1"/>
    <col min="12037" max="12038" width="11.85546875" style="439" customWidth="1"/>
    <col min="12039" max="12039" width="13.140625" style="439" customWidth="1"/>
    <col min="12040" max="12040" width="9.140625" style="439"/>
    <col min="12041" max="12041" width="12.7109375" style="439" bestFit="1" customWidth="1"/>
    <col min="12042" max="12288" width="9.140625" style="439"/>
    <col min="12289" max="12289" width="7.85546875" style="439" customWidth="1"/>
    <col min="12290" max="12290" width="56.7109375" style="439" customWidth="1"/>
    <col min="12291" max="12291" width="10.7109375" style="439" customWidth="1"/>
    <col min="12292" max="12292" width="13.5703125" style="439" customWidth="1"/>
    <col min="12293" max="12294" width="11.85546875" style="439" customWidth="1"/>
    <col min="12295" max="12295" width="13.140625" style="439" customWidth="1"/>
    <col min="12296" max="12296" width="9.140625" style="439"/>
    <col min="12297" max="12297" width="12.7109375" style="439" bestFit="1" customWidth="1"/>
    <col min="12298" max="12544" width="9.140625" style="439"/>
    <col min="12545" max="12545" width="7.85546875" style="439" customWidth="1"/>
    <col min="12546" max="12546" width="56.7109375" style="439" customWidth="1"/>
    <col min="12547" max="12547" width="10.7109375" style="439" customWidth="1"/>
    <col min="12548" max="12548" width="13.5703125" style="439" customWidth="1"/>
    <col min="12549" max="12550" width="11.85546875" style="439" customWidth="1"/>
    <col min="12551" max="12551" width="13.140625" style="439" customWidth="1"/>
    <col min="12552" max="12552" width="9.140625" style="439"/>
    <col min="12553" max="12553" width="12.7109375" style="439" bestFit="1" customWidth="1"/>
    <col min="12554" max="12800" width="9.140625" style="439"/>
    <col min="12801" max="12801" width="7.85546875" style="439" customWidth="1"/>
    <col min="12802" max="12802" width="56.7109375" style="439" customWidth="1"/>
    <col min="12803" max="12803" width="10.7109375" style="439" customWidth="1"/>
    <col min="12804" max="12804" width="13.5703125" style="439" customWidth="1"/>
    <col min="12805" max="12806" width="11.85546875" style="439" customWidth="1"/>
    <col min="12807" max="12807" width="13.140625" style="439" customWidth="1"/>
    <col min="12808" max="12808" width="9.140625" style="439"/>
    <col min="12809" max="12809" width="12.7109375" style="439" bestFit="1" customWidth="1"/>
    <col min="12810" max="13056" width="9.140625" style="439"/>
    <col min="13057" max="13057" width="7.85546875" style="439" customWidth="1"/>
    <col min="13058" max="13058" width="56.7109375" style="439" customWidth="1"/>
    <col min="13059" max="13059" width="10.7109375" style="439" customWidth="1"/>
    <col min="13060" max="13060" width="13.5703125" style="439" customWidth="1"/>
    <col min="13061" max="13062" width="11.85546875" style="439" customWidth="1"/>
    <col min="13063" max="13063" width="13.140625" style="439" customWidth="1"/>
    <col min="13064" max="13064" width="9.140625" style="439"/>
    <col min="13065" max="13065" width="12.7109375" style="439" bestFit="1" customWidth="1"/>
    <col min="13066" max="13312" width="9.140625" style="439"/>
    <col min="13313" max="13313" width="7.85546875" style="439" customWidth="1"/>
    <col min="13314" max="13314" width="56.7109375" style="439" customWidth="1"/>
    <col min="13315" max="13315" width="10.7109375" style="439" customWidth="1"/>
    <col min="13316" max="13316" width="13.5703125" style="439" customWidth="1"/>
    <col min="13317" max="13318" width="11.85546875" style="439" customWidth="1"/>
    <col min="13319" max="13319" width="13.140625" style="439" customWidth="1"/>
    <col min="13320" max="13320" width="9.140625" style="439"/>
    <col min="13321" max="13321" width="12.7109375" style="439" bestFit="1" customWidth="1"/>
    <col min="13322" max="13568" width="9.140625" style="439"/>
    <col min="13569" max="13569" width="7.85546875" style="439" customWidth="1"/>
    <col min="13570" max="13570" width="56.7109375" style="439" customWidth="1"/>
    <col min="13571" max="13571" width="10.7109375" style="439" customWidth="1"/>
    <col min="13572" max="13572" width="13.5703125" style="439" customWidth="1"/>
    <col min="13573" max="13574" width="11.85546875" style="439" customWidth="1"/>
    <col min="13575" max="13575" width="13.140625" style="439" customWidth="1"/>
    <col min="13576" max="13576" width="9.140625" style="439"/>
    <col min="13577" max="13577" width="12.7109375" style="439" bestFit="1" customWidth="1"/>
    <col min="13578" max="13824" width="9.140625" style="439"/>
    <col min="13825" max="13825" width="7.85546875" style="439" customWidth="1"/>
    <col min="13826" max="13826" width="56.7109375" style="439" customWidth="1"/>
    <col min="13827" max="13827" width="10.7109375" style="439" customWidth="1"/>
    <col min="13828" max="13828" width="13.5703125" style="439" customWidth="1"/>
    <col min="13829" max="13830" width="11.85546875" style="439" customWidth="1"/>
    <col min="13831" max="13831" width="13.140625" style="439" customWidth="1"/>
    <col min="13832" max="13832" width="9.140625" style="439"/>
    <col min="13833" max="13833" width="12.7109375" style="439" bestFit="1" customWidth="1"/>
    <col min="13834" max="14080" width="9.140625" style="439"/>
    <col min="14081" max="14081" width="7.85546875" style="439" customWidth="1"/>
    <col min="14082" max="14082" width="56.7109375" style="439" customWidth="1"/>
    <col min="14083" max="14083" width="10.7109375" style="439" customWidth="1"/>
    <col min="14084" max="14084" width="13.5703125" style="439" customWidth="1"/>
    <col min="14085" max="14086" width="11.85546875" style="439" customWidth="1"/>
    <col min="14087" max="14087" width="13.140625" style="439" customWidth="1"/>
    <col min="14088" max="14088" width="9.140625" style="439"/>
    <col min="14089" max="14089" width="12.7109375" style="439" bestFit="1" customWidth="1"/>
    <col min="14090" max="14336" width="9.140625" style="439"/>
    <col min="14337" max="14337" width="7.85546875" style="439" customWidth="1"/>
    <col min="14338" max="14338" width="56.7109375" style="439" customWidth="1"/>
    <col min="14339" max="14339" width="10.7109375" style="439" customWidth="1"/>
    <col min="14340" max="14340" width="13.5703125" style="439" customWidth="1"/>
    <col min="14341" max="14342" width="11.85546875" style="439" customWidth="1"/>
    <col min="14343" max="14343" width="13.140625" style="439" customWidth="1"/>
    <col min="14344" max="14344" width="9.140625" style="439"/>
    <col min="14345" max="14345" width="12.7109375" style="439" bestFit="1" customWidth="1"/>
    <col min="14346" max="14592" width="9.140625" style="439"/>
    <col min="14593" max="14593" width="7.85546875" style="439" customWidth="1"/>
    <col min="14594" max="14594" width="56.7109375" style="439" customWidth="1"/>
    <col min="14595" max="14595" width="10.7109375" style="439" customWidth="1"/>
    <col min="14596" max="14596" width="13.5703125" style="439" customWidth="1"/>
    <col min="14597" max="14598" width="11.85546875" style="439" customWidth="1"/>
    <col min="14599" max="14599" width="13.140625" style="439" customWidth="1"/>
    <col min="14600" max="14600" width="9.140625" style="439"/>
    <col min="14601" max="14601" width="12.7109375" style="439" bestFit="1" customWidth="1"/>
    <col min="14602" max="14848" width="9.140625" style="439"/>
    <col min="14849" max="14849" width="7.85546875" style="439" customWidth="1"/>
    <col min="14850" max="14850" width="56.7109375" style="439" customWidth="1"/>
    <col min="14851" max="14851" width="10.7109375" style="439" customWidth="1"/>
    <col min="14852" max="14852" width="13.5703125" style="439" customWidth="1"/>
    <col min="14853" max="14854" width="11.85546875" style="439" customWidth="1"/>
    <col min="14855" max="14855" width="13.140625" style="439" customWidth="1"/>
    <col min="14856" max="14856" width="9.140625" style="439"/>
    <col min="14857" max="14857" width="12.7109375" style="439" bestFit="1" customWidth="1"/>
    <col min="14858" max="15104" width="9.140625" style="439"/>
    <col min="15105" max="15105" width="7.85546875" style="439" customWidth="1"/>
    <col min="15106" max="15106" width="56.7109375" style="439" customWidth="1"/>
    <col min="15107" max="15107" width="10.7109375" style="439" customWidth="1"/>
    <col min="15108" max="15108" width="13.5703125" style="439" customWidth="1"/>
    <col min="15109" max="15110" width="11.85546875" style="439" customWidth="1"/>
    <col min="15111" max="15111" width="13.140625" style="439" customWidth="1"/>
    <col min="15112" max="15112" width="9.140625" style="439"/>
    <col min="15113" max="15113" width="12.7109375" style="439" bestFit="1" customWidth="1"/>
    <col min="15114" max="15360" width="9.140625" style="439"/>
    <col min="15361" max="15361" width="7.85546875" style="439" customWidth="1"/>
    <col min="15362" max="15362" width="56.7109375" style="439" customWidth="1"/>
    <col min="15363" max="15363" width="10.7109375" style="439" customWidth="1"/>
    <col min="15364" max="15364" width="13.5703125" style="439" customWidth="1"/>
    <col min="15365" max="15366" width="11.85546875" style="439" customWidth="1"/>
    <col min="15367" max="15367" width="13.140625" style="439" customWidth="1"/>
    <col min="15368" max="15368" width="9.140625" style="439"/>
    <col min="15369" max="15369" width="12.7109375" style="439" bestFit="1" customWidth="1"/>
    <col min="15370" max="15616" width="9.140625" style="439"/>
    <col min="15617" max="15617" width="7.85546875" style="439" customWidth="1"/>
    <col min="15618" max="15618" width="56.7109375" style="439" customWidth="1"/>
    <col min="15619" max="15619" width="10.7109375" style="439" customWidth="1"/>
    <col min="15620" max="15620" width="13.5703125" style="439" customWidth="1"/>
    <col min="15621" max="15622" width="11.85546875" style="439" customWidth="1"/>
    <col min="15623" max="15623" width="13.140625" style="439" customWidth="1"/>
    <col min="15624" max="15624" width="9.140625" style="439"/>
    <col min="15625" max="15625" width="12.7109375" style="439" bestFit="1" customWidth="1"/>
    <col min="15626" max="15872" width="9.140625" style="439"/>
    <col min="15873" max="15873" width="7.85546875" style="439" customWidth="1"/>
    <col min="15874" max="15874" width="56.7109375" style="439" customWidth="1"/>
    <col min="15875" max="15875" width="10.7109375" style="439" customWidth="1"/>
    <col min="15876" max="15876" width="13.5703125" style="439" customWidth="1"/>
    <col min="15877" max="15878" width="11.85546875" style="439" customWidth="1"/>
    <col min="15879" max="15879" width="13.140625" style="439" customWidth="1"/>
    <col min="15880" max="15880" width="9.140625" style="439"/>
    <col min="15881" max="15881" width="12.7109375" style="439" bestFit="1" customWidth="1"/>
    <col min="15882" max="16128" width="9.140625" style="439"/>
    <col min="16129" max="16129" width="7.85546875" style="439" customWidth="1"/>
    <col min="16130" max="16130" width="56.7109375" style="439" customWidth="1"/>
    <col min="16131" max="16131" width="10.7109375" style="439" customWidth="1"/>
    <col min="16132" max="16132" width="13.5703125" style="439" customWidth="1"/>
    <col min="16133" max="16134" width="11.85546875" style="439" customWidth="1"/>
    <col min="16135" max="16135" width="13.140625" style="439" customWidth="1"/>
    <col min="16136" max="16136" width="9.140625" style="439"/>
    <col min="16137" max="16137" width="12.7109375" style="439" bestFit="1" customWidth="1"/>
    <col min="16138" max="16384" width="9.140625" style="439"/>
  </cols>
  <sheetData>
    <row r="1" spans="1:10">
      <c r="A1" s="1058" t="s">
        <v>3527</v>
      </c>
      <c r="B1" s="1058"/>
      <c r="C1" s="1058"/>
      <c r="D1" s="1058"/>
      <c r="E1" s="1058"/>
      <c r="F1" s="1058"/>
      <c r="G1" s="1058"/>
    </row>
    <row r="2" spans="1:10">
      <c r="A2" s="1059" t="s">
        <v>3528</v>
      </c>
      <c r="B2" s="1059"/>
      <c r="C2" s="1059"/>
      <c r="D2" s="1059"/>
      <c r="E2" s="1059"/>
      <c r="F2" s="1059"/>
      <c r="G2" s="1059"/>
      <c r="H2" s="716"/>
    </row>
    <row r="3" spans="1:10" ht="14.25">
      <c r="A3" s="717"/>
      <c r="B3" s="717"/>
      <c r="C3" s="717"/>
      <c r="D3" s="717"/>
      <c r="E3" s="717"/>
      <c r="F3" s="717"/>
      <c r="G3" s="717"/>
      <c r="J3" s="712"/>
    </row>
    <row r="4" spans="1:10" ht="15" customHeight="1">
      <c r="A4" s="1062" t="s">
        <v>3529</v>
      </c>
      <c r="B4" s="1062"/>
      <c r="C4" s="1062"/>
      <c r="D4" s="1062"/>
      <c r="E4" s="1062"/>
      <c r="F4" s="1062"/>
      <c r="G4" s="1062"/>
    </row>
    <row r="5" spans="1:10" ht="18.75" customHeight="1">
      <c r="A5" s="948"/>
      <c r="B5" s="948"/>
      <c r="C5" s="948"/>
      <c r="D5" s="948"/>
      <c r="E5" s="948"/>
      <c r="F5" s="948"/>
      <c r="G5" s="948"/>
    </row>
    <row r="6" spans="1:10" ht="18.75" customHeight="1">
      <c r="A6" s="948"/>
      <c r="B6" s="948"/>
      <c r="C6" s="948"/>
      <c r="D6" s="948"/>
      <c r="E6" s="1063" t="s">
        <v>3309</v>
      </c>
      <c r="F6" s="951" t="s">
        <v>3526</v>
      </c>
      <c r="G6" s="957">
        <v>0.2462</v>
      </c>
      <c r="J6" s="956"/>
    </row>
    <row r="7" spans="1:10" ht="18.75" customHeight="1">
      <c r="A7" s="948"/>
      <c r="B7" s="948"/>
      <c r="C7" s="948"/>
      <c r="D7" s="948"/>
      <c r="E7" s="1063"/>
      <c r="F7" s="958" t="s">
        <v>3454</v>
      </c>
      <c r="G7" s="957">
        <v>0.15279999999999999</v>
      </c>
      <c r="J7" s="956"/>
    </row>
    <row r="8" spans="1:10" ht="7.5" customHeight="1">
      <c r="D8" s="719"/>
    </row>
    <row r="9" spans="1:10" ht="12.75">
      <c r="A9" s="1060" t="s">
        <v>0</v>
      </c>
      <c r="B9" s="1060" t="s">
        <v>1489</v>
      </c>
      <c r="C9" s="1060" t="s">
        <v>3246</v>
      </c>
      <c r="D9" s="1060" t="s">
        <v>3247</v>
      </c>
      <c r="E9" s="1060" t="s">
        <v>3530</v>
      </c>
      <c r="F9" s="1060"/>
      <c r="G9" s="1061"/>
    </row>
    <row r="10" spans="1:10" ht="12.75">
      <c r="A10" s="1060"/>
      <c r="B10" s="1060"/>
      <c r="C10" s="1060"/>
      <c r="D10" s="1060"/>
      <c r="E10" s="720" t="s">
        <v>3531</v>
      </c>
      <c r="F10" s="720" t="s">
        <v>3309</v>
      </c>
      <c r="G10" s="720" t="s">
        <v>3532</v>
      </c>
    </row>
    <row r="11" spans="1:10" ht="12.75">
      <c r="A11" s="721"/>
      <c r="B11" s="722" t="s">
        <v>3533</v>
      </c>
      <c r="C11" s="721"/>
      <c r="D11" s="721"/>
      <c r="E11" s="722"/>
      <c r="F11" s="722"/>
      <c r="G11" s="722"/>
    </row>
    <row r="12" spans="1:10" ht="12.75">
      <c r="A12" s="721"/>
      <c r="B12" s="722"/>
      <c r="C12" s="721"/>
      <c r="D12" s="721"/>
      <c r="E12" s="722"/>
      <c r="F12" s="722"/>
      <c r="G12" s="722"/>
    </row>
    <row r="13" spans="1:10" ht="12.75">
      <c r="A13" s="780" t="str">
        <f>'Custos Canais'!B23</f>
        <v>8.</v>
      </c>
      <c r="B13" s="725" t="s">
        <v>3591</v>
      </c>
      <c r="C13" s="726"/>
      <c r="D13" s="727"/>
      <c r="E13" s="723">
        <f>+E19+E22+E29+E32+E35+E38+E41+E14+E27</f>
        <v>74489925.337852523</v>
      </c>
      <c r="F13" s="729"/>
      <c r="G13" s="723">
        <f>+G19+G22+G29+G32+G35+G38+G41+G14+G27</f>
        <v>91971634.180016845</v>
      </c>
    </row>
    <row r="14" spans="1:10" ht="12.75">
      <c r="A14" s="781" t="s">
        <v>54</v>
      </c>
      <c r="B14" s="737" t="s">
        <v>3592</v>
      </c>
      <c r="C14" s="732"/>
      <c r="D14" s="733"/>
      <c r="E14" s="728">
        <f>SUM(E15:E18)</f>
        <v>56100769.785765842</v>
      </c>
      <c r="F14" s="735"/>
      <c r="G14" s="728">
        <f>SUM(G15:G18)</f>
        <v>69912779.307021394</v>
      </c>
    </row>
    <row r="15" spans="1:10" ht="12.75">
      <c r="A15" s="730" t="str">
        <f>'Custos Canais'!B25</f>
        <v>8.1.1</v>
      </c>
      <c r="B15" s="736" t="str">
        <f>'Custos Canais'!C25</f>
        <v xml:space="preserve">OBRAS CIVIS </v>
      </c>
      <c r="C15" s="732" t="s">
        <v>3536</v>
      </c>
      <c r="D15" s="733">
        <v>1</v>
      </c>
      <c r="E15" s="734">
        <f>'Custos Canais'!H25</f>
        <v>54628206.661802389</v>
      </c>
      <c r="F15" s="735">
        <f>$G$6</f>
        <v>0.2462</v>
      </c>
      <c r="G15" s="734">
        <f>D15*((E15*F15)+E15)</f>
        <v>68077671.141938135</v>
      </c>
    </row>
    <row r="16" spans="1:10" ht="12.75">
      <c r="A16" s="730" t="str">
        <f>'Custos Canais'!B45</f>
        <v>8.1.2</v>
      </c>
      <c r="B16" s="736" t="str">
        <f>'Custos Canais'!C45</f>
        <v>DRENO DE FUNDO</v>
      </c>
      <c r="C16" s="732" t="s">
        <v>3536</v>
      </c>
      <c r="D16" s="733">
        <v>1</v>
      </c>
      <c r="E16" s="734">
        <f>'Custos Canais'!H45</f>
        <v>188255.77214857141</v>
      </c>
      <c r="F16" s="735">
        <f>$G$6</f>
        <v>0.2462</v>
      </c>
      <c r="G16" s="734">
        <f t="shared" ref="G16:G18" si="0">D16*((E16*F16)+E16)</f>
        <v>234604.3432515497</v>
      </c>
    </row>
    <row r="17" spans="1:9" ht="12.75">
      <c r="A17" s="730" t="str">
        <f>'Custos Canais'!B50</f>
        <v>8.1.3</v>
      </c>
      <c r="B17" s="736" t="str">
        <f>'Custos Canais'!C50</f>
        <v>MURETA DO CANAL PRINCIPAL</v>
      </c>
      <c r="C17" s="732" t="s">
        <v>3536</v>
      </c>
      <c r="D17" s="733">
        <v>1</v>
      </c>
      <c r="E17" s="734">
        <f>'Custos Canais'!H50</f>
        <v>1210796.2476516431</v>
      </c>
      <c r="F17" s="735">
        <f>$G$6</f>
        <v>0.2462</v>
      </c>
      <c r="G17" s="734">
        <f t="shared" si="0"/>
        <v>1508894.2838234776</v>
      </c>
    </row>
    <row r="18" spans="1:9" ht="12.75">
      <c r="A18" s="730" t="str">
        <f>'Custos Canais'!B60</f>
        <v>8.1.4</v>
      </c>
      <c r="B18" s="736" t="str">
        <f>'Custos Canais'!C60</f>
        <v>PARTIDOR CP-CS1 E CS2</v>
      </c>
      <c r="C18" s="732" t="s">
        <v>3536</v>
      </c>
      <c r="D18" s="733">
        <v>1</v>
      </c>
      <c r="E18" s="734">
        <f>'Custos Canais'!H60</f>
        <v>73511.104163235737</v>
      </c>
      <c r="F18" s="735">
        <f>$G$6</f>
        <v>0.2462</v>
      </c>
      <c r="G18" s="734">
        <f t="shared" si="0"/>
        <v>91609.538008224379</v>
      </c>
    </row>
    <row r="19" spans="1:9" ht="12.75">
      <c r="A19" s="724" t="s">
        <v>98</v>
      </c>
      <c r="B19" s="737" t="s">
        <v>3593</v>
      </c>
      <c r="C19" s="732"/>
      <c r="D19" s="733"/>
      <c r="E19" s="728">
        <f>SUM(E20:E21)</f>
        <v>2507421.3588218931</v>
      </c>
      <c r="F19" s="735"/>
      <c r="G19" s="728">
        <f>SUM(G20:G21)</f>
        <v>3009101.840131646</v>
      </c>
    </row>
    <row r="20" spans="1:9" ht="12.75">
      <c r="A20" s="732" t="s">
        <v>99</v>
      </c>
      <c r="B20" s="731" t="s">
        <v>1394</v>
      </c>
      <c r="C20" s="732" t="s">
        <v>3536</v>
      </c>
      <c r="D20" s="733">
        <v>1</v>
      </c>
      <c r="E20" s="734">
        <f>'Custos Canais'!H69</f>
        <v>1269234.4505542573</v>
      </c>
      <c r="F20" s="735">
        <f>$G$6</f>
        <v>0.2462</v>
      </c>
      <c r="G20" s="734">
        <f>D20*((E20*F20)+E20)</f>
        <v>1581719.9722807154</v>
      </c>
    </row>
    <row r="21" spans="1:9" ht="12.75">
      <c r="A21" s="732" t="s">
        <v>121</v>
      </c>
      <c r="B21" s="731" t="s">
        <v>3537</v>
      </c>
      <c r="C21" s="732" t="s">
        <v>3536</v>
      </c>
      <c r="D21" s="733">
        <v>1</v>
      </c>
      <c r="E21" s="734">
        <f>'Custos Canais'!H91</f>
        <v>1238186.9082676361</v>
      </c>
      <c r="F21" s="735">
        <f>$G$7</f>
        <v>0.15279999999999999</v>
      </c>
      <c r="G21" s="734">
        <f>D21*((E21*F21)+E21)</f>
        <v>1427381.8678509309</v>
      </c>
    </row>
    <row r="22" spans="1:9" ht="12.75">
      <c r="A22" s="724" t="s">
        <v>127</v>
      </c>
      <c r="B22" s="737" t="s">
        <v>3594</v>
      </c>
      <c r="C22" s="732"/>
      <c r="D22" s="733"/>
      <c r="E22" s="728">
        <f>SUM(E23:E26)</f>
        <v>5903366.7595804771</v>
      </c>
      <c r="F22" s="735"/>
      <c r="G22" s="728">
        <f>SUM(G23:G26)</f>
        <v>7055422.1291441852</v>
      </c>
    </row>
    <row r="23" spans="1:9" ht="12.75">
      <c r="A23" s="732" t="s">
        <v>128</v>
      </c>
      <c r="B23" s="731" t="s">
        <v>1394</v>
      </c>
      <c r="C23" s="732" t="s">
        <v>3536</v>
      </c>
      <c r="D23" s="733">
        <v>1</v>
      </c>
      <c r="E23" s="734">
        <f>'Custos Canais'!H98</f>
        <v>1418257.8534306376</v>
      </c>
      <c r="F23" s="735">
        <f>$G$6</f>
        <v>0.2462</v>
      </c>
      <c r="G23" s="734">
        <f>D23*((E23*F23)+E23)</f>
        <v>1767432.9369452605</v>
      </c>
    </row>
    <row r="24" spans="1:9" ht="12.75">
      <c r="A24" s="732" t="s">
        <v>160</v>
      </c>
      <c r="B24" s="731" t="s">
        <v>3537</v>
      </c>
      <c r="C24" s="732" t="s">
        <v>3536</v>
      </c>
      <c r="D24" s="733">
        <v>1</v>
      </c>
      <c r="E24" s="734">
        <f>'Custos Canais'!H132</f>
        <v>2165887.9083069088</v>
      </c>
      <c r="F24" s="735">
        <f>$G$7</f>
        <v>0.15279999999999999</v>
      </c>
      <c r="G24" s="734">
        <f>D24*((E24*F24)+E24)</f>
        <v>2496835.5806962047</v>
      </c>
      <c r="I24" s="738"/>
    </row>
    <row r="25" spans="1:9" ht="12.75">
      <c r="A25" s="732" t="s">
        <v>171</v>
      </c>
      <c r="B25" s="731" t="s">
        <v>3595</v>
      </c>
      <c r="C25" s="732" t="s">
        <v>3536</v>
      </c>
      <c r="D25" s="733">
        <v>1</v>
      </c>
      <c r="E25" s="734">
        <f>'Custos Canais'!H143</f>
        <v>1258625.7514923855</v>
      </c>
      <c r="F25" s="735">
        <f>$G$6</f>
        <v>0.2462</v>
      </c>
      <c r="G25" s="734">
        <f>D25*((E25*F25)+E25)</f>
        <v>1568499.4115098109</v>
      </c>
    </row>
    <row r="26" spans="1:9" ht="12.75">
      <c r="A26" s="732" t="s">
        <v>182</v>
      </c>
      <c r="B26" s="731" t="s">
        <v>3537</v>
      </c>
      <c r="C26" s="732" t="s">
        <v>3536</v>
      </c>
      <c r="D26" s="733">
        <v>1</v>
      </c>
      <c r="E26" s="734">
        <f>'Custos Canais'!H154</f>
        <v>1060595.2463505454</v>
      </c>
      <c r="F26" s="735">
        <f>$G$7</f>
        <v>0.15279999999999999</v>
      </c>
      <c r="G26" s="734">
        <f>D26*((E26*F26)+E26)</f>
        <v>1222654.1999929089</v>
      </c>
      <c r="I26" s="738"/>
    </row>
    <row r="27" spans="1:9" ht="12.75">
      <c r="A27" s="724" t="s">
        <v>186</v>
      </c>
      <c r="B27" s="737" t="s">
        <v>3596</v>
      </c>
      <c r="C27" s="732"/>
      <c r="D27" s="733"/>
      <c r="E27" s="728">
        <f>E28</f>
        <v>2207874.4265809217</v>
      </c>
      <c r="F27" s="735"/>
      <c r="G27" s="728">
        <f>G28</f>
        <v>2751453.1104051447</v>
      </c>
    </row>
    <row r="28" spans="1:9" ht="12.75">
      <c r="A28" s="732" t="s">
        <v>187</v>
      </c>
      <c r="B28" s="731" t="s">
        <v>1412</v>
      </c>
      <c r="C28" s="732" t="s">
        <v>3536</v>
      </c>
      <c r="D28" s="733">
        <v>1</v>
      </c>
      <c r="E28" s="734">
        <f>'Custos Canais'!H159</f>
        <v>2207874.4265809217</v>
      </c>
      <c r="F28" s="735">
        <f>$G$6</f>
        <v>0.2462</v>
      </c>
      <c r="G28" s="734">
        <f>D28*((E28*F28)+E28)</f>
        <v>2751453.1104051447</v>
      </c>
    </row>
    <row r="29" spans="1:9" ht="12.75">
      <c r="A29" s="724" t="s">
        <v>206</v>
      </c>
      <c r="B29" s="737" t="s">
        <v>3597</v>
      </c>
      <c r="C29" s="732"/>
      <c r="D29" s="733"/>
      <c r="E29" s="728">
        <f>SUM(E30:E31)</f>
        <v>775473.30212187662</v>
      </c>
      <c r="F29" s="735"/>
      <c r="G29" s="728">
        <f>SUM(G30:G31)</f>
        <v>918305.42101441999</v>
      </c>
    </row>
    <row r="30" spans="1:9" ht="12.75">
      <c r="A30" s="732" t="s">
        <v>207</v>
      </c>
      <c r="B30" s="731" t="s">
        <v>1394</v>
      </c>
      <c r="C30" s="732" t="s">
        <v>3536</v>
      </c>
      <c r="D30" s="733">
        <v>1</v>
      </c>
      <c r="E30" s="734">
        <f>'Custos Canais'!H179</f>
        <v>260597.41250878572</v>
      </c>
      <c r="F30" s="735">
        <f>$G$6</f>
        <v>0.2462</v>
      </c>
      <c r="G30" s="734">
        <f>D30*((E30*F30)+E30)</f>
        <v>324756.49546844879</v>
      </c>
    </row>
    <row r="31" spans="1:9" ht="12.75">
      <c r="A31" s="732" t="s">
        <v>222</v>
      </c>
      <c r="B31" s="731" t="s">
        <v>3537</v>
      </c>
      <c r="C31" s="732" t="s">
        <v>3536</v>
      </c>
      <c r="D31" s="733">
        <v>1</v>
      </c>
      <c r="E31" s="734">
        <f>'Custos Canais'!H196</f>
        <v>514875.8896130909</v>
      </c>
      <c r="F31" s="735">
        <f>$G$7</f>
        <v>0.15279999999999999</v>
      </c>
      <c r="G31" s="734">
        <f>D31*((E31*F31)+E31)</f>
        <v>593548.92554597114</v>
      </c>
    </row>
    <row r="32" spans="1:9" ht="12.75">
      <c r="A32" s="724" t="s">
        <v>227</v>
      </c>
      <c r="B32" s="737" t="s">
        <v>3811</v>
      </c>
      <c r="C32" s="732"/>
      <c r="D32" s="733"/>
      <c r="E32" s="728">
        <f>SUM(E33:E34)</f>
        <v>2317368.4783072527</v>
      </c>
      <c r="F32" s="735"/>
      <c r="G32" s="728">
        <f>SUM(G33:G34)</f>
        <v>2790635.2573608742</v>
      </c>
    </row>
    <row r="33" spans="1:9" ht="12.75">
      <c r="A33" s="732" t="s">
        <v>228</v>
      </c>
      <c r="B33" s="731" t="s">
        <v>1394</v>
      </c>
      <c r="C33" s="732" t="s">
        <v>3536</v>
      </c>
      <c r="D33" s="733">
        <v>1</v>
      </c>
      <c r="E33" s="734">
        <f>'Custos Canais'!H204</f>
        <v>1275940.8519087071</v>
      </c>
      <c r="F33" s="735">
        <f>$G$6</f>
        <v>0.2462</v>
      </c>
      <c r="G33" s="734">
        <f>D33*((E33*F33)+E33)</f>
        <v>1590077.4896486308</v>
      </c>
    </row>
    <row r="34" spans="1:9" ht="12.75">
      <c r="A34" s="732" t="s">
        <v>242</v>
      </c>
      <c r="B34" s="731" t="s">
        <v>3537</v>
      </c>
      <c r="C34" s="732" t="s">
        <v>3536</v>
      </c>
      <c r="D34" s="733">
        <v>1</v>
      </c>
      <c r="E34" s="734">
        <f>'Custos Canais'!H218</f>
        <v>1041427.6263985456</v>
      </c>
      <c r="F34" s="735">
        <f>$G$7</f>
        <v>0.15279999999999999</v>
      </c>
      <c r="G34" s="734">
        <f>D34*((E34*F34)+E34)</f>
        <v>1200557.7677122434</v>
      </c>
    </row>
    <row r="35" spans="1:9" ht="12.75">
      <c r="A35" s="724" t="s">
        <v>255</v>
      </c>
      <c r="B35" s="737" t="s">
        <v>3598</v>
      </c>
      <c r="C35" s="732"/>
      <c r="D35" s="733"/>
      <c r="E35" s="728">
        <f>SUM(E36:E37)</f>
        <v>2719198.8141554892</v>
      </c>
      <c r="F35" s="735"/>
      <c r="G35" s="728">
        <f>SUM(G36:G37)</f>
        <v>3248713.9342296482</v>
      </c>
    </row>
    <row r="36" spans="1:9" ht="12.75">
      <c r="A36" s="732" t="s">
        <v>256</v>
      </c>
      <c r="B36" s="731" t="s">
        <v>1394</v>
      </c>
      <c r="C36" s="732" t="s">
        <v>3536</v>
      </c>
      <c r="D36" s="733">
        <v>1</v>
      </c>
      <c r="E36" s="734">
        <f>'Custos Canais'!H232</f>
        <v>1220787.3797773074</v>
      </c>
      <c r="F36" s="735">
        <f>$G$6</f>
        <v>0.2462</v>
      </c>
      <c r="G36" s="734">
        <f>D36*((E36*F36)+E36)</f>
        <v>1521345.2326784804</v>
      </c>
    </row>
    <row r="37" spans="1:9" ht="12.75">
      <c r="A37" s="732" t="s">
        <v>275</v>
      </c>
      <c r="B37" s="731" t="s">
        <v>3537</v>
      </c>
      <c r="C37" s="732" t="s">
        <v>3536</v>
      </c>
      <c r="D37" s="733">
        <v>1</v>
      </c>
      <c r="E37" s="734">
        <f>'Custos Canais'!H256</f>
        <v>1498411.4343781816</v>
      </c>
      <c r="F37" s="735">
        <f>$G$7</f>
        <v>0.15279999999999999</v>
      </c>
      <c r="G37" s="734">
        <f>D37*((E37*F37)+E37)</f>
        <v>1727368.7015511678</v>
      </c>
    </row>
    <row r="38" spans="1:9" ht="12.75">
      <c r="A38" s="724" t="s">
        <v>1540</v>
      </c>
      <c r="B38" s="737" t="s">
        <v>3818</v>
      </c>
      <c r="C38" s="732"/>
      <c r="D38" s="733"/>
      <c r="E38" s="728">
        <f>SUM(E39:E40)</f>
        <v>451860.27872323466</v>
      </c>
      <c r="F38" s="735"/>
      <c r="G38" s="728">
        <f>SUM(G39:G40)</f>
        <v>536208.55213324563</v>
      </c>
    </row>
    <row r="39" spans="1:9" ht="12.75">
      <c r="A39" s="732" t="s">
        <v>1542</v>
      </c>
      <c r="B39" s="731" t="s">
        <v>1394</v>
      </c>
      <c r="C39" s="732" t="s">
        <v>3536</v>
      </c>
      <c r="D39" s="733">
        <v>1</v>
      </c>
      <c r="E39" s="734">
        <f>'Custos Canais'!H272</f>
        <v>163870.05161778015</v>
      </c>
      <c r="F39" s="735">
        <f>$G$6</f>
        <v>0.2462</v>
      </c>
      <c r="G39" s="734">
        <f>(D39*((E39*F39)+E39))-1.44</f>
        <v>204213.41832607763</v>
      </c>
    </row>
    <row r="40" spans="1:9" ht="12.75">
      <c r="A40" s="732" t="s">
        <v>1543</v>
      </c>
      <c r="B40" s="731" t="s">
        <v>3537</v>
      </c>
      <c r="C40" s="732" t="s">
        <v>3536</v>
      </c>
      <c r="D40" s="733">
        <v>1</v>
      </c>
      <c r="E40" s="734">
        <f>'Custos Canais'!H276</f>
        <v>287990.22710545448</v>
      </c>
      <c r="F40" s="735">
        <f>$G$7</f>
        <v>0.15279999999999999</v>
      </c>
      <c r="G40" s="734">
        <f>D40*((E40*F40)+E40)</f>
        <v>331995.13380716793</v>
      </c>
    </row>
    <row r="41" spans="1:9" ht="22.5">
      <c r="A41" s="724" t="s">
        <v>2807</v>
      </c>
      <c r="B41" s="782" t="s">
        <v>3111</v>
      </c>
      <c r="C41" s="732"/>
      <c r="D41" s="733"/>
      <c r="E41" s="728">
        <f>SUM(E42:E43)</f>
        <v>1506592.1337955368</v>
      </c>
      <c r="F41" s="783"/>
      <c r="G41" s="728">
        <f>SUM(G42:G43)</f>
        <v>1749014.6285762845</v>
      </c>
    </row>
    <row r="42" spans="1:9" ht="12.75">
      <c r="A42" s="732" t="s">
        <v>2808</v>
      </c>
      <c r="B42" s="731" t="s">
        <v>1394</v>
      </c>
      <c r="C42" s="732" t="s">
        <v>3536</v>
      </c>
      <c r="D42" s="733">
        <v>1</v>
      </c>
      <c r="E42" s="734">
        <f>'Custos Canais'!H280</f>
        <v>130783.90510481574</v>
      </c>
      <c r="F42" s="735">
        <f>$G$6</f>
        <v>0.2462</v>
      </c>
      <c r="G42" s="734">
        <f>D42*((E42*F42)+E42)</f>
        <v>162982.90254162138</v>
      </c>
    </row>
    <row r="43" spans="1:9" ht="12.75">
      <c r="A43" s="732" t="s">
        <v>2814</v>
      </c>
      <c r="B43" s="731" t="s">
        <v>3537</v>
      </c>
      <c r="C43" s="732" t="s">
        <v>3536</v>
      </c>
      <c r="D43" s="733">
        <v>1</v>
      </c>
      <c r="E43" s="734">
        <f>'Custos Canais'!H287</f>
        <v>1375808.2286907211</v>
      </c>
      <c r="F43" s="735">
        <f>$G$7</f>
        <v>0.15279999999999999</v>
      </c>
      <c r="G43" s="734">
        <f>D43*((E43*F43)+E43)</f>
        <v>1586031.7260346632</v>
      </c>
    </row>
    <row r="44" spans="1:9" ht="12.75">
      <c r="A44" s="732"/>
      <c r="B44" s="739"/>
      <c r="C44" s="740"/>
      <c r="D44" s="741"/>
      <c r="E44" s="734"/>
      <c r="F44" s="742"/>
      <c r="G44" s="742"/>
    </row>
    <row r="45" spans="1:9" ht="12.75">
      <c r="A45" s="1055" t="s">
        <v>3599</v>
      </c>
      <c r="B45" s="1056"/>
      <c r="C45" s="1056"/>
      <c r="D45" s="1057"/>
      <c r="E45" s="743">
        <f>E41+E38+E35+E32+E29+E27+E22+E19+E14</f>
        <v>74489925.337852523</v>
      </c>
      <c r="F45" s="744"/>
      <c r="G45" s="743">
        <f>G41+G38+G35+G32+G29+G27+G22+G19+G14</f>
        <v>91971634.180016845</v>
      </c>
    </row>
    <row r="46" spans="1:9">
      <c r="A46" s="745"/>
      <c r="B46" s="746"/>
      <c r="C46" s="746"/>
      <c r="D46" s="746"/>
      <c r="E46" s="746"/>
    </row>
    <row r="47" spans="1:9">
      <c r="A47" s="747"/>
      <c r="G47" s="719"/>
      <c r="H47" s="718"/>
    </row>
    <row r="48" spans="1:9">
      <c r="A48" s="747"/>
      <c r="G48" s="748"/>
      <c r="H48" s="718"/>
      <c r="I48" s="749"/>
    </row>
    <row r="49" spans="1:9">
      <c r="A49" s="747"/>
      <c r="G49" s="719"/>
      <c r="H49" s="718"/>
      <c r="I49" s="749"/>
    </row>
    <row r="50" spans="1:9">
      <c r="H50" s="718"/>
    </row>
    <row r="51" spans="1:9">
      <c r="H51" s="718"/>
    </row>
    <row r="52" spans="1:9">
      <c r="G52" s="749"/>
    </row>
    <row r="53" spans="1:9">
      <c r="G53" s="719"/>
    </row>
  </sheetData>
  <mergeCells count="10">
    <mergeCell ref="A45:D45"/>
    <mergeCell ref="A1:G1"/>
    <mergeCell ref="A2:G2"/>
    <mergeCell ref="A9:A10"/>
    <mergeCell ref="B9:B10"/>
    <mergeCell ref="C9:C10"/>
    <mergeCell ref="D9:D10"/>
    <mergeCell ref="E9:G9"/>
    <mergeCell ref="A4:G4"/>
    <mergeCell ref="E6:E7"/>
  </mergeCells>
  <conditionalFormatting sqref="G6:G7 J6:J7">
    <cfRule type="expression" dxfId="15" priority="1" stopIfTrue="1">
      <formula>#REF!="Não"</formula>
    </cfRule>
  </conditionalFormatting>
  <printOptions horizontalCentered="1"/>
  <pageMargins left="0.51181102362204722" right="0.51181102362204722" top="0.78740157480314965" bottom="0.78740157480314965" header="0.31496062992125984" footer="0.31496062992125984"/>
  <pageSetup paperSize="9" scale="7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pageSetUpPr autoPageBreaks="0" fitToPage="1"/>
  </sheetPr>
  <dimension ref="A1:O839"/>
  <sheetViews>
    <sheetView showGridLines="0" showZeros="0" showRuler="0" showWhiteSpace="0" view="pageBreakPreview" zoomScale="80" zoomScaleNormal="55" zoomScaleSheetLayoutView="80" zoomScalePageLayoutView="60" workbookViewId="0">
      <pane ySplit="22" topLeftCell="A825" activePane="bottomLeft" state="frozen"/>
      <selection activeCell="H814" sqref="H814:H832"/>
      <selection pane="bottomLeft" activeCell="E753" sqref="E753:E776"/>
    </sheetView>
  </sheetViews>
  <sheetFormatPr defaultColWidth="9.140625" defaultRowHeight="15.75" outlineLevelRow="1"/>
  <cols>
    <col min="1" max="1" width="10.42578125" style="50" customWidth="1"/>
    <col min="2" max="2" width="12" style="48" customWidth="1"/>
    <col min="3" max="3" width="85" style="49" customWidth="1"/>
    <col min="4" max="4" width="9.140625" style="141" customWidth="1"/>
    <col min="5" max="5" width="19.7109375" style="50" customWidth="1"/>
    <col min="6" max="6" width="17.42578125" style="50" customWidth="1"/>
    <col min="7" max="8" width="22" style="50" customWidth="1"/>
    <col min="9" max="9" width="28.85546875" style="50" customWidth="1"/>
    <col min="10" max="10" width="14" style="50" customWidth="1"/>
    <col min="11" max="11" width="22.7109375" style="50" customWidth="1"/>
    <col min="12" max="13" width="18.28515625" style="50" customWidth="1"/>
    <col min="14" max="14" width="15.42578125" style="50" customWidth="1"/>
    <col min="15" max="15" width="14.5703125" style="50" customWidth="1"/>
    <col min="16" max="16384" width="9.140625" style="50"/>
  </cols>
  <sheetData>
    <row r="1" spans="2:13">
      <c r="G1" s="244"/>
      <c r="H1" s="244"/>
    </row>
    <row r="2" spans="2:13" hidden="1">
      <c r="L2" s="124" t="s">
        <v>2749</v>
      </c>
      <c r="M2" s="124" t="s">
        <v>2750</v>
      </c>
    </row>
    <row r="3" spans="2:13" hidden="1">
      <c r="B3" s="142"/>
      <c r="C3" s="143"/>
      <c r="D3" s="144"/>
      <c r="E3" s="143"/>
      <c r="F3" s="143"/>
      <c r="G3" s="143"/>
      <c r="H3" s="143"/>
      <c r="I3" s="143"/>
      <c r="J3" s="143"/>
      <c r="K3" s="186"/>
      <c r="L3" s="786" t="e">
        <f>SUMIF($I$21:$K$832,#REF!,#REF!)-0.03</f>
        <v>#REF!</v>
      </c>
      <c r="M3" s="755" t="e">
        <f>ROUND(L3*#REF!,2)</f>
        <v>#REF!</v>
      </c>
    </row>
    <row r="4" spans="2:13" ht="18.75" hidden="1">
      <c r="B4" s="1065" t="s">
        <v>3056</v>
      </c>
      <c r="C4" s="1066"/>
      <c r="D4" s="1066"/>
      <c r="E4" s="1066"/>
      <c r="F4" s="1066"/>
      <c r="G4" s="1066"/>
      <c r="H4" s="1066"/>
      <c r="I4" s="1066"/>
      <c r="J4" s="1066"/>
      <c r="K4" s="187"/>
      <c r="L4" s="786" t="e">
        <f>SUMIF($I$21:$K$832,#REF!,#REF!)-0.03</f>
        <v>#REF!</v>
      </c>
      <c r="M4" s="755" t="e">
        <f>ROUND(L4*#REF!,2)</f>
        <v>#REF!</v>
      </c>
    </row>
    <row r="5" spans="2:13" ht="18.75" hidden="1">
      <c r="B5" s="1067" t="s">
        <v>4</v>
      </c>
      <c r="C5" s="1068"/>
      <c r="D5" s="1068"/>
      <c r="E5" s="1068"/>
      <c r="F5" s="1068"/>
      <c r="G5" s="1068"/>
      <c r="H5" s="1068"/>
      <c r="I5" s="1068"/>
      <c r="J5" s="1068"/>
      <c r="K5" s="187"/>
      <c r="L5" s="786" t="e">
        <f>SUMIF($I$21:$K$832,#REF!,#REF!)-0.05</f>
        <v>#REF!</v>
      </c>
      <c r="M5" s="755" t="e">
        <f>ROUND(L5*#REF!,2)</f>
        <v>#REF!</v>
      </c>
    </row>
    <row r="6" spans="2:13" ht="18.75" hidden="1">
      <c r="B6" s="1067" t="s">
        <v>1527</v>
      </c>
      <c r="C6" s="1068"/>
      <c r="D6" s="1068"/>
      <c r="E6" s="1068"/>
      <c r="F6" s="1068"/>
      <c r="G6" s="1068"/>
      <c r="H6" s="1068"/>
      <c r="I6" s="1068"/>
      <c r="J6" s="1068"/>
      <c r="K6" s="187"/>
      <c r="L6" s="786" t="e">
        <f>SUMIF($I$21:$K$832,#REF!,#REF!)-0.01</f>
        <v>#REF!</v>
      </c>
      <c r="M6" s="755" t="e">
        <f>ROUND(L6*#REF!,2)</f>
        <v>#REF!</v>
      </c>
    </row>
    <row r="7" spans="2:13" ht="16.5" hidden="1" thickBot="1">
      <c r="B7" s="147"/>
      <c r="C7" s="148"/>
      <c r="D7" s="149"/>
      <c r="E7" s="150"/>
      <c r="F7" s="150"/>
      <c r="G7" s="150"/>
      <c r="H7" s="150"/>
      <c r="I7" s="150"/>
      <c r="J7" s="150"/>
      <c r="K7" s="188"/>
      <c r="L7" s="786" t="e">
        <f>SUMIF($I$21:$K$832,#REF!,#REF!)</f>
        <v>#REF!</v>
      </c>
      <c r="M7" s="755" t="e">
        <f>ROUND(L7*#REF!,2)</f>
        <v>#REF!</v>
      </c>
    </row>
    <row r="8" spans="2:13" ht="24" hidden="1" thickBot="1">
      <c r="B8" s="1069" t="s">
        <v>3058</v>
      </c>
      <c r="C8" s="1070"/>
      <c r="D8" s="1070"/>
      <c r="E8" s="1070"/>
      <c r="F8" s="1070"/>
      <c r="G8" s="1070"/>
      <c r="H8" s="1070"/>
      <c r="I8" s="1070"/>
      <c r="J8" s="1070"/>
      <c r="K8" s="189"/>
      <c r="L8" s="786" t="e">
        <f>SUMIF($I$21:$K$832,#REF!,#REF!)-0.02</f>
        <v>#REF!</v>
      </c>
      <c r="M8" s="755" t="e">
        <f>ROUND(L8*#REF!,2)</f>
        <v>#REF!</v>
      </c>
    </row>
    <row r="9" spans="2:13" hidden="1">
      <c r="B9" s="152" t="s">
        <v>7</v>
      </c>
      <c r="C9" s="153" t="s">
        <v>1519</v>
      </c>
      <c r="D9" s="154"/>
      <c r="E9" s="196" t="s">
        <v>1535</v>
      </c>
      <c r="F9" s="145"/>
      <c r="G9" s="145"/>
      <c r="H9" s="145"/>
      <c r="I9" s="198"/>
      <c r="J9" s="1071" t="e">
        <f>CONCATENATE(#REF!," ",#REF!)</f>
        <v>#REF!</v>
      </c>
      <c r="K9" s="160"/>
      <c r="L9" s="207" t="e">
        <f>SUM(L3:L8)</f>
        <v>#REF!</v>
      </c>
      <c r="M9" s="207" t="e">
        <f>SUM(M3:M8)</f>
        <v>#REF!</v>
      </c>
    </row>
    <row r="10" spans="2:13" hidden="1">
      <c r="B10" s="155" t="s">
        <v>6</v>
      </c>
      <c r="C10" s="156" t="s">
        <v>1530</v>
      </c>
      <c r="D10" s="157"/>
      <c r="E10" s="197" t="s">
        <v>5</v>
      </c>
      <c r="F10" s="146"/>
      <c r="G10" s="159"/>
      <c r="H10" s="159"/>
      <c r="I10" s="756"/>
      <c r="J10" s="1072"/>
      <c r="K10" s="160"/>
      <c r="L10" s="208" t="e">
        <f>L9-#REF!</f>
        <v>#REF!</v>
      </c>
      <c r="M10" s="123"/>
    </row>
    <row r="11" spans="2:13" hidden="1">
      <c r="B11" s="155" t="s">
        <v>8</v>
      </c>
      <c r="C11" s="156" t="s">
        <v>1483</v>
      </c>
      <c r="D11" s="157"/>
      <c r="E11" s="197" t="s">
        <v>1537</v>
      </c>
      <c r="F11" s="146"/>
      <c r="G11" s="159"/>
      <c r="H11" s="159"/>
      <c r="I11" s="756"/>
      <c r="J11" s="1072"/>
      <c r="K11" s="160"/>
    </row>
    <row r="12" spans="2:13" hidden="1">
      <c r="B12" s="155" t="s">
        <v>9</v>
      </c>
      <c r="C12" s="156" t="s">
        <v>1488</v>
      </c>
      <c r="D12" s="157"/>
      <c r="E12" s="197" t="s">
        <v>3057</v>
      </c>
      <c r="F12" s="146"/>
      <c r="G12" s="159"/>
      <c r="H12" s="159"/>
      <c r="I12" s="199"/>
      <c r="J12" s="1072" t="e">
        <f>CONCATENATE(#REF!," ",#REF!)</f>
        <v>#REF!</v>
      </c>
      <c r="K12" s="161"/>
    </row>
    <row r="13" spans="2:13" hidden="1">
      <c r="B13" s="155" t="s">
        <v>10</v>
      </c>
      <c r="C13" s="162">
        <v>79745584.319999993</v>
      </c>
      <c r="D13" s="163"/>
      <c r="E13" s="197" t="e">
        <f>#REF!</f>
        <v>#REF!</v>
      </c>
      <c r="F13" s="146"/>
      <c r="G13" s="159"/>
      <c r="H13" s="159"/>
      <c r="I13" s="756"/>
      <c r="J13" s="1072"/>
      <c r="K13" s="160"/>
    </row>
    <row r="14" spans="2:13" hidden="1">
      <c r="B14" s="164" t="s">
        <v>1529</v>
      </c>
      <c r="C14" s="157"/>
      <c r="D14" s="163"/>
      <c r="E14" s="197" t="e">
        <f>#REF!</f>
        <v>#REF!</v>
      </c>
      <c r="F14" s="146"/>
      <c r="G14" s="159"/>
      <c r="H14" s="159"/>
      <c r="I14" s="756"/>
      <c r="J14" s="1072"/>
      <c r="K14" s="160"/>
    </row>
    <row r="15" spans="2:13" hidden="1">
      <c r="B15" s="165"/>
      <c r="C15" s="157"/>
      <c r="D15" s="163"/>
      <c r="E15" s="197" t="e">
        <f>#REF!</f>
        <v>#REF!</v>
      </c>
      <c r="F15" s="146"/>
      <c r="G15" s="146"/>
      <c r="H15" s="146"/>
      <c r="I15" s="199"/>
      <c r="J15" s="1080" t="e">
        <f>CONCATENATE(#REF!," ",#REF!)</f>
        <v>#REF!</v>
      </c>
      <c r="K15" s="161"/>
    </row>
    <row r="16" spans="2:13" hidden="1">
      <c r="B16" s="165"/>
      <c r="C16" s="157"/>
      <c r="D16" s="163"/>
      <c r="E16" s="158"/>
      <c r="F16" s="146"/>
      <c r="G16" s="146"/>
      <c r="H16" s="146"/>
      <c r="I16" s="199"/>
      <c r="J16" s="1074"/>
      <c r="K16" s="161"/>
    </row>
    <row r="17" spans="1:15" hidden="1">
      <c r="B17" s="165"/>
      <c r="C17" s="157"/>
      <c r="D17" s="163"/>
      <c r="E17" s="158"/>
      <c r="F17" s="146"/>
      <c r="G17" s="146"/>
      <c r="H17" s="146"/>
      <c r="I17" s="199"/>
      <c r="J17" s="1074"/>
      <c r="K17" s="161"/>
    </row>
    <row r="18" spans="1:15" hidden="1">
      <c r="B18" s="165"/>
      <c r="C18" s="157"/>
      <c r="D18" s="163"/>
      <c r="E18" s="158"/>
      <c r="F18" s="146"/>
      <c r="G18" s="146"/>
      <c r="H18" s="146"/>
      <c r="I18" s="756"/>
      <c r="J18" s="1074"/>
      <c r="K18" s="160"/>
    </row>
    <row r="19" spans="1:15" ht="16.5" hidden="1" thickBot="1">
      <c r="B19" s="167"/>
      <c r="C19" s="168"/>
      <c r="D19" s="169"/>
      <c r="E19" s="170"/>
      <c r="F19" s="151"/>
      <c r="G19" s="151"/>
      <c r="H19" s="151"/>
      <c r="I19" s="168"/>
      <c r="J19" s="1075"/>
      <c r="K19" s="138"/>
    </row>
    <row r="20" spans="1:15" hidden="1">
      <c r="B20" s="371"/>
      <c r="C20" s="372"/>
      <c r="D20" s="373"/>
      <c r="E20" s="126"/>
      <c r="F20" s="126"/>
      <c r="G20" s="374"/>
      <c r="H20" s="374"/>
      <c r="I20" s="126"/>
      <c r="J20" s="126"/>
      <c r="K20" s="126"/>
    </row>
    <row r="21" spans="1:15" ht="24" customHeight="1">
      <c r="B21" s="787"/>
      <c r="C21" s="787"/>
      <c r="D21" s="787" t="s">
        <v>11</v>
      </c>
      <c r="E21" s="1081" t="s">
        <v>3053</v>
      </c>
      <c r="F21" s="1081"/>
      <c r="G21" s="1081"/>
      <c r="H21" s="788"/>
      <c r="I21" s="1082" t="s">
        <v>2745</v>
      </c>
      <c r="J21" s="1083"/>
      <c r="K21" s="137"/>
    </row>
    <row r="22" spans="1:15" ht="38.25" customHeight="1" thickBot="1">
      <c r="B22" s="375" t="s">
        <v>0</v>
      </c>
      <c r="C22" s="376" t="s">
        <v>1520</v>
      </c>
      <c r="D22" s="375"/>
      <c r="E22" s="108" t="s">
        <v>1531</v>
      </c>
      <c r="F22" s="108" t="s">
        <v>3571</v>
      </c>
      <c r="G22" s="108" t="s">
        <v>3190</v>
      </c>
      <c r="H22" s="108" t="s">
        <v>3191</v>
      </c>
      <c r="I22" s="377" t="s">
        <v>1491</v>
      </c>
      <c r="J22" s="377" t="s">
        <v>1490</v>
      </c>
      <c r="K22" s="209"/>
      <c r="L22" s="761" t="s">
        <v>3471</v>
      </c>
      <c r="M22" s="762" t="s">
        <v>1400</v>
      </c>
      <c r="N22" s="762" t="s">
        <v>1546</v>
      </c>
      <c r="O22" s="762" t="s">
        <v>3472</v>
      </c>
    </row>
    <row r="23" spans="1:15" s="98" customFormat="1">
      <c r="B23" s="789" t="s">
        <v>3061</v>
      </c>
      <c r="C23" s="101" t="s">
        <v>3166</v>
      </c>
      <c r="D23" s="74"/>
      <c r="E23" s="75"/>
      <c r="F23" s="75"/>
      <c r="G23" s="75">
        <f>+G24+G334+G673+G734+G793+G813</f>
        <v>12698594.620141655</v>
      </c>
      <c r="H23" s="75">
        <f>+H24+H334+H673+H734+H793+H813</f>
        <v>51512609.035008803</v>
      </c>
      <c r="I23" s="110">
        <v>0</v>
      </c>
      <c r="J23" s="73"/>
      <c r="K23" s="138"/>
      <c r="L23" s="763"/>
      <c r="M23" s="764">
        <v>0.4</v>
      </c>
      <c r="N23" s="764">
        <v>0.375</v>
      </c>
      <c r="O23" s="763"/>
    </row>
    <row r="24" spans="1:15" s="98" customFormat="1" outlineLevel="1">
      <c r="B24" s="115" t="s">
        <v>3062</v>
      </c>
      <c r="C24" s="102" t="s">
        <v>1407</v>
      </c>
      <c r="D24" s="85"/>
      <c r="E24" s="63"/>
      <c r="F24" s="63"/>
      <c r="G24" s="63">
        <f>SUM(G25:G333)</f>
        <v>3345955.3003357882</v>
      </c>
      <c r="H24" s="63">
        <f>SUM(H25:H333)</f>
        <v>13181332.012629826</v>
      </c>
      <c r="I24" s="111">
        <v>0</v>
      </c>
      <c r="J24" s="86"/>
      <c r="K24" s="191"/>
      <c r="L24" s="763"/>
      <c r="M24" s="763"/>
      <c r="N24" s="763"/>
      <c r="O24" s="763"/>
    </row>
    <row r="25" spans="1:15" s="98" customFormat="1" outlineLevel="1">
      <c r="A25" s="141" t="s">
        <v>3478</v>
      </c>
      <c r="B25" s="114" t="s">
        <v>286</v>
      </c>
      <c r="C25" s="100" t="s">
        <v>1743</v>
      </c>
      <c r="D25" s="99" t="s">
        <v>1472</v>
      </c>
      <c r="E25" s="491">
        <v>860</v>
      </c>
      <c r="F25" s="20">
        <f>O25</f>
        <v>13.607142857142858</v>
      </c>
      <c r="G25" s="19">
        <f t="shared" ref="G25:G88" si="0">E25*F25</f>
        <v>11702.142857142857</v>
      </c>
      <c r="H25" s="19">
        <f>G25*(1+J25)</f>
        <v>53197.941428571423</v>
      </c>
      <c r="I25" s="114" t="s">
        <v>1522</v>
      </c>
      <c r="J25" s="210">
        <f>VLOOKUP(I25,'Reajuste Atual'!$L$19:$M$25,2,FALSE)</f>
        <v>3.5459999999999998</v>
      </c>
      <c r="K25" s="190"/>
      <c r="L25" s="763">
        <v>19.05</v>
      </c>
      <c r="M25" s="765">
        <f>L25/($M$23+1)</f>
        <v>13.607142857142858</v>
      </c>
      <c r="N25" s="765">
        <f>L25/($N$23+1)</f>
        <v>13.854545454545455</v>
      </c>
      <c r="O25" s="765">
        <f>IF(A25="S",M25,N25)</f>
        <v>13.607142857142858</v>
      </c>
    </row>
    <row r="26" spans="1:15" s="98" customFormat="1" outlineLevel="1">
      <c r="A26" s="141" t="s">
        <v>3478</v>
      </c>
      <c r="B26" s="114" t="s">
        <v>287</v>
      </c>
      <c r="C26" s="100" t="s">
        <v>1744</v>
      </c>
      <c r="D26" s="99" t="s">
        <v>1469</v>
      </c>
      <c r="E26" s="491">
        <v>2</v>
      </c>
      <c r="F26" s="20">
        <f t="shared" ref="F26:F89" si="1">O26</f>
        <v>1186.2428571428572</v>
      </c>
      <c r="G26" s="19">
        <f t="shared" si="0"/>
        <v>2372.4857142857145</v>
      </c>
      <c r="H26" s="19">
        <f t="shared" ref="H26:H89" si="2">G26*(1+J26)</f>
        <v>8195.7519000000011</v>
      </c>
      <c r="I26" s="114" t="s">
        <v>1523</v>
      </c>
      <c r="J26" s="210">
        <f>VLOOKUP(I26,'Reajuste Atual'!$L$19:$M$25,2,FALSE)</f>
        <v>2.4544999999999999</v>
      </c>
      <c r="K26" s="190"/>
      <c r="L26" s="20">
        <v>1660.74</v>
      </c>
      <c r="M26" s="765">
        <f>L26/($M$23+1)</f>
        <v>1186.2428571428572</v>
      </c>
      <c r="N26" s="765">
        <f t="shared" ref="N26:N89" si="3">L26/($N$23+1)</f>
        <v>1207.810909090909</v>
      </c>
      <c r="O26" s="765">
        <f>IF(A26="S",M26,N26)</f>
        <v>1186.2428571428572</v>
      </c>
    </row>
    <row r="27" spans="1:15" s="98" customFormat="1" outlineLevel="1">
      <c r="A27" s="141" t="s">
        <v>3478</v>
      </c>
      <c r="B27" s="114" t="s">
        <v>288</v>
      </c>
      <c r="C27" s="100" t="s">
        <v>1568</v>
      </c>
      <c r="D27" s="99" t="s">
        <v>1467</v>
      </c>
      <c r="E27" s="491">
        <v>7600</v>
      </c>
      <c r="F27" s="20">
        <f t="shared" si="1"/>
        <v>3.9571428571428573</v>
      </c>
      <c r="G27" s="19">
        <f t="shared" si="0"/>
        <v>30074.285714285714</v>
      </c>
      <c r="H27" s="19">
        <f t="shared" si="2"/>
        <v>103891.62</v>
      </c>
      <c r="I27" s="114" t="s">
        <v>1523</v>
      </c>
      <c r="J27" s="210">
        <f>VLOOKUP(I27,'Reajuste Atual'!$L$19:$M$25,2,FALSE)</f>
        <v>2.4544999999999999</v>
      </c>
      <c r="K27" s="190"/>
      <c r="L27" s="20">
        <v>5.54</v>
      </c>
      <c r="M27" s="765">
        <f t="shared" ref="M27:M90" si="4">L27/($M$23+1)</f>
        <v>3.9571428571428573</v>
      </c>
      <c r="N27" s="765">
        <f t="shared" si="3"/>
        <v>4.0290909090909093</v>
      </c>
      <c r="O27" s="765">
        <f>IF(A27="S",M27,N27)</f>
        <v>3.9571428571428573</v>
      </c>
    </row>
    <row r="28" spans="1:15" s="98" customFormat="1" outlineLevel="1">
      <c r="A28" s="141" t="s">
        <v>3478</v>
      </c>
      <c r="B28" s="114" t="s">
        <v>289</v>
      </c>
      <c r="C28" s="100" t="s">
        <v>1568</v>
      </c>
      <c r="D28" s="99" t="s">
        <v>1467</v>
      </c>
      <c r="E28" s="850">
        <v>0</v>
      </c>
      <c r="F28" s="20">
        <f t="shared" si="1"/>
        <v>3.9571428571428573</v>
      </c>
      <c r="G28" s="19">
        <f t="shared" si="0"/>
        <v>0</v>
      </c>
      <c r="H28" s="19">
        <f t="shared" si="2"/>
        <v>0</v>
      </c>
      <c r="I28" s="114" t="s">
        <v>1523</v>
      </c>
      <c r="J28" s="210">
        <f>VLOOKUP(I28,'Reajuste Atual'!$L$19:$M$25,2,FALSE)</f>
        <v>2.4544999999999999</v>
      </c>
      <c r="K28" s="190"/>
      <c r="L28" s="20">
        <v>5.54</v>
      </c>
      <c r="M28" s="765">
        <f t="shared" si="4"/>
        <v>3.9571428571428573</v>
      </c>
      <c r="N28" s="765">
        <f t="shared" si="3"/>
        <v>4.0290909090909093</v>
      </c>
      <c r="O28" s="765">
        <f t="shared" ref="O28:O91" si="5">IF(A28="S",M28,N28)</f>
        <v>3.9571428571428573</v>
      </c>
    </row>
    <row r="29" spans="1:15" s="98" customFormat="1" outlineLevel="1">
      <c r="A29" s="141" t="s">
        <v>3478</v>
      </c>
      <c r="B29" s="114" t="s">
        <v>290</v>
      </c>
      <c r="C29" s="100" t="s">
        <v>1745</v>
      </c>
      <c r="D29" s="99" t="s">
        <v>1467</v>
      </c>
      <c r="E29" s="491">
        <v>920</v>
      </c>
      <c r="F29" s="20">
        <f t="shared" si="1"/>
        <v>4.2214285714285715</v>
      </c>
      <c r="G29" s="19">
        <f t="shared" si="0"/>
        <v>3883.7142857142858</v>
      </c>
      <c r="H29" s="19">
        <f t="shared" si="2"/>
        <v>13416.290999999999</v>
      </c>
      <c r="I29" s="114" t="s">
        <v>1523</v>
      </c>
      <c r="J29" s="210">
        <f>VLOOKUP(I29,'Reajuste Atual'!$L$19:$M$25,2,FALSE)</f>
        <v>2.4544999999999999</v>
      </c>
      <c r="K29" s="190"/>
      <c r="L29" s="20">
        <v>5.91</v>
      </c>
      <c r="M29" s="765">
        <f t="shared" si="4"/>
        <v>4.2214285714285715</v>
      </c>
      <c r="N29" s="765">
        <f t="shared" si="3"/>
        <v>4.2981818181818179</v>
      </c>
      <c r="O29" s="765">
        <f t="shared" si="5"/>
        <v>4.2214285714285715</v>
      </c>
    </row>
    <row r="30" spans="1:15" s="98" customFormat="1" outlineLevel="1">
      <c r="A30" s="141" t="s">
        <v>3478</v>
      </c>
      <c r="B30" s="114" t="s">
        <v>291</v>
      </c>
      <c r="C30" s="100" t="s">
        <v>1745</v>
      </c>
      <c r="D30" s="99" t="s">
        <v>1467</v>
      </c>
      <c r="E30" s="850">
        <v>0</v>
      </c>
      <c r="F30" s="20">
        <f t="shared" si="1"/>
        <v>4.2214285714285715</v>
      </c>
      <c r="G30" s="19">
        <f t="shared" si="0"/>
        <v>0</v>
      </c>
      <c r="H30" s="19">
        <f t="shared" si="2"/>
        <v>0</v>
      </c>
      <c r="I30" s="114" t="s">
        <v>1523</v>
      </c>
      <c r="J30" s="210">
        <f>VLOOKUP(I30,'Reajuste Atual'!$L$19:$M$25,2,FALSE)</f>
        <v>2.4544999999999999</v>
      </c>
      <c r="K30" s="190"/>
      <c r="L30" s="20">
        <v>5.91</v>
      </c>
      <c r="M30" s="765">
        <f t="shared" si="4"/>
        <v>4.2214285714285715</v>
      </c>
      <c r="N30" s="765">
        <f t="shared" si="3"/>
        <v>4.2981818181818179</v>
      </c>
      <c r="O30" s="765">
        <f t="shared" si="5"/>
        <v>4.2214285714285715</v>
      </c>
    </row>
    <row r="31" spans="1:15" s="98" customFormat="1" outlineLevel="1">
      <c r="A31" s="141" t="s">
        <v>3478</v>
      </c>
      <c r="B31" s="114" t="s">
        <v>292</v>
      </c>
      <c r="C31" s="100" t="s">
        <v>1569</v>
      </c>
      <c r="D31" s="99" t="s">
        <v>1467</v>
      </c>
      <c r="E31" s="491">
        <v>880</v>
      </c>
      <c r="F31" s="20">
        <f t="shared" si="1"/>
        <v>5.2928571428571436</v>
      </c>
      <c r="G31" s="19">
        <f t="shared" si="0"/>
        <v>4657.7142857142862</v>
      </c>
      <c r="H31" s="19">
        <f t="shared" si="2"/>
        <v>16090.074000000001</v>
      </c>
      <c r="I31" s="114" t="s">
        <v>1523</v>
      </c>
      <c r="J31" s="210">
        <f>VLOOKUP(I31,'Reajuste Atual'!$L$19:$M$25,2,FALSE)</f>
        <v>2.4544999999999999</v>
      </c>
      <c r="K31" s="190"/>
      <c r="L31" s="20">
        <v>7.41</v>
      </c>
      <c r="M31" s="765">
        <f t="shared" si="4"/>
        <v>5.2928571428571436</v>
      </c>
      <c r="N31" s="765">
        <f t="shared" si="3"/>
        <v>5.3890909090909096</v>
      </c>
      <c r="O31" s="765">
        <f t="shared" si="5"/>
        <v>5.2928571428571436</v>
      </c>
    </row>
    <row r="32" spans="1:15" s="98" customFormat="1" outlineLevel="1">
      <c r="A32" s="141" t="s">
        <v>3478</v>
      </c>
      <c r="B32" s="114" t="s">
        <v>293</v>
      </c>
      <c r="C32" s="100" t="s">
        <v>1746</v>
      </c>
      <c r="D32" s="99" t="s">
        <v>1475</v>
      </c>
      <c r="E32" s="491">
        <v>3040</v>
      </c>
      <c r="F32" s="20">
        <f t="shared" si="1"/>
        <v>0.8214285714285714</v>
      </c>
      <c r="G32" s="19">
        <f t="shared" si="0"/>
        <v>2497.1428571428569</v>
      </c>
      <c r="H32" s="19">
        <f t="shared" si="2"/>
        <v>8626.3799999999992</v>
      </c>
      <c r="I32" s="114" t="s">
        <v>1523</v>
      </c>
      <c r="J32" s="210">
        <f>VLOOKUP(I32,'Reajuste Atual'!$L$19:$M$25,2,FALSE)</f>
        <v>2.4544999999999999</v>
      </c>
      <c r="K32" s="190"/>
      <c r="L32" s="20">
        <v>1.1499999999999999</v>
      </c>
      <c r="M32" s="765">
        <f t="shared" si="4"/>
        <v>0.8214285714285714</v>
      </c>
      <c r="N32" s="765">
        <f t="shared" si="3"/>
        <v>0.83636363636363631</v>
      </c>
      <c r="O32" s="765">
        <f t="shared" si="5"/>
        <v>0.8214285714285714</v>
      </c>
    </row>
    <row r="33" spans="1:15" s="98" customFormat="1" outlineLevel="1">
      <c r="A33" s="141" t="s">
        <v>3478</v>
      </c>
      <c r="B33" s="114" t="s">
        <v>294</v>
      </c>
      <c r="C33" s="100" t="s">
        <v>1747</v>
      </c>
      <c r="D33" s="99" t="s">
        <v>1467</v>
      </c>
      <c r="E33" s="491">
        <v>128.5</v>
      </c>
      <c r="F33" s="20">
        <f t="shared" si="1"/>
        <v>168.82857142857145</v>
      </c>
      <c r="G33" s="19">
        <f t="shared" si="0"/>
        <v>21694.471428571433</v>
      </c>
      <c r="H33" s="19">
        <f t="shared" si="2"/>
        <v>79139.262324285723</v>
      </c>
      <c r="I33" s="114" t="s">
        <v>1526</v>
      </c>
      <c r="J33" s="210">
        <f>VLOOKUP(I33,'Reajuste Atual'!$L$19:$M$25,2,FALSE)</f>
        <v>2.6478999999999999</v>
      </c>
      <c r="K33" s="190"/>
      <c r="L33" s="20">
        <v>236.36</v>
      </c>
      <c r="M33" s="765">
        <f t="shared" si="4"/>
        <v>168.82857142857145</v>
      </c>
      <c r="N33" s="765">
        <f t="shared" si="3"/>
        <v>171.89818181818183</v>
      </c>
      <c r="O33" s="765">
        <f t="shared" si="5"/>
        <v>168.82857142857145</v>
      </c>
    </row>
    <row r="34" spans="1:15" s="98" customFormat="1" outlineLevel="1">
      <c r="A34" s="141" t="s">
        <v>3478</v>
      </c>
      <c r="B34" s="114" t="s">
        <v>295</v>
      </c>
      <c r="C34" s="100" t="s">
        <v>1563</v>
      </c>
      <c r="D34" s="99" t="s">
        <v>1467</v>
      </c>
      <c r="E34" s="491">
        <v>2840</v>
      </c>
      <c r="F34" s="20">
        <f t="shared" si="1"/>
        <v>203.15000000000003</v>
      </c>
      <c r="G34" s="19">
        <f t="shared" si="0"/>
        <v>576946.00000000012</v>
      </c>
      <c r="H34" s="19">
        <f t="shared" si="2"/>
        <v>2104641.3134000003</v>
      </c>
      <c r="I34" s="114" t="s">
        <v>1526</v>
      </c>
      <c r="J34" s="210">
        <f>VLOOKUP(I34,'Reajuste Atual'!$L$19:$M$25,2,FALSE)</f>
        <v>2.6478999999999999</v>
      </c>
      <c r="K34" s="190"/>
      <c r="L34" s="20">
        <v>284.41000000000003</v>
      </c>
      <c r="M34" s="765">
        <f t="shared" si="4"/>
        <v>203.15000000000003</v>
      </c>
      <c r="N34" s="765">
        <f t="shared" si="3"/>
        <v>206.84363636363639</v>
      </c>
      <c r="O34" s="765">
        <f t="shared" si="5"/>
        <v>203.15000000000003</v>
      </c>
    </row>
    <row r="35" spans="1:15" s="98" customFormat="1" outlineLevel="1">
      <c r="A35" s="141" t="s">
        <v>3478</v>
      </c>
      <c r="B35" s="114" t="s">
        <v>296</v>
      </c>
      <c r="C35" s="100" t="s">
        <v>1748</v>
      </c>
      <c r="D35" s="99" t="s">
        <v>1470</v>
      </c>
      <c r="E35" s="491">
        <v>1880</v>
      </c>
      <c r="F35" s="20">
        <f t="shared" si="1"/>
        <v>28.228571428571431</v>
      </c>
      <c r="G35" s="19">
        <f t="shared" si="0"/>
        <v>53069.71428571429</v>
      </c>
      <c r="H35" s="19">
        <f t="shared" si="2"/>
        <v>193593.01074285715</v>
      </c>
      <c r="I35" s="114" t="s">
        <v>1526</v>
      </c>
      <c r="J35" s="210">
        <f>VLOOKUP(I35,'Reajuste Atual'!$L$19:$M$25,2,FALSE)</f>
        <v>2.6478999999999999</v>
      </c>
      <c r="K35" s="190"/>
      <c r="L35" s="20">
        <v>39.520000000000003</v>
      </c>
      <c r="M35" s="765">
        <f t="shared" si="4"/>
        <v>28.228571428571431</v>
      </c>
      <c r="N35" s="765">
        <f t="shared" si="3"/>
        <v>28.741818181818186</v>
      </c>
      <c r="O35" s="765">
        <f t="shared" si="5"/>
        <v>28.228571428571431</v>
      </c>
    </row>
    <row r="36" spans="1:15" s="98" customFormat="1" outlineLevel="1">
      <c r="A36" s="141" t="s">
        <v>3478</v>
      </c>
      <c r="B36" s="114" t="s">
        <v>297</v>
      </c>
      <c r="C36" s="100" t="s">
        <v>1570</v>
      </c>
      <c r="D36" s="99" t="s">
        <v>1470</v>
      </c>
      <c r="E36" s="491">
        <v>11029</v>
      </c>
      <c r="F36" s="20">
        <f t="shared" si="1"/>
        <v>38.228571428571435</v>
      </c>
      <c r="G36" s="19">
        <f t="shared" si="0"/>
        <v>421622.91428571433</v>
      </c>
      <c r="H36" s="19">
        <f t="shared" si="2"/>
        <v>1538038.2290228573</v>
      </c>
      <c r="I36" s="114" t="s">
        <v>1526</v>
      </c>
      <c r="J36" s="210">
        <f>VLOOKUP(I36,'Reajuste Atual'!$L$19:$M$25,2,FALSE)</f>
        <v>2.6478999999999999</v>
      </c>
      <c r="K36" s="190"/>
      <c r="L36" s="20">
        <v>53.52</v>
      </c>
      <c r="M36" s="765">
        <f t="shared" si="4"/>
        <v>38.228571428571435</v>
      </c>
      <c r="N36" s="765">
        <f t="shared" si="3"/>
        <v>38.923636363636369</v>
      </c>
      <c r="O36" s="765">
        <f t="shared" si="5"/>
        <v>38.228571428571435</v>
      </c>
    </row>
    <row r="37" spans="1:15" s="98" customFormat="1" outlineLevel="1">
      <c r="A37" s="141" t="s">
        <v>3478</v>
      </c>
      <c r="B37" s="114" t="s">
        <v>298</v>
      </c>
      <c r="C37" s="100" t="s">
        <v>1749</v>
      </c>
      <c r="D37" s="99" t="s">
        <v>1478</v>
      </c>
      <c r="E37" s="491">
        <v>154800</v>
      </c>
      <c r="F37" s="20">
        <f t="shared" si="1"/>
        <v>2.7642857142857147</v>
      </c>
      <c r="G37" s="19">
        <f t="shared" si="0"/>
        <v>427911.42857142864</v>
      </c>
      <c r="H37" s="19">
        <f t="shared" si="2"/>
        <v>1560978.1002857145</v>
      </c>
      <c r="I37" s="114" t="s">
        <v>1526</v>
      </c>
      <c r="J37" s="210">
        <f>VLOOKUP(I37,'Reajuste Atual'!$L$19:$M$25,2,FALSE)</f>
        <v>2.6478999999999999</v>
      </c>
      <c r="K37" s="190"/>
      <c r="L37" s="20">
        <v>3.87</v>
      </c>
      <c r="M37" s="765">
        <f t="shared" si="4"/>
        <v>2.7642857142857147</v>
      </c>
      <c r="N37" s="765">
        <f t="shared" si="3"/>
        <v>2.8145454545454545</v>
      </c>
      <c r="O37" s="765">
        <f t="shared" si="5"/>
        <v>2.7642857142857147</v>
      </c>
    </row>
    <row r="38" spans="1:15" s="98" customFormat="1" outlineLevel="1">
      <c r="A38" s="141" t="s">
        <v>3478</v>
      </c>
      <c r="B38" s="114" t="s">
        <v>299</v>
      </c>
      <c r="C38" s="100" t="s">
        <v>1750</v>
      </c>
      <c r="D38" s="99" t="s">
        <v>1470</v>
      </c>
      <c r="E38" s="491">
        <v>2200</v>
      </c>
      <c r="F38" s="20">
        <f t="shared" si="1"/>
        <v>23.421428571428571</v>
      </c>
      <c r="G38" s="19">
        <f t="shared" si="0"/>
        <v>51527.142857142855</v>
      </c>
      <c r="H38" s="19">
        <f t="shared" si="2"/>
        <v>234242.3914285714</v>
      </c>
      <c r="I38" s="114" t="s">
        <v>1522</v>
      </c>
      <c r="J38" s="210">
        <f>VLOOKUP(I38,'Reajuste Atual'!$L$19:$M$25,2,FALSE)</f>
        <v>3.5459999999999998</v>
      </c>
      <c r="K38" s="190"/>
      <c r="L38" s="20">
        <v>32.79</v>
      </c>
      <c r="M38" s="765">
        <f t="shared" si="4"/>
        <v>23.421428571428571</v>
      </c>
      <c r="N38" s="765">
        <f t="shared" si="3"/>
        <v>23.847272727272728</v>
      </c>
      <c r="O38" s="765">
        <f t="shared" si="5"/>
        <v>23.421428571428571</v>
      </c>
    </row>
    <row r="39" spans="1:15" s="98" customFormat="1" outlineLevel="1">
      <c r="A39" s="141" t="s">
        <v>3478</v>
      </c>
      <c r="B39" s="114" t="s">
        <v>300</v>
      </c>
      <c r="C39" s="100" t="s">
        <v>1751</v>
      </c>
      <c r="D39" s="99" t="s">
        <v>1479</v>
      </c>
      <c r="E39" s="850">
        <v>0</v>
      </c>
      <c r="F39" s="20">
        <f t="shared" si="1"/>
        <v>151.37142857142857</v>
      </c>
      <c r="G39" s="19">
        <f t="shared" si="0"/>
        <v>0</v>
      </c>
      <c r="H39" s="19">
        <f t="shared" si="2"/>
        <v>0</v>
      </c>
      <c r="I39" s="114" t="s">
        <v>1522</v>
      </c>
      <c r="J39" s="210">
        <f>VLOOKUP(I39,'Reajuste Atual'!$L$19:$M$25,2,FALSE)</f>
        <v>3.5459999999999998</v>
      </c>
      <c r="K39" s="190"/>
      <c r="L39" s="20">
        <v>211.92</v>
      </c>
      <c r="M39" s="765">
        <f t="shared" si="4"/>
        <v>151.37142857142857</v>
      </c>
      <c r="N39" s="765">
        <f t="shared" si="3"/>
        <v>154.12363636363636</v>
      </c>
      <c r="O39" s="765">
        <f t="shared" si="5"/>
        <v>151.37142857142857</v>
      </c>
    </row>
    <row r="40" spans="1:15" s="98" customFormat="1" outlineLevel="1">
      <c r="A40" s="141" t="s">
        <v>3478</v>
      </c>
      <c r="B40" s="114" t="s">
        <v>301</v>
      </c>
      <c r="C40" s="100" t="s">
        <v>1402</v>
      </c>
      <c r="D40" s="99" t="s">
        <v>1470</v>
      </c>
      <c r="E40" s="491">
        <v>2200</v>
      </c>
      <c r="F40" s="20">
        <f t="shared" si="1"/>
        <v>6.2642857142857142</v>
      </c>
      <c r="G40" s="19">
        <f t="shared" si="0"/>
        <v>13781.428571428571</v>
      </c>
      <c r="H40" s="19">
        <f t="shared" si="2"/>
        <v>62650.374285714272</v>
      </c>
      <c r="I40" s="114" t="s">
        <v>1522</v>
      </c>
      <c r="J40" s="210">
        <f>VLOOKUP(I40,'Reajuste Atual'!$L$19:$M$25,2,FALSE)</f>
        <v>3.5459999999999998</v>
      </c>
      <c r="K40" s="190"/>
      <c r="L40" s="20">
        <v>8.77</v>
      </c>
      <c r="M40" s="765">
        <f t="shared" si="4"/>
        <v>6.2642857142857142</v>
      </c>
      <c r="N40" s="765">
        <f t="shared" si="3"/>
        <v>6.378181818181818</v>
      </c>
      <c r="O40" s="765">
        <f t="shared" si="5"/>
        <v>6.2642857142857142</v>
      </c>
    </row>
    <row r="41" spans="1:15" s="98" customFormat="1" outlineLevel="1">
      <c r="A41" s="141" t="s">
        <v>3478</v>
      </c>
      <c r="B41" s="114" t="s">
        <v>302</v>
      </c>
      <c r="C41" s="100" t="s">
        <v>1752</v>
      </c>
      <c r="D41" s="99" t="s">
        <v>1467</v>
      </c>
      <c r="E41" s="850">
        <v>0</v>
      </c>
      <c r="F41" s="20">
        <f t="shared" si="1"/>
        <v>365.81428571428575</v>
      </c>
      <c r="G41" s="19">
        <f t="shared" si="0"/>
        <v>0</v>
      </c>
      <c r="H41" s="19">
        <f t="shared" si="2"/>
        <v>0</v>
      </c>
      <c r="I41" s="114" t="s">
        <v>1522</v>
      </c>
      <c r="J41" s="210">
        <f>VLOOKUP(I41,'Reajuste Atual'!$L$19:$M$25,2,FALSE)</f>
        <v>3.5459999999999998</v>
      </c>
      <c r="K41" s="190"/>
      <c r="L41" s="20">
        <v>512.14</v>
      </c>
      <c r="M41" s="765">
        <f t="shared" si="4"/>
        <v>365.81428571428575</v>
      </c>
      <c r="N41" s="765">
        <f t="shared" si="3"/>
        <v>372.46545454545452</v>
      </c>
      <c r="O41" s="765">
        <f t="shared" si="5"/>
        <v>365.81428571428575</v>
      </c>
    </row>
    <row r="42" spans="1:15" s="98" customFormat="1" outlineLevel="1">
      <c r="A42" s="141" t="s">
        <v>3478</v>
      </c>
      <c r="B42" s="114" t="s">
        <v>303</v>
      </c>
      <c r="C42" s="100" t="s">
        <v>1753</v>
      </c>
      <c r="D42" s="99" t="s">
        <v>1470</v>
      </c>
      <c r="E42" s="491">
        <v>252</v>
      </c>
      <c r="F42" s="20">
        <f t="shared" si="1"/>
        <v>57.978571428571435</v>
      </c>
      <c r="G42" s="19">
        <f t="shared" si="0"/>
        <v>14610.600000000002</v>
      </c>
      <c r="H42" s="19">
        <f t="shared" si="2"/>
        <v>66419.787599999996</v>
      </c>
      <c r="I42" s="114" t="s">
        <v>1522</v>
      </c>
      <c r="J42" s="210">
        <f>VLOOKUP(I42,'Reajuste Atual'!$L$19:$M$25,2,FALSE)</f>
        <v>3.5459999999999998</v>
      </c>
      <c r="K42" s="190"/>
      <c r="L42" s="20">
        <v>81.17</v>
      </c>
      <c r="M42" s="765">
        <f t="shared" si="4"/>
        <v>57.978571428571435</v>
      </c>
      <c r="N42" s="765">
        <f t="shared" si="3"/>
        <v>59.032727272727271</v>
      </c>
      <c r="O42" s="765">
        <f t="shared" si="5"/>
        <v>57.978571428571435</v>
      </c>
    </row>
    <row r="43" spans="1:15" s="98" customFormat="1" outlineLevel="1">
      <c r="A43" s="141" t="s">
        <v>3478</v>
      </c>
      <c r="B43" s="114" t="s">
        <v>304</v>
      </c>
      <c r="C43" s="100" t="s">
        <v>1462</v>
      </c>
      <c r="D43" s="99" t="s">
        <v>1470</v>
      </c>
      <c r="E43" s="491">
        <v>452</v>
      </c>
      <c r="F43" s="20">
        <f t="shared" si="1"/>
        <v>10.692857142857145</v>
      </c>
      <c r="G43" s="19">
        <f t="shared" si="0"/>
        <v>4833.1714285714297</v>
      </c>
      <c r="H43" s="19">
        <f t="shared" si="2"/>
        <v>21971.597314285715</v>
      </c>
      <c r="I43" s="114" t="s">
        <v>1522</v>
      </c>
      <c r="J43" s="210">
        <f>VLOOKUP(I43,'Reajuste Atual'!$L$19:$M$25,2,FALSE)</f>
        <v>3.5459999999999998</v>
      </c>
      <c r="K43" s="190"/>
      <c r="L43" s="20">
        <v>14.97</v>
      </c>
      <c r="M43" s="765">
        <f t="shared" si="4"/>
        <v>10.692857142857145</v>
      </c>
      <c r="N43" s="765">
        <f t="shared" si="3"/>
        <v>10.887272727272729</v>
      </c>
      <c r="O43" s="765">
        <f t="shared" si="5"/>
        <v>10.692857142857145</v>
      </c>
    </row>
    <row r="44" spans="1:15" s="98" customFormat="1" outlineLevel="1">
      <c r="A44" s="141" t="s">
        <v>3478</v>
      </c>
      <c r="B44" s="114" t="s">
        <v>305</v>
      </c>
      <c r="C44" s="100" t="s">
        <v>1587</v>
      </c>
      <c r="D44" s="99" t="s">
        <v>1470</v>
      </c>
      <c r="E44" s="491">
        <v>60</v>
      </c>
      <c r="F44" s="20">
        <f t="shared" si="1"/>
        <v>345.42857142857144</v>
      </c>
      <c r="G44" s="19">
        <f t="shared" si="0"/>
        <v>20725.714285714286</v>
      </c>
      <c r="H44" s="19">
        <f t="shared" si="2"/>
        <v>94219.097142857136</v>
      </c>
      <c r="I44" s="114" t="s">
        <v>1522</v>
      </c>
      <c r="J44" s="210">
        <f>VLOOKUP(I44,'Reajuste Atual'!$L$19:$M$25,2,FALSE)</f>
        <v>3.5459999999999998</v>
      </c>
      <c r="K44" s="190"/>
      <c r="L44" s="20">
        <v>483.6</v>
      </c>
      <c r="M44" s="765">
        <f t="shared" si="4"/>
        <v>345.42857142857144</v>
      </c>
      <c r="N44" s="765">
        <f t="shared" si="3"/>
        <v>351.70909090909095</v>
      </c>
      <c r="O44" s="765">
        <f t="shared" si="5"/>
        <v>345.42857142857144</v>
      </c>
    </row>
    <row r="45" spans="1:15" s="98" customFormat="1" outlineLevel="1">
      <c r="A45" s="141" t="s">
        <v>3478</v>
      </c>
      <c r="B45" s="114" t="s">
        <v>306</v>
      </c>
      <c r="C45" s="100" t="s">
        <v>1589</v>
      </c>
      <c r="D45" s="99" t="s">
        <v>1470</v>
      </c>
      <c r="E45" s="491">
        <v>120</v>
      </c>
      <c r="F45" s="20">
        <f t="shared" si="1"/>
        <v>15.77142857142857</v>
      </c>
      <c r="G45" s="19">
        <f t="shared" si="0"/>
        <v>1892.5714285714284</v>
      </c>
      <c r="H45" s="19">
        <f t="shared" si="2"/>
        <v>8603.6297142857129</v>
      </c>
      <c r="I45" s="114" t="s">
        <v>1522</v>
      </c>
      <c r="J45" s="210">
        <f>VLOOKUP(I45,'Reajuste Atual'!$L$19:$M$25,2,FALSE)</f>
        <v>3.5459999999999998</v>
      </c>
      <c r="K45" s="190"/>
      <c r="L45" s="20">
        <v>22.08</v>
      </c>
      <c r="M45" s="765">
        <f t="shared" si="4"/>
        <v>15.77142857142857</v>
      </c>
      <c r="N45" s="765">
        <f t="shared" si="3"/>
        <v>16.058181818181819</v>
      </c>
      <c r="O45" s="765">
        <f t="shared" si="5"/>
        <v>15.77142857142857</v>
      </c>
    </row>
    <row r="46" spans="1:15" s="98" customFormat="1" ht="31.5" outlineLevel="1">
      <c r="A46" s="141" t="s">
        <v>3478</v>
      </c>
      <c r="B46" s="114" t="s">
        <v>307</v>
      </c>
      <c r="C46" s="100" t="s">
        <v>1666</v>
      </c>
      <c r="D46" s="99" t="s">
        <v>1472</v>
      </c>
      <c r="E46" s="491">
        <v>121</v>
      </c>
      <c r="F46" s="20">
        <f t="shared" si="1"/>
        <v>64.657142857142858</v>
      </c>
      <c r="G46" s="19">
        <f t="shared" si="0"/>
        <v>7823.5142857142855</v>
      </c>
      <c r="H46" s="19">
        <f t="shared" si="2"/>
        <v>35565.695942857135</v>
      </c>
      <c r="I46" s="114" t="s">
        <v>1522</v>
      </c>
      <c r="J46" s="210">
        <f>VLOOKUP(I46,'Reajuste Atual'!$L$19:$M$25,2,FALSE)</f>
        <v>3.5459999999999998</v>
      </c>
      <c r="K46" s="190"/>
      <c r="L46" s="20">
        <v>90.52</v>
      </c>
      <c r="M46" s="765">
        <f t="shared" si="4"/>
        <v>64.657142857142858</v>
      </c>
      <c r="N46" s="765">
        <f t="shared" si="3"/>
        <v>65.832727272727269</v>
      </c>
      <c r="O46" s="765">
        <f t="shared" si="5"/>
        <v>64.657142857142858</v>
      </c>
    </row>
    <row r="47" spans="1:15" s="98" customFormat="1" outlineLevel="1">
      <c r="A47" s="141" t="s">
        <v>3478</v>
      </c>
      <c r="B47" s="114" t="s">
        <v>308</v>
      </c>
      <c r="C47" s="100" t="s">
        <v>1754</v>
      </c>
      <c r="D47" s="99" t="s">
        <v>1472</v>
      </c>
      <c r="E47" s="491">
        <v>148</v>
      </c>
      <c r="F47" s="20">
        <f t="shared" si="1"/>
        <v>55.05</v>
      </c>
      <c r="G47" s="19">
        <f t="shared" si="0"/>
        <v>8147.4</v>
      </c>
      <c r="H47" s="19">
        <f t="shared" si="2"/>
        <v>37038.080399999992</v>
      </c>
      <c r="I47" s="114" t="s">
        <v>1522</v>
      </c>
      <c r="J47" s="210">
        <f>VLOOKUP(I47,'Reajuste Atual'!$L$19:$M$25,2,FALSE)</f>
        <v>3.5459999999999998</v>
      </c>
      <c r="K47" s="190"/>
      <c r="L47" s="20">
        <v>77.069999999999993</v>
      </c>
      <c r="M47" s="765">
        <f t="shared" si="4"/>
        <v>55.05</v>
      </c>
      <c r="N47" s="765">
        <f t="shared" si="3"/>
        <v>56.050909090909087</v>
      </c>
      <c r="O47" s="765">
        <f t="shared" si="5"/>
        <v>55.05</v>
      </c>
    </row>
    <row r="48" spans="1:15" s="98" customFormat="1" outlineLevel="1">
      <c r="A48" s="141" t="s">
        <v>3478</v>
      </c>
      <c r="B48" s="114" t="s">
        <v>309</v>
      </c>
      <c r="C48" s="100" t="s">
        <v>1755</v>
      </c>
      <c r="D48" s="99" t="s">
        <v>1470</v>
      </c>
      <c r="E48" s="491">
        <v>48.48</v>
      </c>
      <c r="F48" s="20">
        <f t="shared" si="1"/>
        <v>194.62142857142859</v>
      </c>
      <c r="G48" s="19">
        <f t="shared" si="0"/>
        <v>9435.2468571428581</v>
      </c>
      <c r="H48" s="19">
        <f t="shared" si="2"/>
        <v>42892.632212571429</v>
      </c>
      <c r="I48" s="114" t="s">
        <v>1522</v>
      </c>
      <c r="J48" s="210">
        <f>VLOOKUP(I48,'Reajuste Atual'!$L$19:$M$25,2,FALSE)</f>
        <v>3.5459999999999998</v>
      </c>
      <c r="K48" s="190"/>
      <c r="L48" s="20">
        <v>272.47000000000003</v>
      </c>
      <c r="M48" s="765">
        <f t="shared" si="4"/>
        <v>194.62142857142859</v>
      </c>
      <c r="N48" s="765">
        <f t="shared" si="3"/>
        <v>198.16000000000003</v>
      </c>
      <c r="O48" s="765">
        <f t="shared" si="5"/>
        <v>194.62142857142859</v>
      </c>
    </row>
    <row r="49" spans="1:15" s="98" customFormat="1" ht="31.5" outlineLevel="1">
      <c r="A49" s="141" t="s">
        <v>3478</v>
      </c>
      <c r="B49" s="114" t="s">
        <v>310</v>
      </c>
      <c r="C49" s="100" t="s">
        <v>1756</v>
      </c>
      <c r="D49" s="99" t="s">
        <v>1470</v>
      </c>
      <c r="E49" s="491">
        <v>42</v>
      </c>
      <c r="F49" s="20">
        <f t="shared" si="1"/>
        <v>215.22142857142859</v>
      </c>
      <c r="G49" s="19">
        <f t="shared" si="0"/>
        <v>9039.3000000000011</v>
      </c>
      <c r="H49" s="19">
        <f t="shared" si="2"/>
        <v>41092.657800000001</v>
      </c>
      <c r="I49" s="114" t="s">
        <v>1522</v>
      </c>
      <c r="J49" s="210">
        <f>VLOOKUP(I49,'Reajuste Atual'!$L$19:$M$25,2,FALSE)</f>
        <v>3.5459999999999998</v>
      </c>
      <c r="K49" s="190"/>
      <c r="L49" s="20">
        <v>301.31</v>
      </c>
      <c r="M49" s="765">
        <f t="shared" si="4"/>
        <v>215.22142857142859</v>
      </c>
      <c r="N49" s="765">
        <f t="shared" si="3"/>
        <v>219.13454545454545</v>
      </c>
      <c r="O49" s="765">
        <f t="shared" si="5"/>
        <v>215.22142857142859</v>
      </c>
    </row>
    <row r="50" spans="1:15" s="98" customFormat="1" outlineLevel="1">
      <c r="A50" s="141" t="s">
        <v>3478</v>
      </c>
      <c r="B50" s="114" t="s">
        <v>311</v>
      </c>
      <c r="C50" s="100" t="s">
        <v>1757</v>
      </c>
      <c r="D50" s="99" t="s">
        <v>1470</v>
      </c>
      <c r="E50" s="491">
        <v>93.28</v>
      </c>
      <c r="F50" s="20">
        <f t="shared" si="1"/>
        <v>362.40000000000003</v>
      </c>
      <c r="G50" s="19">
        <f t="shared" si="0"/>
        <v>33804.672000000006</v>
      </c>
      <c r="H50" s="19">
        <f t="shared" si="2"/>
        <v>153676.03891200002</v>
      </c>
      <c r="I50" s="114" t="s">
        <v>1522</v>
      </c>
      <c r="J50" s="210">
        <f>VLOOKUP(I50,'Reajuste Atual'!$L$19:$M$25,2,FALSE)</f>
        <v>3.5459999999999998</v>
      </c>
      <c r="K50" s="190"/>
      <c r="L50" s="20">
        <v>507.36</v>
      </c>
      <c r="M50" s="765">
        <f t="shared" si="4"/>
        <v>362.40000000000003</v>
      </c>
      <c r="N50" s="765">
        <f t="shared" si="3"/>
        <v>368.98909090909092</v>
      </c>
      <c r="O50" s="765">
        <f t="shared" si="5"/>
        <v>362.40000000000003</v>
      </c>
    </row>
    <row r="51" spans="1:15" s="98" customFormat="1" outlineLevel="1">
      <c r="A51" s="141" t="s">
        <v>3478</v>
      </c>
      <c r="B51" s="114" t="s">
        <v>312</v>
      </c>
      <c r="C51" s="100" t="s">
        <v>1758</v>
      </c>
      <c r="D51" s="99" t="s">
        <v>1470</v>
      </c>
      <c r="E51" s="491">
        <v>87.52</v>
      </c>
      <c r="F51" s="20">
        <f t="shared" si="1"/>
        <v>253.47142857142859</v>
      </c>
      <c r="G51" s="19">
        <f t="shared" si="0"/>
        <v>22183.819428571431</v>
      </c>
      <c r="H51" s="19">
        <f t="shared" si="2"/>
        <v>100847.64312228571</v>
      </c>
      <c r="I51" s="114" t="s">
        <v>1522</v>
      </c>
      <c r="J51" s="210">
        <f>VLOOKUP(I51,'Reajuste Atual'!$L$19:$M$25,2,FALSE)</f>
        <v>3.5459999999999998</v>
      </c>
      <c r="K51" s="190"/>
      <c r="L51" s="20">
        <v>354.86</v>
      </c>
      <c r="M51" s="765">
        <f t="shared" si="4"/>
        <v>253.47142857142859</v>
      </c>
      <c r="N51" s="765">
        <f t="shared" si="3"/>
        <v>258.08</v>
      </c>
      <c r="O51" s="765">
        <f t="shared" si="5"/>
        <v>253.47142857142859</v>
      </c>
    </row>
    <row r="52" spans="1:15" s="98" customFormat="1" outlineLevel="1">
      <c r="A52" s="141" t="s">
        <v>3478</v>
      </c>
      <c r="B52" s="114" t="s">
        <v>313</v>
      </c>
      <c r="C52" s="100" t="s">
        <v>1581</v>
      </c>
      <c r="D52" s="99" t="s">
        <v>1470</v>
      </c>
      <c r="E52" s="491">
        <v>16</v>
      </c>
      <c r="F52" s="20">
        <f t="shared" si="1"/>
        <v>32.00714285714286</v>
      </c>
      <c r="G52" s="19">
        <f t="shared" si="0"/>
        <v>512.11428571428576</v>
      </c>
      <c r="H52" s="19">
        <f t="shared" si="2"/>
        <v>2328.0715428571425</v>
      </c>
      <c r="I52" s="114" t="s">
        <v>1522</v>
      </c>
      <c r="J52" s="210">
        <f>VLOOKUP(I52,'Reajuste Atual'!$L$19:$M$25,2,FALSE)</f>
        <v>3.5459999999999998</v>
      </c>
      <c r="K52" s="190"/>
      <c r="L52" s="20">
        <v>44.81</v>
      </c>
      <c r="M52" s="765">
        <f t="shared" si="4"/>
        <v>32.00714285714286</v>
      </c>
      <c r="N52" s="765">
        <f t="shared" si="3"/>
        <v>32.589090909090913</v>
      </c>
      <c r="O52" s="765">
        <f t="shared" si="5"/>
        <v>32.00714285714286</v>
      </c>
    </row>
    <row r="53" spans="1:15" s="98" customFormat="1" outlineLevel="1">
      <c r="A53" s="141" t="s">
        <v>3478</v>
      </c>
      <c r="B53" s="114" t="s">
        <v>314</v>
      </c>
      <c r="C53" s="100" t="s">
        <v>1759</v>
      </c>
      <c r="D53" s="99" t="s">
        <v>1470</v>
      </c>
      <c r="E53" s="491">
        <v>19</v>
      </c>
      <c r="F53" s="20">
        <f t="shared" si="1"/>
        <v>154.6</v>
      </c>
      <c r="G53" s="19">
        <f t="shared" si="0"/>
        <v>2937.4</v>
      </c>
      <c r="H53" s="19">
        <f t="shared" si="2"/>
        <v>13353.420399999999</v>
      </c>
      <c r="I53" s="114" t="s">
        <v>1522</v>
      </c>
      <c r="J53" s="210">
        <f>VLOOKUP(I53,'Reajuste Atual'!$L$19:$M$25,2,FALSE)</f>
        <v>3.5459999999999998</v>
      </c>
      <c r="K53" s="190"/>
      <c r="L53" s="20">
        <v>216.44</v>
      </c>
      <c r="M53" s="765">
        <f t="shared" si="4"/>
        <v>154.6</v>
      </c>
      <c r="N53" s="765">
        <f t="shared" si="3"/>
        <v>157.41090909090909</v>
      </c>
      <c r="O53" s="765">
        <f t="shared" si="5"/>
        <v>154.6</v>
      </c>
    </row>
    <row r="54" spans="1:15" s="98" customFormat="1" outlineLevel="1">
      <c r="A54" s="141" t="s">
        <v>3478</v>
      </c>
      <c r="B54" s="114" t="s">
        <v>315</v>
      </c>
      <c r="C54" s="100" t="s">
        <v>1760</v>
      </c>
      <c r="D54" s="181" t="s">
        <v>1468</v>
      </c>
      <c r="E54" s="491">
        <v>4</v>
      </c>
      <c r="F54" s="20">
        <f t="shared" si="1"/>
        <v>188.08571428571429</v>
      </c>
      <c r="G54" s="19">
        <f t="shared" si="0"/>
        <v>752.34285714285716</v>
      </c>
      <c r="H54" s="19">
        <f t="shared" si="2"/>
        <v>3420.1506285714281</v>
      </c>
      <c r="I54" s="114" t="s">
        <v>1522</v>
      </c>
      <c r="J54" s="210">
        <f>VLOOKUP(I54,'Reajuste Atual'!$L$19:$M$25,2,FALSE)</f>
        <v>3.5459999999999998</v>
      </c>
      <c r="K54" s="190"/>
      <c r="L54" s="20">
        <v>263.32</v>
      </c>
      <c r="M54" s="765">
        <f t="shared" si="4"/>
        <v>188.08571428571429</v>
      </c>
      <c r="N54" s="765">
        <f t="shared" si="3"/>
        <v>191.50545454545454</v>
      </c>
      <c r="O54" s="765">
        <f t="shared" si="5"/>
        <v>188.08571428571429</v>
      </c>
    </row>
    <row r="55" spans="1:15" s="98" customFormat="1" outlineLevel="1">
      <c r="A55" s="141" t="s">
        <v>3478</v>
      </c>
      <c r="B55" s="114" t="s">
        <v>316</v>
      </c>
      <c r="C55" s="100" t="s">
        <v>1761</v>
      </c>
      <c r="D55" s="181" t="s">
        <v>1468</v>
      </c>
      <c r="E55" s="491">
        <v>4</v>
      </c>
      <c r="F55" s="20">
        <f t="shared" si="1"/>
        <v>91.214285714285722</v>
      </c>
      <c r="G55" s="19">
        <f t="shared" si="0"/>
        <v>364.85714285714289</v>
      </c>
      <c r="H55" s="19">
        <f t="shared" si="2"/>
        <v>1658.6405714285713</v>
      </c>
      <c r="I55" s="114" t="s">
        <v>1522</v>
      </c>
      <c r="J55" s="210">
        <f>VLOOKUP(I55,'Reajuste Atual'!$L$19:$M$25,2,FALSE)</f>
        <v>3.5459999999999998</v>
      </c>
      <c r="K55" s="190"/>
      <c r="L55" s="20">
        <v>127.7</v>
      </c>
      <c r="M55" s="765">
        <f t="shared" si="4"/>
        <v>91.214285714285722</v>
      </c>
      <c r="N55" s="765">
        <f t="shared" si="3"/>
        <v>92.872727272727275</v>
      </c>
      <c r="O55" s="765">
        <f t="shared" si="5"/>
        <v>91.214285714285722</v>
      </c>
    </row>
    <row r="56" spans="1:15" s="98" customFormat="1" outlineLevel="1">
      <c r="A56" s="141" t="s">
        <v>3478</v>
      </c>
      <c r="B56" s="114" t="s">
        <v>317</v>
      </c>
      <c r="C56" s="100" t="s">
        <v>1762</v>
      </c>
      <c r="D56" s="181" t="s">
        <v>1468</v>
      </c>
      <c r="E56" s="491">
        <v>4</v>
      </c>
      <c r="F56" s="20">
        <f t="shared" si="1"/>
        <v>37.207142857142863</v>
      </c>
      <c r="G56" s="19">
        <f t="shared" si="0"/>
        <v>148.82857142857145</v>
      </c>
      <c r="H56" s="19">
        <f t="shared" si="2"/>
        <v>676.57468571428569</v>
      </c>
      <c r="I56" s="114" t="s">
        <v>1522</v>
      </c>
      <c r="J56" s="210">
        <f>VLOOKUP(I56,'Reajuste Atual'!$L$19:$M$25,2,FALSE)</f>
        <v>3.5459999999999998</v>
      </c>
      <c r="K56" s="190"/>
      <c r="L56" s="20">
        <v>52.09</v>
      </c>
      <c r="M56" s="765">
        <f t="shared" si="4"/>
        <v>37.207142857142863</v>
      </c>
      <c r="N56" s="765">
        <f t="shared" si="3"/>
        <v>37.883636363636363</v>
      </c>
      <c r="O56" s="765">
        <f t="shared" si="5"/>
        <v>37.207142857142863</v>
      </c>
    </row>
    <row r="57" spans="1:15" s="98" customFormat="1" outlineLevel="1">
      <c r="A57" s="141" t="s">
        <v>3478</v>
      </c>
      <c r="B57" s="114" t="s">
        <v>318</v>
      </c>
      <c r="C57" s="100" t="s">
        <v>1763</v>
      </c>
      <c r="D57" s="181" t="s">
        <v>1468</v>
      </c>
      <c r="E57" s="491">
        <v>4</v>
      </c>
      <c r="F57" s="20">
        <f t="shared" si="1"/>
        <v>276.58571428571435</v>
      </c>
      <c r="G57" s="19">
        <f t="shared" si="0"/>
        <v>1106.3428571428574</v>
      </c>
      <c r="H57" s="19">
        <f t="shared" si="2"/>
        <v>5029.4346285714291</v>
      </c>
      <c r="I57" s="114" t="s">
        <v>1522</v>
      </c>
      <c r="J57" s="210">
        <f>VLOOKUP(I57,'Reajuste Atual'!$L$19:$M$25,2,FALSE)</f>
        <v>3.5459999999999998</v>
      </c>
      <c r="K57" s="190"/>
      <c r="L57" s="20">
        <v>387.22</v>
      </c>
      <c r="M57" s="765">
        <f t="shared" si="4"/>
        <v>276.58571428571435</v>
      </c>
      <c r="N57" s="765">
        <f t="shared" si="3"/>
        <v>281.61454545454546</v>
      </c>
      <c r="O57" s="765">
        <f t="shared" si="5"/>
        <v>276.58571428571435</v>
      </c>
    </row>
    <row r="58" spans="1:15" s="98" customFormat="1" outlineLevel="1">
      <c r="A58" s="141" t="s">
        <v>3478</v>
      </c>
      <c r="B58" s="114" t="s">
        <v>319</v>
      </c>
      <c r="C58" s="100" t="s">
        <v>1764</v>
      </c>
      <c r="D58" s="181" t="s">
        <v>1468</v>
      </c>
      <c r="E58" s="491">
        <v>4</v>
      </c>
      <c r="F58" s="20">
        <f t="shared" si="1"/>
        <v>397.35</v>
      </c>
      <c r="G58" s="19">
        <f t="shared" si="0"/>
        <v>1589.4</v>
      </c>
      <c r="H58" s="19">
        <f t="shared" si="2"/>
        <v>7225.4123999999993</v>
      </c>
      <c r="I58" s="114" t="s">
        <v>1522</v>
      </c>
      <c r="J58" s="210">
        <f>VLOOKUP(I58,'Reajuste Atual'!$L$19:$M$25,2,FALSE)</f>
        <v>3.5459999999999998</v>
      </c>
      <c r="K58" s="190"/>
      <c r="L58" s="20">
        <v>556.29</v>
      </c>
      <c r="M58" s="765">
        <f t="shared" si="4"/>
        <v>397.35</v>
      </c>
      <c r="N58" s="765">
        <f t="shared" si="3"/>
        <v>404.57454545454544</v>
      </c>
      <c r="O58" s="765">
        <f t="shared" si="5"/>
        <v>397.35</v>
      </c>
    </row>
    <row r="59" spans="1:15" s="98" customFormat="1" outlineLevel="1">
      <c r="A59" s="141" t="s">
        <v>3478</v>
      </c>
      <c r="B59" s="114" t="s">
        <v>320</v>
      </c>
      <c r="C59" s="100" t="s">
        <v>1765</v>
      </c>
      <c r="D59" s="99" t="s">
        <v>1470</v>
      </c>
      <c r="E59" s="491">
        <v>200</v>
      </c>
      <c r="F59" s="20">
        <f t="shared" si="1"/>
        <v>39.892857142857146</v>
      </c>
      <c r="G59" s="19">
        <f t="shared" si="0"/>
        <v>7978.5714285714294</v>
      </c>
      <c r="H59" s="19">
        <f t="shared" si="2"/>
        <v>36270.585714285713</v>
      </c>
      <c r="I59" s="114" t="s">
        <v>1522</v>
      </c>
      <c r="J59" s="210">
        <f>VLOOKUP(I59,'Reajuste Atual'!$L$19:$M$25,2,FALSE)</f>
        <v>3.5459999999999998</v>
      </c>
      <c r="K59" s="190"/>
      <c r="L59" s="20">
        <v>55.85</v>
      </c>
      <c r="M59" s="765">
        <f t="shared" si="4"/>
        <v>39.892857142857146</v>
      </c>
      <c r="N59" s="765">
        <f t="shared" si="3"/>
        <v>40.618181818181817</v>
      </c>
      <c r="O59" s="765">
        <f t="shared" si="5"/>
        <v>39.892857142857146</v>
      </c>
    </row>
    <row r="60" spans="1:15" s="98" customFormat="1" outlineLevel="1">
      <c r="A60" s="141" t="s">
        <v>3478</v>
      </c>
      <c r="B60" s="114" t="s">
        <v>321</v>
      </c>
      <c r="C60" s="100" t="s">
        <v>1766</v>
      </c>
      <c r="D60" s="99" t="s">
        <v>1472</v>
      </c>
      <c r="E60" s="491">
        <v>16.8</v>
      </c>
      <c r="F60" s="20">
        <f t="shared" si="1"/>
        <v>55.05</v>
      </c>
      <c r="G60" s="19">
        <f t="shared" si="0"/>
        <v>924.84</v>
      </c>
      <c r="H60" s="19">
        <f t="shared" si="2"/>
        <v>4204.3226399999994</v>
      </c>
      <c r="I60" s="114" t="s">
        <v>1522</v>
      </c>
      <c r="J60" s="210">
        <f>VLOOKUP(I60,'Reajuste Atual'!$L$19:$M$25,2,FALSE)</f>
        <v>3.5459999999999998</v>
      </c>
      <c r="K60" s="190"/>
      <c r="L60" s="20">
        <v>77.069999999999993</v>
      </c>
      <c r="M60" s="765">
        <f t="shared" si="4"/>
        <v>55.05</v>
      </c>
      <c r="N60" s="765">
        <f t="shared" si="3"/>
        <v>56.050909090909087</v>
      </c>
      <c r="O60" s="765">
        <f t="shared" si="5"/>
        <v>55.05</v>
      </c>
    </row>
    <row r="61" spans="1:15" s="98" customFormat="1" outlineLevel="1">
      <c r="A61" s="141" t="s">
        <v>3478</v>
      </c>
      <c r="B61" s="114" t="s">
        <v>322</v>
      </c>
      <c r="C61" s="100" t="s">
        <v>1767</v>
      </c>
      <c r="D61" s="99" t="s">
        <v>1470</v>
      </c>
      <c r="E61" s="491">
        <v>4800</v>
      </c>
      <c r="F61" s="20">
        <f t="shared" si="1"/>
        <v>3.4214285714285717</v>
      </c>
      <c r="G61" s="19">
        <f t="shared" si="0"/>
        <v>16422.857142857145</v>
      </c>
      <c r="H61" s="19">
        <f t="shared" si="2"/>
        <v>74658.30857142857</v>
      </c>
      <c r="I61" s="114" t="s">
        <v>1522</v>
      </c>
      <c r="J61" s="210">
        <f>VLOOKUP(I61,'Reajuste Atual'!$L$19:$M$25,2,FALSE)</f>
        <v>3.5459999999999998</v>
      </c>
      <c r="K61" s="190"/>
      <c r="L61" s="20">
        <v>4.79</v>
      </c>
      <c r="M61" s="765">
        <f t="shared" si="4"/>
        <v>3.4214285714285717</v>
      </c>
      <c r="N61" s="765">
        <f t="shared" si="3"/>
        <v>3.4836363636363639</v>
      </c>
      <c r="O61" s="765">
        <f t="shared" si="5"/>
        <v>3.4214285714285717</v>
      </c>
    </row>
    <row r="62" spans="1:15" s="98" customFormat="1" outlineLevel="1">
      <c r="A62" s="141" t="s">
        <v>3478</v>
      </c>
      <c r="B62" s="114" t="s">
        <v>323</v>
      </c>
      <c r="C62" s="100" t="s">
        <v>1768</v>
      </c>
      <c r="D62" s="181" t="s">
        <v>1468</v>
      </c>
      <c r="E62" s="491">
        <v>28</v>
      </c>
      <c r="F62" s="20">
        <f t="shared" si="1"/>
        <v>29.942857142857147</v>
      </c>
      <c r="G62" s="19">
        <f t="shared" si="0"/>
        <v>838.40000000000009</v>
      </c>
      <c r="H62" s="19">
        <f t="shared" si="2"/>
        <v>3811.3663999999999</v>
      </c>
      <c r="I62" s="114" t="s">
        <v>1522</v>
      </c>
      <c r="J62" s="210">
        <f>VLOOKUP(I62,'Reajuste Atual'!$L$19:$M$25,2,FALSE)</f>
        <v>3.5459999999999998</v>
      </c>
      <c r="K62" s="190"/>
      <c r="L62" s="20">
        <v>41.92</v>
      </c>
      <c r="M62" s="765">
        <f t="shared" si="4"/>
        <v>29.942857142857147</v>
      </c>
      <c r="N62" s="765">
        <f t="shared" si="3"/>
        <v>30.487272727272728</v>
      </c>
      <c r="O62" s="765">
        <f t="shared" si="5"/>
        <v>29.942857142857147</v>
      </c>
    </row>
    <row r="63" spans="1:15" s="98" customFormat="1" outlineLevel="1">
      <c r="A63" s="141" t="s">
        <v>3478</v>
      </c>
      <c r="B63" s="114" t="s">
        <v>324</v>
      </c>
      <c r="C63" s="100" t="s">
        <v>1769</v>
      </c>
      <c r="D63" s="181" t="s">
        <v>1468</v>
      </c>
      <c r="E63" s="491">
        <v>20</v>
      </c>
      <c r="F63" s="20">
        <f t="shared" si="1"/>
        <v>299.44285714285718</v>
      </c>
      <c r="G63" s="19">
        <f t="shared" si="0"/>
        <v>5988.8571428571431</v>
      </c>
      <c r="H63" s="19">
        <f t="shared" si="2"/>
        <v>27225.34457142857</v>
      </c>
      <c r="I63" s="114" t="s">
        <v>1522</v>
      </c>
      <c r="J63" s="210">
        <f>VLOOKUP(I63,'Reajuste Atual'!$L$19:$M$25,2,FALSE)</f>
        <v>3.5459999999999998</v>
      </c>
      <c r="K63" s="190"/>
      <c r="L63" s="20">
        <v>419.22</v>
      </c>
      <c r="M63" s="765">
        <f t="shared" si="4"/>
        <v>299.44285714285718</v>
      </c>
      <c r="N63" s="765">
        <f t="shared" si="3"/>
        <v>304.88727272727277</v>
      </c>
      <c r="O63" s="765">
        <f t="shared" si="5"/>
        <v>299.44285714285718</v>
      </c>
    </row>
    <row r="64" spans="1:15" s="98" customFormat="1" outlineLevel="1">
      <c r="A64" s="141" t="s">
        <v>3478</v>
      </c>
      <c r="B64" s="114" t="s">
        <v>325</v>
      </c>
      <c r="C64" s="100" t="s">
        <v>1770</v>
      </c>
      <c r="D64" s="99" t="s">
        <v>1470</v>
      </c>
      <c r="E64" s="491">
        <v>1117.73</v>
      </c>
      <c r="F64" s="20">
        <f t="shared" si="1"/>
        <v>87.792857142857144</v>
      </c>
      <c r="G64" s="19">
        <f t="shared" si="0"/>
        <v>98128.710214285718</v>
      </c>
      <c r="H64" s="19">
        <f t="shared" si="2"/>
        <v>446093.11663414282</v>
      </c>
      <c r="I64" s="114" t="s">
        <v>1522</v>
      </c>
      <c r="J64" s="210">
        <f>VLOOKUP(I64,'Reajuste Atual'!$L$19:$M$25,2,FALSE)</f>
        <v>3.5459999999999998</v>
      </c>
      <c r="K64" s="190"/>
      <c r="L64" s="20">
        <v>122.91</v>
      </c>
      <c r="M64" s="765">
        <f t="shared" si="4"/>
        <v>87.792857142857144</v>
      </c>
      <c r="N64" s="765">
        <f t="shared" si="3"/>
        <v>89.38909090909091</v>
      </c>
      <c r="O64" s="765">
        <f t="shared" si="5"/>
        <v>87.792857142857144</v>
      </c>
    </row>
    <row r="65" spans="1:15" s="98" customFormat="1" ht="31.5" outlineLevel="1">
      <c r="A65" s="141" t="s">
        <v>3478</v>
      </c>
      <c r="B65" s="114" t="s">
        <v>326</v>
      </c>
      <c r="C65" s="100" t="s">
        <v>1771</v>
      </c>
      <c r="D65" s="181" t="s">
        <v>1468</v>
      </c>
      <c r="E65" s="491">
        <v>16</v>
      </c>
      <c r="F65" s="20">
        <f t="shared" si="1"/>
        <v>1892.1571428571431</v>
      </c>
      <c r="G65" s="19">
        <f t="shared" si="0"/>
        <v>30274.514285714289</v>
      </c>
      <c r="H65" s="19">
        <f t="shared" si="2"/>
        <v>124288.99094857143</v>
      </c>
      <c r="I65" s="114" t="s">
        <v>1521</v>
      </c>
      <c r="J65" s="210">
        <f>VLOOKUP(I65,'Reajuste Atual'!$L$19:$M$25,2,FALSE)</f>
        <v>3.1053999999999999</v>
      </c>
      <c r="K65" s="190"/>
      <c r="L65" s="20">
        <v>2649.02</v>
      </c>
      <c r="M65" s="765">
        <f t="shared" si="4"/>
        <v>1892.1571428571431</v>
      </c>
      <c r="N65" s="765">
        <f t="shared" si="3"/>
        <v>1926.56</v>
      </c>
      <c r="O65" s="765">
        <f t="shared" si="5"/>
        <v>1892.1571428571431</v>
      </c>
    </row>
    <row r="66" spans="1:15" s="98" customFormat="1" ht="31.5" outlineLevel="1">
      <c r="A66" s="141" t="s">
        <v>3478</v>
      </c>
      <c r="B66" s="114" t="s">
        <v>327</v>
      </c>
      <c r="C66" s="100" t="s">
        <v>1772</v>
      </c>
      <c r="D66" s="181" t="s">
        <v>1468</v>
      </c>
      <c r="E66" s="491">
        <v>0</v>
      </c>
      <c r="F66" s="20">
        <f t="shared" si="1"/>
        <v>1135.2928571428572</v>
      </c>
      <c r="G66" s="19">
        <f t="shared" si="0"/>
        <v>0</v>
      </c>
      <c r="H66" s="19">
        <f t="shared" si="2"/>
        <v>0</v>
      </c>
      <c r="I66" s="114" t="s">
        <v>1521</v>
      </c>
      <c r="J66" s="210">
        <f>VLOOKUP(I66,'Reajuste Atual'!$L$19:$M$25,2,FALSE)</f>
        <v>3.1053999999999999</v>
      </c>
      <c r="K66" s="190"/>
      <c r="L66" s="20">
        <v>1589.41</v>
      </c>
      <c r="M66" s="765">
        <f t="shared" si="4"/>
        <v>1135.2928571428572</v>
      </c>
      <c r="N66" s="765">
        <f t="shared" si="3"/>
        <v>1155.9345454545455</v>
      </c>
      <c r="O66" s="765">
        <f t="shared" si="5"/>
        <v>1135.2928571428572</v>
      </c>
    </row>
    <row r="67" spans="1:15" s="98" customFormat="1" ht="31.5" outlineLevel="1">
      <c r="A67" s="141" t="s">
        <v>3478</v>
      </c>
      <c r="B67" s="114" t="s">
        <v>328</v>
      </c>
      <c r="C67" s="100" t="s">
        <v>1773</v>
      </c>
      <c r="D67" s="181" t="s">
        <v>1468</v>
      </c>
      <c r="E67" s="491">
        <v>0</v>
      </c>
      <c r="F67" s="20">
        <f t="shared" si="1"/>
        <v>567.64285714285722</v>
      </c>
      <c r="G67" s="19">
        <f t="shared" si="0"/>
        <v>0</v>
      </c>
      <c r="H67" s="19">
        <f t="shared" si="2"/>
        <v>0</v>
      </c>
      <c r="I67" s="114" t="s">
        <v>1521</v>
      </c>
      <c r="J67" s="210">
        <f>VLOOKUP(I67,'Reajuste Atual'!$L$19:$M$25,2,FALSE)</f>
        <v>3.1053999999999999</v>
      </c>
      <c r="K67" s="190"/>
      <c r="L67" s="20">
        <v>794.7</v>
      </c>
      <c r="M67" s="765">
        <f t="shared" si="4"/>
        <v>567.64285714285722</v>
      </c>
      <c r="N67" s="765">
        <f t="shared" si="3"/>
        <v>577.9636363636364</v>
      </c>
      <c r="O67" s="765">
        <f t="shared" si="5"/>
        <v>567.64285714285722</v>
      </c>
    </row>
    <row r="68" spans="1:15" s="98" customFormat="1" ht="31.5" outlineLevel="1">
      <c r="A68" s="141" t="s">
        <v>3478</v>
      </c>
      <c r="B68" s="114" t="s">
        <v>329</v>
      </c>
      <c r="C68" s="100" t="s">
        <v>1774</v>
      </c>
      <c r="D68" s="181" t="s">
        <v>1468</v>
      </c>
      <c r="E68" s="491">
        <v>4</v>
      </c>
      <c r="F68" s="20">
        <f t="shared" si="1"/>
        <v>378.42857142857144</v>
      </c>
      <c r="G68" s="19">
        <f t="shared" si="0"/>
        <v>1513.7142857142858</v>
      </c>
      <c r="H68" s="19">
        <f t="shared" si="2"/>
        <v>6214.4026285714281</v>
      </c>
      <c r="I68" s="114" t="s">
        <v>1521</v>
      </c>
      <c r="J68" s="210">
        <f>VLOOKUP(I68,'Reajuste Atual'!$L$19:$M$25,2,FALSE)</f>
        <v>3.1053999999999999</v>
      </c>
      <c r="K68" s="190"/>
      <c r="L68" s="20">
        <v>529.79999999999995</v>
      </c>
      <c r="M68" s="765">
        <f t="shared" si="4"/>
        <v>378.42857142857144</v>
      </c>
      <c r="N68" s="765">
        <f t="shared" si="3"/>
        <v>385.30909090909086</v>
      </c>
      <c r="O68" s="765">
        <f t="shared" si="5"/>
        <v>378.42857142857144</v>
      </c>
    </row>
    <row r="69" spans="1:15" s="98" customFormat="1" ht="31.5" outlineLevel="1">
      <c r="A69" s="141" t="s">
        <v>3478</v>
      </c>
      <c r="B69" s="114" t="s">
        <v>330</v>
      </c>
      <c r="C69" s="100" t="s">
        <v>1775</v>
      </c>
      <c r="D69" s="181" t="s">
        <v>1468</v>
      </c>
      <c r="E69" s="491">
        <v>4</v>
      </c>
      <c r="F69" s="20">
        <f t="shared" si="1"/>
        <v>567.64285714285722</v>
      </c>
      <c r="G69" s="19">
        <f t="shared" si="0"/>
        <v>2270.5714285714289</v>
      </c>
      <c r="H69" s="19">
        <f t="shared" si="2"/>
        <v>9321.6039428571439</v>
      </c>
      <c r="I69" s="114" t="s">
        <v>1521</v>
      </c>
      <c r="J69" s="210">
        <f>VLOOKUP(I69,'Reajuste Atual'!$L$19:$M$25,2,FALSE)</f>
        <v>3.1053999999999999</v>
      </c>
      <c r="K69" s="190"/>
      <c r="L69" s="20">
        <v>794.7</v>
      </c>
      <c r="M69" s="765">
        <f t="shared" si="4"/>
        <v>567.64285714285722</v>
      </c>
      <c r="N69" s="765">
        <f t="shared" si="3"/>
        <v>577.9636363636364</v>
      </c>
      <c r="O69" s="765">
        <f t="shared" si="5"/>
        <v>567.64285714285722</v>
      </c>
    </row>
    <row r="70" spans="1:15" s="98" customFormat="1" outlineLevel="1">
      <c r="A70" s="141" t="s">
        <v>3478</v>
      </c>
      <c r="B70" s="114" t="s">
        <v>331</v>
      </c>
      <c r="C70" s="100" t="s">
        <v>1776</v>
      </c>
      <c r="D70" s="181" t="s">
        <v>1468</v>
      </c>
      <c r="E70" s="491">
        <v>4</v>
      </c>
      <c r="F70" s="20">
        <f t="shared" si="1"/>
        <v>1892.1571428571431</v>
      </c>
      <c r="G70" s="19">
        <f t="shared" si="0"/>
        <v>7568.6285714285723</v>
      </c>
      <c r="H70" s="19">
        <f t="shared" si="2"/>
        <v>31072.247737142858</v>
      </c>
      <c r="I70" s="114" t="s">
        <v>1521</v>
      </c>
      <c r="J70" s="210">
        <f>VLOOKUP(I70,'Reajuste Atual'!$L$19:$M$25,2,FALSE)</f>
        <v>3.1053999999999999</v>
      </c>
      <c r="K70" s="190"/>
      <c r="L70" s="20">
        <v>2649.02</v>
      </c>
      <c r="M70" s="765">
        <f t="shared" si="4"/>
        <v>1892.1571428571431</v>
      </c>
      <c r="N70" s="765">
        <f t="shared" si="3"/>
        <v>1926.56</v>
      </c>
      <c r="O70" s="765">
        <f t="shared" si="5"/>
        <v>1892.1571428571431</v>
      </c>
    </row>
    <row r="71" spans="1:15" s="98" customFormat="1" ht="31.5" outlineLevel="1">
      <c r="A71" s="141" t="s">
        <v>3478</v>
      </c>
      <c r="B71" s="114" t="s">
        <v>332</v>
      </c>
      <c r="C71" s="100" t="s">
        <v>1777</v>
      </c>
      <c r="D71" s="181" t="s">
        <v>1468</v>
      </c>
      <c r="E71" s="491">
        <v>0</v>
      </c>
      <c r="F71" s="20">
        <f t="shared" si="1"/>
        <v>542.41428571428571</v>
      </c>
      <c r="G71" s="19">
        <f t="shared" si="0"/>
        <v>0</v>
      </c>
      <c r="H71" s="19">
        <f t="shared" si="2"/>
        <v>0</v>
      </c>
      <c r="I71" s="114" t="s">
        <v>1521</v>
      </c>
      <c r="J71" s="210">
        <f>VLOOKUP(I71,'Reajuste Atual'!$L$19:$M$25,2,FALSE)</f>
        <v>3.1053999999999999</v>
      </c>
      <c r="K71" s="190"/>
      <c r="L71" s="20">
        <v>759.38</v>
      </c>
      <c r="M71" s="765">
        <f t="shared" si="4"/>
        <v>542.41428571428571</v>
      </c>
      <c r="N71" s="765">
        <f t="shared" si="3"/>
        <v>552.27636363636361</v>
      </c>
      <c r="O71" s="765">
        <f t="shared" si="5"/>
        <v>542.41428571428571</v>
      </c>
    </row>
    <row r="72" spans="1:15" s="98" customFormat="1" ht="31.5" outlineLevel="1">
      <c r="A72" s="141" t="s">
        <v>3478</v>
      </c>
      <c r="B72" s="114" t="s">
        <v>333</v>
      </c>
      <c r="C72" s="100" t="s">
        <v>1778</v>
      </c>
      <c r="D72" s="181" t="s">
        <v>1468</v>
      </c>
      <c r="E72" s="491">
        <v>12</v>
      </c>
      <c r="F72" s="20">
        <f t="shared" si="1"/>
        <v>225.65714285714287</v>
      </c>
      <c r="G72" s="19">
        <f t="shared" si="0"/>
        <v>2707.8857142857146</v>
      </c>
      <c r="H72" s="19">
        <f t="shared" si="2"/>
        <v>11116.954011428572</v>
      </c>
      <c r="I72" s="114" t="s">
        <v>1521</v>
      </c>
      <c r="J72" s="210">
        <f>VLOOKUP(I72,'Reajuste Atual'!$L$19:$M$25,2,FALSE)</f>
        <v>3.1053999999999999</v>
      </c>
      <c r="K72" s="190"/>
      <c r="L72" s="20">
        <v>315.92</v>
      </c>
      <c r="M72" s="765">
        <f t="shared" si="4"/>
        <v>225.65714285714287</v>
      </c>
      <c r="N72" s="765">
        <f t="shared" si="3"/>
        <v>229.76000000000002</v>
      </c>
      <c r="O72" s="765">
        <f t="shared" si="5"/>
        <v>225.65714285714287</v>
      </c>
    </row>
    <row r="73" spans="1:15" s="98" customFormat="1" ht="31.5" outlineLevel="1">
      <c r="A73" s="141" t="s">
        <v>3478</v>
      </c>
      <c r="B73" s="114" t="s">
        <v>334</v>
      </c>
      <c r="C73" s="100" t="s">
        <v>1779</v>
      </c>
      <c r="D73" s="181" t="s">
        <v>1468</v>
      </c>
      <c r="E73" s="491">
        <v>4</v>
      </c>
      <c r="F73" s="20">
        <f t="shared" si="1"/>
        <v>66.235714285714295</v>
      </c>
      <c r="G73" s="19">
        <f t="shared" si="0"/>
        <v>264.94285714285718</v>
      </c>
      <c r="H73" s="19">
        <f t="shared" si="2"/>
        <v>1087.6964057142857</v>
      </c>
      <c r="I73" s="114" t="s">
        <v>1521</v>
      </c>
      <c r="J73" s="210">
        <f>VLOOKUP(I73,'Reajuste Atual'!$L$19:$M$25,2,FALSE)</f>
        <v>3.1053999999999999</v>
      </c>
      <c r="K73" s="190"/>
      <c r="L73" s="20">
        <v>92.73</v>
      </c>
      <c r="M73" s="765">
        <f t="shared" si="4"/>
        <v>66.235714285714295</v>
      </c>
      <c r="N73" s="765">
        <f t="shared" si="3"/>
        <v>67.44</v>
      </c>
      <c r="O73" s="765">
        <f t="shared" si="5"/>
        <v>66.235714285714295</v>
      </c>
    </row>
    <row r="74" spans="1:15" s="98" customFormat="1" ht="31.5" outlineLevel="1">
      <c r="A74" s="141" t="s">
        <v>3478</v>
      </c>
      <c r="B74" s="114" t="s">
        <v>335</v>
      </c>
      <c r="C74" s="100" t="s">
        <v>1780</v>
      </c>
      <c r="D74" s="181" t="s">
        <v>1468</v>
      </c>
      <c r="E74" s="491">
        <v>8</v>
      </c>
      <c r="F74" s="20">
        <f t="shared" si="1"/>
        <v>36.471428571428575</v>
      </c>
      <c r="G74" s="19">
        <f t="shared" si="0"/>
        <v>291.7714285714286</v>
      </c>
      <c r="H74" s="19">
        <f t="shared" si="2"/>
        <v>1197.8384228571429</v>
      </c>
      <c r="I74" s="114" t="s">
        <v>1521</v>
      </c>
      <c r="J74" s="210">
        <f>VLOOKUP(I74,'Reajuste Atual'!$L$19:$M$25,2,FALSE)</f>
        <v>3.1053999999999999</v>
      </c>
      <c r="K74" s="190"/>
      <c r="L74" s="20">
        <v>51.06</v>
      </c>
      <c r="M74" s="765">
        <f t="shared" si="4"/>
        <v>36.471428571428575</v>
      </c>
      <c r="N74" s="765">
        <f t="shared" si="3"/>
        <v>37.134545454545453</v>
      </c>
      <c r="O74" s="765">
        <f t="shared" si="5"/>
        <v>36.471428571428575</v>
      </c>
    </row>
    <row r="75" spans="1:15" s="98" customFormat="1" ht="15.95" customHeight="1" outlineLevel="1">
      <c r="A75" s="141" t="s">
        <v>3478</v>
      </c>
      <c r="B75" s="114" t="s">
        <v>336</v>
      </c>
      <c r="C75" s="100" t="s">
        <v>1781</v>
      </c>
      <c r="D75" s="181" t="s">
        <v>1468</v>
      </c>
      <c r="E75" s="491">
        <v>12</v>
      </c>
      <c r="F75" s="20">
        <f t="shared" si="1"/>
        <v>87.564285714285717</v>
      </c>
      <c r="G75" s="19">
        <f t="shared" si="0"/>
        <v>1050.7714285714287</v>
      </c>
      <c r="H75" s="19">
        <f t="shared" si="2"/>
        <v>4313.837022857143</v>
      </c>
      <c r="I75" s="114" t="s">
        <v>1521</v>
      </c>
      <c r="J75" s="210">
        <f>VLOOKUP(I75,'Reajuste Atual'!$L$19:$M$25,2,FALSE)</f>
        <v>3.1053999999999999</v>
      </c>
      <c r="K75" s="190"/>
      <c r="L75" s="20">
        <v>122.59</v>
      </c>
      <c r="M75" s="765">
        <f t="shared" si="4"/>
        <v>87.564285714285717</v>
      </c>
      <c r="N75" s="765">
        <f t="shared" si="3"/>
        <v>89.156363636363636</v>
      </c>
      <c r="O75" s="765">
        <f t="shared" si="5"/>
        <v>87.564285714285717</v>
      </c>
    </row>
    <row r="76" spans="1:15" s="98" customFormat="1" ht="15.95" customHeight="1" outlineLevel="1">
      <c r="A76" s="141" t="s">
        <v>3478</v>
      </c>
      <c r="B76" s="114" t="s">
        <v>337</v>
      </c>
      <c r="C76" s="100" t="s">
        <v>1782</v>
      </c>
      <c r="D76" s="181" t="s">
        <v>1468</v>
      </c>
      <c r="E76" s="491">
        <v>4</v>
      </c>
      <c r="F76" s="20">
        <f t="shared" si="1"/>
        <v>58.378571428571433</v>
      </c>
      <c r="G76" s="19">
        <f t="shared" si="0"/>
        <v>233.51428571428573</v>
      </c>
      <c r="H76" s="19">
        <f t="shared" si="2"/>
        <v>958.66954857142855</v>
      </c>
      <c r="I76" s="114" t="s">
        <v>1521</v>
      </c>
      <c r="J76" s="210">
        <f>VLOOKUP(I76,'Reajuste Atual'!$L$19:$M$25,2,FALSE)</f>
        <v>3.1053999999999999</v>
      </c>
      <c r="K76" s="190"/>
      <c r="L76" s="20">
        <v>81.73</v>
      </c>
      <c r="M76" s="765">
        <f t="shared" si="4"/>
        <v>58.378571428571433</v>
      </c>
      <c r="N76" s="765">
        <f t="shared" si="3"/>
        <v>59.440000000000005</v>
      </c>
      <c r="O76" s="765">
        <f t="shared" si="5"/>
        <v>58.378571428571433</v>
      </c>
    </row>
    <row r="77" spans="1:15" s="98" customFormat="1" ht="15.95" customHeight="1" outlineLevel="1">
      <c r="A77" s="141" t="s">
        <v>3478</v>
      </c>
      <c r="B77" s="114" t="s">
        <v>338</v>
      </c>
      <c r="C77" s="100" t="s">
        <v>1783</v>
      </c>
      <c r="D77" s="181" t="s">
        <v>1468</v>
      </c>
      <c r="E77" s="491">
        <v>8</v>
      </c>
      <c r="F77" s="20">
        <f t="shared" si="1"/>
        <v>48.271428571428572</v>
      </c>
      <c r="G77" s="19">
        <f t="shared" si="0"/>
        <v>386.17142857142858</v>
      </c>
      <c r="H77" s="19">
        <f t="shared" si="2"/>
        <v>1585.3881828571427</v>
      </c>
      <c r="I77" s="114" t="s">
        <v>1521</v>
      </c>
      <c r="J77" s="210">
        <f>VLOOKUP(I77,'Reajuste Atual'!$L$19:$M$25,2,FALSE)</f>
        <v>3.1053999999999999</v>
      </c>
      <c r="K77" s="190"/>
      <c r="L77" s="20">
        <v>67.58</v>
      </c>
      <c r="M77" s="765">
        <f t="shared" si="4"/>
        <v>48.271428571428572</v>
      </c>
      <c r="N77" s="765">
        <f t="shared" si="3"/>
        <v>49.149090909090908</v>
      </c>
      <c r="O77" s="765">
        <f t="shared" si="5"/>
        <v>48.271428571428572</v>
      </c>
    </row>
    <row r="78" spans="1:15" s="98" customFormat="1" ht="15.95" customHeight="1" outlineLevel="1">
      <c r="A78" s="141" t="s">
        <v>3478</v>
      </c>
      <c r="B78" s="114" t="s">
        <v>339</v>
      </c>
      <c r="C78" s="100" t="s">
        <v>1784</v>
      </c>
      <c r="D78" s="181" t="s">
        <v>1468</v>
      </c>
      <c r="E78" s="491">
        <v>4</v>
      </c>
      <c r="F78" s="20">
        <f t="shared" si="1"/>
        <v>172.8857142857143</v>
      </c>
      <c r="G78" s="19">
        <f t="shared" si="0"/>
        <v>691.5428571428572</v>
      </c>
      <c r="H78" s="19">
        <f t="shared" si="2"/>
        <v>2839.0600457142855</v>
      </c>
      <c r="I78" s="114" t="s">
        <v>1521</v>
      </c>
      <c r="J78" s="210">
        <f>VLOOKUP(I78,'Reajuste Atual'!$L$19:$M$25,2,FALSE)</f>
        <v>3.1053999999999999</v>
      </c>
      <c r="K78" s="190"/>
      <c r="L78" s="20">
        <v>242.04</v>
      </c>
      <c r="M78" s="765">
        <f t="shared" si="4"/>
        <v>172.8857142857143</v>
      </c>
      <c r="N78" s="765">
        <f t="shared" si="3"/>
        <v>176.02909090909091</v>
      </c>
      <c r="O78" s="765">
        <f t="shared" si="5"/>
        <v>172.8857142857143</v>
      </c>
    </row>
    <row r="79" spans="1:15" s="98" customFormat="1" ht="15.95" customHeight="1" outlineLevel="1">
      <c r="A79" s="141" t="s">
        <v>3478</v>
      </c>
      <c r="B79" s="114" t="s">
        <v>340</v>
      </c>
      <c r="C79" s="100" t="s">
        <v>1785</v>
      </c>
      <c r="D79" s="181" t="s">
        <v>1468</v>
      </c>
      <c r="E79" s="491">
        <v>12</v>
      </c>
      <c r="F79" s="20">
        <f t="shared" si="1"/>
        <v>123.48571428571429</v>
      </c>
      <c r="G79" s="19">
        <f t="shared" si="0"/>
        <v>1481.8285714285716</v>
      </c>
      <c r="H79" s="19">
        <f t="shared" si="2"/>
        <v>6083.4990171428572</v>
      </c>
      <c r="I79" s="114" t="s">
        <v>1521</v>
      </c>
      <c r="J79" s="210">
        <f>VLOOKUP(I79,'Reajuste Atual'!$L$19:$M$25,2,FALSE)</f>
        <v>3.1053999999999999</v>
      </c>
      <c r="K79" s="190"/>
      <c r="L79" s="20">
        <v>172.88</v>
      </c>
      <c r="M79" s="765">
        <f t="shared" si="4"/>
        <v>123.48571428571429</v>
      </c>
      <c r="N79" s="765">
        <f t="shared" si="3"/>
        <v>125.73090909090909</v>
      </c>
      <c r="O79" s="765">
        <f t="shared" si="5"/>
        <v>123.48571428571429</v>
      </c>
    </row>
    <row r="80" spans="1:15" s="98" customFormat="1" ht="15.95" customHeight="1" outlineLevel="1">
      <c r="A80" s="141" t="s">
        <v>3478</v>
      </c>
      <c r="B80" s="114" t="s">
        <v>341</v>
      </c>
      <c r="C80" s="100" t="s">
        <v>1786</v>
      </c>
      <c r="D80" s="181" t="s">
        <v>1468</v>
      </c>
      <c r="E80" s="491">
        <v>4</v>
      </c>
      <c r="F80" s="20">
        <f t="shared" si="1"/>
        <v>81.957142857142856</v>
      </c>
      <c r="G80" s="19">
        <f t="shared" si="0"/>
        <v>327.82857142857142</v>
      </c>
      <c r="H80" s="19">
        <f t="shared" si="2"/>
        <v>1345.867417142857</v>
      </c>
      <c r="I80" s="114" t="s">
        <v>1521</v>
      </c>
      <c r="J80" s="210">
        <f>VLOOKUP(I80,'Reajuste Atual'!$L$19:$M$25,2,FALSE)</f>
        <v>3.1053999999999999</v>
      </c>
      <c r="K80" s="190"/>
      <c r="L80" s="20">
        <v>114.74</v>
      </c>
      <c r="M80" s="765">
        <f t="shared" si="4"/>
        <v>81.957142857142856</v>
      </c>
      <c r="N80" s="765">
        <f t="shared" si="3"/>
        <v>83.447272727272718</v>
      </c>
      <c r="O80" s="765">
        <f t="shared" si="5"/>
        <v>81.957142857142856</v>
      </c>
    </row>
    <row r="81" spans="1:15" s="98" customFormat="1" ht="15.95" customHeight="1" outlineLevel="1">
      <c r="A81" s="141" t="s">
        <v>3478</v>
      </c>
      <c r="B81" s="114" t="s">
        <v>342</v>
      </c>
      <c r="C81" s="100" t="s">
        <v>1787</v>
      </c>
      <c r="D81" s="181" t="s">
        <v>1468</v>
      </c>
      <c r="E81" s="491">
        <v>8</v>
      </c>
      <c r="F81" s="20">
        <f t="shared" si="1"/>
        <v>53.885714285714286</v>
      </c>
      <c r="G81" s="19">
        <f t="shared" si="0"/>
        <v>431.08571428571429</v>
      </c>
      <c r="H81" s="19">
        <f t="shared" si="2"/>
        <v>1769.7792914285712</v>
      </c>
      <c r="I81" s="114" t="s">
        <v>1521</v>
      </c>
      <c r="J81" s="210">
        <f>VLOOKUP(I81,'Reajuste Atual'!$L$19:$M$25,2,FALSE)</f>
        <v>3.1053999999999999</v>
      </c>
      <c r="K81" s="190"/>
      <c r="L81" s="20">
        <v>75.44</v>
      </c>
      <c r="M81" s="765">
        <f t="shared" si="4"/>
        <v>53.885714285714286</v>
      </c>
      <c r="N81" s="765">
        <f t="shared" si="3"/>
        <v>54.865454545454547</v>
      </c>
      <c r="O81" s="765">
        <f t="shared" si="5"/>
        <v>53.885714285714286</v>
      </c>
    </row>
    <row r="82" spans="1:15" s="98" customFormat="1" ht="31.5" outlineLevel="1">
      <c r="A82" s="141" t="s">
        <v>3478</v>
      </c>
      <c r="B82" s="114" t="s">
        <v>343</v>
      </c>
      <c r="C82" s="100" t="s">
        <v>1788</v>
      </c>
      <c r="D82" s="181" t="s">
        <v>1468</v>
      </c>
      <c r="E82" s="491">
        <v>8</v>
      </c>
      <c r="F82" s="20">
        <f t="shared" si="1"/>
        <v>177.37857142857146</v>
      </c>
      <c r="G82" s="19">
        <f t="shared" si="0"/>
        <v>1419.0285714285717</v>
      </c>
      <c r="H82" s="19">
        <f t="shared" si="2"/>
        <v>5825.679897142858</v>
      </c>
      <c r="I82" s="114" t="s">
        <v>1521</v>
      </c>
      <c r="J82" s="210">
        <f>VLOOKUP(I82,'Reajuste Atual'!$L$19:$M$25,2,FALSE)</f>
        <v>3.1053999999999999</v>
      </c>
      <c r="K82" s="190"/>
      <c r="L82" s="20">
        <v>248.33</v>
      </c>
      <c r="M82" s="765">
        <f t="shared" si="4"/>
        <v>177.37857142857146</v>
      </c>
      <c r="N82" s="765">
        <f t="shared" si="3"/>
        <v>180.60363636363638</v>
      </c>
      <c r="O82" s="765">
        <f t="shared" si="5"/>
        <v>177.37857142857146</v>
      </c>
    </row>
    <row r="83" spans="1:15" s="98" customFormat="1" ht="31.5" outlineLevel="1">
      <c r="A83" s="141" t="s">
        <v>3478</v>
      </c>
      <c r="B83" s="114" t="s">
        <v>344</v>
      </c>
      <c r="C83" s="100" t="s">
        <v>1789</v>
      </c>
      <c r="D83" s="181" t="s">
        <v>1468</v>
      </c>
      <c r="E83" s="491">
        <v>4</v>
      </c>
      <c r="F83" s="20">
        <f t="shared" si="1"/>
        <v>114.50714285714287</v>
      </c>
      <c r="G83" s="19">
        <f t="shared" si="0"/>
        <v>458.02857142857147</v>
      </c>
      <c r="H83" s="19">
        <f t="shared" si="2"/>
        <v>1880.3904971428572</v>
      </c>
      <c r="I83" s="114" t="s">
        <v>1521</v>
      </c>
      <c r="J83" s="210">
        <f>VLOOKUP(I83,'Reajuste Atual'!$L$19:$M$25,2,FALSE)</f>
        <v>3.1053999999999999</v>
      </c>
      <c r="K83" s="190"/>
      <c r="L83" s="20">
        <v>160.31</v>
      </c>
      <c r="M83" s="765">
        <f t="shared" si="4"/>
        <v>114.50714285714287</v>
      </c>
      <c r="N83" s="765">
        <f t="shared" si="3"/>
        <v>116.58909090909091</v>
      </c>
      <c r="O83" s="765">
        <f t="shared" si="5"/>
        <v>114.50714285714287</v>
      </c>
    </row>
    <row r="84" spans="1:15" s="98" customFormat="1" outlineLevel="1">
      <c r="A84" s="141" t="s">
        <v>3478</v>
      </c>
      <c r="B84" s="114" t="s">
        <v>345</v>
      </c>
      <c r="C84" s="100" t="s">
        <v>1790</v>
      </c>
      <c r="D84" s="181" t="s">
        <v>1468</v>
      </c>
      <c r="E84" s="491">
        <v>8</v>
      </c>
      <c r="F84" s="20">
        <f t="shared" si="1"/>
        <v>74.092857142857156</v>
      </c>
      <c r="G84" s="19">
        <f t="shared" si="0"/>
        <v>592.74285714285725</v>
      </c>
      <c r="H84" s="19">
        <f t="shared" si="2"/>
        <v>2433.4465257142861</v>
      </c>
      <c r="I84" s="114" t="s">
        <v>1521</v>
      </c>
      <c r="J84" s="210">
        <f>VLOOKUP(I84,'Reajuste Atual'!$L$19:$M$25,2,FALSE)</f>
        <v>3.1053999999999999</v>
      </c>
      <c r="K84" s="190"/>
      <c r="L84" s="20">
        <v>103.73</v>
      </c>
      <c r="M84" s="765">
        <f t="shared" si="4"/>
        <v>74.092857142857156</v>
      </c>
      <c r="N84" s="765">
        <f t="shared" si="3"/>
        <v>75.44</v>
      </c>
      <c r="O84" s="765">
        <f t="shared" si="5"/>
        <v>74.092857142857156</v>
      </c>
    </row>
    <row r="85" spans="1:15" s="98" customFormat="1" ht="31.5" outlineLevel="1">
      <c r="A85" s="141" t="s">
        <v>3478</v>
      </c>
      <c r="B85" s="114" t="s">
        <v>346</v>
      </c>
      <c r="C85" s="100" t="s">
        <v>1791</v>
      </c>
      <c r="D85" s="181" t="s">
        <v>1468</v>
      </c>
      <c r="E85" s="491">
        <v>4</v>
      </c>
      <c r="F85" s="20">
        <f t="shared" si="1"/>
        <v>123.48571428571429</v>
      </c>
      <c r="G85" s="19">
        <f t="shared" si="0"/>
        <v>493.94285714285718</v>
      </c>
      <c r="H85" s="19">
        <f t="shared" si="2"/>
        <v>2027.8330057142857</v>
      </c>
      <c r="I85" s="114" t="s">
        <v>1521</v>
      </c>
      <c r="J85" s="210">
        <f>VLOOKUP(I85,'Reajuste Atual'!$L$19:$M$25,2,FALSE)</f>
        <v>3.1053999999999999</v>
      </c>
      <c r="K85" s="190"/>
      <c r="L85" s="20">
        <v>172.88</v>
      </c>
      <c r="M85" s="765">
        <f t="shared" si="4"/>
        <v>123.48571428571429</v>
      </c>
      <c r="N85" s="765">
        <f t="shared" si="3"/>
        <v>125.73090909090909</v>
      </c>
      <c r="O85" s="765">
        <f t="shared" si="5"/>
        <v>123.48571428571429</v>
      </c>
    </row>
    <row r="86" spans="1:15" s="98" customFormat="1" ht="31.5" outlineLevel="1">
      <c r="A86" s="141" t="s">
        <v>3478</v>
      </c>
      <c r="B86" s="114" t="s">
        <v>347</v>
      </c>
      <c r="C86" s="100" t="s">
        <v>1792</v>
      </c>
      <c r="D86" s="181" t="s">
        <v>1468</v>
      </c>
      <c r="E86" s="491">
        <v>12</v>
      </c>
      <c r="F86" s="20">
        <f t="shared" si="1"/>
        <v>123.48571428571429</v>
      </c>
      <c r="G86" s="19">
        <f t="shared" si="0"/>
        <v>1481.8285714285716</v>
      </c>
      <c r="H86" s="19">
        <f t="shared" si="2"/>
        <v>6083.4990171428572</v>
      </c>
      <c r="I86" s="114" t="s">
        <v>1521</v>
      </c>
      <c r="J86" s="210">
        <f>VLOOKUP(I86,'Reajuste Atual'!$L$19:$M$25,2,FALSE)</f>
        <v>3.1053999999999999</v>
      </c>
      <c r="K86" s="190"/>
      <c r="L86" s="20">
        <v>172.88</v>
      </c>
      <c r="M86" s="765">
        <f t="shared" si="4"/>
        <v>123.48571428571429</v>
      </c>
      <c r="N86" s="765">
        <f t="shared" si="3"/>
        <v>125.73090909090909</v>
      </c>
      <c r="O86" s="765">
        <f t="shared" si="5"/>
        <v>123.48571428571429</v>
      </c>
    </row>
    <row r="87" spans="1:15" s="98" customFormat="1" outlineLevel="1">
      <c r="A87" s="141" t="s">
        <v>3478</v>
      </c>
      <c r="B87" s="114" t="s">
        <v>348</v>
      </c>
      <c r="C87" s="100" t="s">
        <v>1793</v>
      </c>
      <c r="D87" s="181" t="s">
        <v>1468</v>
      </c>
      <c r="E87" s="491">
        <v>4</v>
      </c>
      <c r="F87" s="20">
        <f t="shared" si="1"/>
        <v>70.728571428571428</v>
      </c>
      <c r="G87" s="19">
        <f t="shared" si="0"/>
        <v>282.91428571428571</v>
      </c>
      <c r="H87" s="19">
        <f t="shared" si="2"/>
        <v>1161.4763085714285</v>
      </c>
      <c r="I87" s="114" t="s">
        <v>1521</v>
      </c>
      <c r="J87" s="210">
        <f>VLOOKUP(I87,'Reajuste Atual'!$L$19:$M$25,2,FALSE)</f>
        <v>3.1053999999999999</v>
      </c>
      <c r="K87" s="190"/>
      <c r="L87" s="20">
        <v>99.02</v>
      </c>
      <c r="M87" s="765">
        <f t="shared" si="4"/>
        <v>70.728571428571428</v>
      </c>
      <c r="N87" s="765">
        <f t="shared" si="3"/>
        <v>72.014545454545456</v>
      </c>
      <c r="O87" s="765">
        <f t="shared" si="5"/>
        <v>70.728571428571428</v>
      </c>
    </row>
    <row r="88" spans="1:15" s="98" customFormat="1" outlineLevel="1">
      <c r="A88" s="141" t="s">
        <v>3478</v>
      </c>
      <c r="B88" s="114" t="s">
        <v>349</v>
      </c>
      <c r="C88" s="100" t="s">
        <v>1794</v>
      </c>
      <c r="D88" s="181" t="s">
        <v>1468</v>
      </c>
      <c r="E88" s="491">
        <v>8</v>
      </c>
      <c r="F88" s="20">
        <f t="shared" si="1"/>
        <v>34.792857142857144</v>
      </c>
      <c r="G88" s="19">
        <f t="shared" si="0"/>
        <v>278.34285714285716</v>
      </c>
      <c r="H88" s="19">
        <f t="shared" si="2"/>
        <v>1142.7087657142856</v>
      </c>
      <c r="I88" s="114" t="s">
        <v>1521</v>
      </c>
      <c r="J88" s="210">
        <f>VLOOKUP(I88,'Reajuste Atual'!$L$19:$M$25,2,FALSE)</f>
        <v>3.1053999999999999</v>
      </c>
      <c r="K88" s="190"/>
      <c r="L88" s="20">
        <v>48.71</v>
      </c>
      <c r="M88" s="765">
        <f t="shared" si="4"/>
        <v>34.792857142857144</v>
      </c>
      <c r="N88" s="765">
        <f t="shared" si="3"/>
        <v>35.425454545454549</v>
      </c>
      <c r="O88" s="765">
        <f t="shared" si="5"/>
        <v>34.792857142857144</v>
      </c>
    </row>
    <row r="89" spans="1:15" s="98" customFormat="1" ht="31.5" outlineLevel="1">
      <c r="A89" s="141" t="s">
        <v>3478</v>
      </c>
      <c r="B89" s="114" t="s">
        <v>350</v>
      </c>
      <c r="C89" s="100" t="s">
        <v>1795</v>
      </c>
      <c r="D89" s="181" t="s">
        <v>1468</v>
      </c>
      <c r="E89" s="491">
        <v>4</v>
      </c>
      <c r="F89" s="20">
        <f t="shared" si="1"/>
        <v>1059.6071428571429</v>
      </c>
      <c r="G89" s="19">
        <f t="shared" ref="G89:G152" si="6">E89*F89</f>
        <v>4238.4285714285716</v>
      </c>
      <c r="H89" s="19">
        <f t="shared" si="2"/>
        <v>17400.444657142856</v>
      </c>
      <c r="I89" s="114" t="s">
        <v>1521</v>
      </c>
      <c r="J89" s="210">
        <f>VLOOKUP(I89,'Reajuste Atual'!$L$19:$M$25,2,FALSE)</f>
        <v>3.1053999999999999</v>
      </c>
      <c r="K89" s="190"/>
      <c r="L89" s="20">
        <v>1483.45</v>
      </c>
      <c r="M89" s="765">
        <f t="shared" si="4"/>
        <v>1059.6071428571429</v>
      </c>
      <c r="N89" s="765">
        <f t="shared" si="3"/>
        <v>1078.8727272727274</v>
      </c>
      <c r="O89" s="765">
        <f t="shared" si="5"/>
        <v>1059.6071428571429</v>
      </c>
    </row>
    <row r="90" spans="1:15" s="98" customFormat="1" outlineLevel="1">
      <c r="A90" s="141" t="s">
        <v>3478</v>
      </c>
      <c r="B90" s="114" t="s">
        <v>351</v>
      </c>
      <c r="C90" s="100" t="s">
        <v>1796</v>
      </c>
      <c r="D90" s="181" t="s">
        <v>1468</v>
      </c>
      <c r="E90" s="491">
        <v>4</v>
      </c>
      <c r="F90" s="20">
        <f t="shared" ref="F90:F153" si="7">O90</f>
        <v>643.32857142857142</v>
      </c>
      <c r="G90" s="19">
        <f t="shared" si="6"/>
        <v>2573.3142857142857</v>
      </c>
      <c r="H90" s="19">
        <f t="shared" ref="H90:H153" si="8">G90*(1+J90)</f>
        <v>10564.484468571427</v>
      </c>
      <c r="I90" s="114" t="s">
        <v>1521</v>
      </c>
      <c r="J90" s="210">
        <f>VLOOKUP(I90,'Reajuste Atual'!$L$19:$M$25,2,FALSE)</f>
        <v>3.1053999999999999</v>
      </c>
      <c r="K90" s="190"/>
      <c r="L90" s="20">
        <v>900.66</v>
      </c>
      <c r="M90" s="765">
        <f t="shared" si="4"/>
        <v>643.32857142857142</v>
      </c>
      <c r="N90" s="765">
        <f t="shared" ref="N90:N153" si="9">L90/($N$23+1)</f>
        <v>655.02545454545452</v>
      </c>
      <c r="O90" s="765">
        <f t="shared" si="5"/>
        <v>643.32857142857142</v>
      </c>
    </row>
    <row r="91" spans="1:15" s="98" customFormat="1" ht="15.95" customHeight="1" outlineLevel="1">
      <c r="A91" s="141" t="s">
        <v>3478</v>
      </c>
      <c r="B91" s="114" t="s">
        <v>352</v>
      </c>
      <c r="C91" s="100" t="s">
        <v>1797</v>
      </c>
      <c r="D91" s="181" t="s">
        <v>1468</v>
      </c>
      <c r="E91" s="491">
        <v>4</v>
      </c>
      <c r="F91" s="20">
        <f t="shared" si="7"/>
        <v>667.99285714285725</v>
      </c>
      <c r="G91" s="19">
        <f t="shared" si="6"/>
        <v>2671.971428571429</v>
      </c>
      <c r="H91" s="19">
        <f t="shared" si="8"/>
        <v>10969.511502857144</v>
      </c>
      <c r="I91" s="114" t="s">
        <v>1521</v>
      </c>
      <c r="J91" s="210">
        <f>VLOOKUP(I91,'Reajuste Atual'!$L$19:$M$25,2,FALSE)</f>
        <v>3.1053999999999999</v>
      </c>
      <c r="K91" s="190"/>
      <c r="L91" s="20">
        <v>935.19</v>
      </c>
      <c r="M91" s="765">
        <f t="shared" ref="M91:M154" si="10">L91/($M$23+1)</f>
        <v>667.99285714285725</v>
      </c>
      <c r="N91" s="765">
        <f t="shared" si="9"/>
        <v>680.13818181818181</v>
      </c>
      <c r="O91" s="765">
        <f t="shared" si="5"/>
        <v>667.99285714285725</v>
      </c>
    </row>
    <row r="92" spans="1:15" s="98" customFormat="1" outlineLevel="1">
      <c r="A92" s="141" t="s">
        <v>3478</v>
      </c>
      <c r="B92" s="114" t="s">
        <v>353</v>
      </c>
      <c r="C92" s="100" t="s">
        <v>1798</v>
      </c>
      <c r="D92" s="181" t="s">
        <v>1468</v>
      </c>
      <c r="E92" s="491">
        <v>12</v>
      </c>
      <c r="F92" s="20">
        <f t="shared" si="7"/>
        <v>88.300000000000011</v>
      </c>
      <c r="G92" s="19">
        <f t="shared" si="6"/>
        <v>1059.6000000000001</v>
      </c>
      <c r="H92" s="19">
        <f t="shared" si="8"/>
        <v>4350.0818399999998</v>
      </c>
      <c r="I92" s="114" t="s">
        <v>1521</v>
      </c>
      <c r="J92" s="210">
        <f>VLOOKUP(I92,'Reajuste Atual'!$L$19:$M$25,2,FALSE)</f>
        <v>3.1053999999999999</v>
      </c>
      <c r="K92" s="190"/>
      <c r="L92" s="20">
        <v>123.62</v>
      </c>
      <c r="M92" s="765">
        <f t="shared" si="10"/>
        <v>88.300000000000011</v>
      </c>
      <c r="N92" s="765">
        <f t="shared" si="9"/>
        <v>89.905454545454546</v>
      </c>
      <c r="O92" s="765">
        <f t="shared" ref="O92:O155" si="11">IF(A92="S",M92,N92)</f>
        <v>88.300000000000011</v>
      </c>
    </row>
    <row r="93" spans="1:15" s="98" customFormat="1" outlineLevel="1">
      <c r="A93" s="141" t="s">
        <v>3478</v>
      </c>
      <c r="B93" s="114" t="s">
        <v>354</v>
      </c>
      <c r="C93" s="100" t="s">
        <v>1799</v>
      </c>
      <c r="D93" s="181" t="s">
        <v>1468</v>
      </c>
      <c r="E93" s="491">
        <v>8</v>
      </c>
      <c r="F93" s="20">
        <f t="shared" si="7"/>
        <v>94.607142857142861</v>
      </c>
      <c r="G93" s="19">
        <f t="shared" si="6"/>
        <v>756.85714285714289</v>
      </c>
      <c r="H93" s="19">
        <f t="shared" si="8"/>
        <v>3107.201314285714</v>
      </c>
      <c r="I93" s="114" t="s">
        <v>1521</v>
      </c>
      <c r="J93" s="210">
        <f>VLOOKUP(I93,'Reajuste Atual'!$L$19:$M$25,2,FALSE)</f>
        <v>3.1053999999999999</v>
      </c>
      <c r="K93" s="190"/>
      <c r="L93" s="20">
        <v>132.44999999999999</v>
      </c>
      <c r="M93" s="765">
        <f t="shared" si="10"/>
        <v>94.607142857142861</v>
      </c>
      <c r="N93" s="765">
        <f t="shared" si="9"/>
        <v>96.327272727272714</v>
      </c>
      <c r="O93" s="765">
        <f t="shared" si="11"/>
        <v>94.607142857142861</v>
      </c>
    </row>
    <row r="94" spans="1:15" s="98" customFormat="1" outlineLevel="1">
      <c r="A94" s="141" t="s">
        <v>3478</v>
      </c>
      <c r="B94" s="114" t="s">
        <v>355</v>
      </c>
      <c r="C94" s="100" t="s">
        <v>1800</v>
      </c>
      <c r="D94" s="181" t="s">
        <v>1468</v>
      </c>
      <c r="E94" s="491">
        <v>12</v>
      </c>
      <c r="F94" s="20">
        <f t="shared" si="7"/>
        <v>103.4357142857143</v>
      </c>
      <c r="G94" s="19">
        <f t="shared" si="6"/>
        <v>1241.2285714285715</v>
      </c>
      <c r="H94" s="19">
        <f t="shared" si="8"/>
        <v>5095.7397771428568</v>
      </c>
      <c r="I94" s="114" t="s">
        <v>1521</v>
      </c>
      <c r="J94" s="210">
        <f>VLOOKUP(I94,'Reajuste Atual'!$L$19:$M$25,2,FALSE)</f>
        <v>3.1053999999999999</v>
      </c>
      <c r="K94" s="190"/>
      <c r="L94" s="20">
        <v>144.81</v>
      </c>
      <c r="M94" s="765">
        <f t="shared" si="10"/>
        <v>103.4357142857143</v>
      </c>
      <c r="N94" s="765">
        <f t="shared" si="9"/>
        <v>105.31636363636363</v>
      </c>
      <c r="O94" s="765">
        <f t="shared" si="11"/>
        <v>103.4357142857143</v>
      </c>
    </row>
    <row r="95" spans="1:15" s="98" customFormat="1" outlineLevel="1">
      <c r="A95" s="141" t="s">
        <v>3478</v>
      </c>
      <c r="B95" s="114" t="s">
        <v>356</v>
      </c>
      <c r="C95" s="100" t="s">
        <v>1801</v>
      </c>
      <c r="D95" s="181" t="s">
        <v>1468</v>
      </c>
      <c r="E95" s="491">
        <v>4</v>
      </c>
      <c r="F95" s="20">
        <f t="shared" si="7"/>
        <v>119.8357142857143</v>
      </c>
      <c r="G95" s="19">
        <f t="shared" si="6"/>
        <v>479.34285714285721</v>
      </c>
      <c r="H95" s="19">
        <f t="shared" si="8"/>
        <v>1967.8941657142857</v>
      </c>
      <c r="I95" s="114" t="s">
        <v>1521</v>
      </c>
      <c r="J95" s="210">
        <f>VLOOKUP(I95,'Reajuste Atual'!$L$19:$M$25,2,FALSE)</f>
        <v>3.1053999999999999</v>
      </c>
      <c r="K95" s="190"/>
      <c r="L95" s="20">
        <v>167.77</v>
      </c>
      <c r="M95" s="765">
        <f t="shared" si="10"/>
        <v>119.8357142857143</v>
      </c>
      <c r="N95" s="765">
        <f t="shared" si="9"/>
        <v>122.01454545454546</v>
      </c>
      <c r="O95" s="765">
        <f t="shared" si="11"/>
        <v>119.8357142857143</v>
      </c>
    </row>
    <row r="96" spans="1:15" s="98" customFormat="1" outlineLevel="1">
      <c r="A96" s="141" t="s">
        <v>3478</v>
      </c>
      <c r="B96" s="114" t="s">
        <v>357</v>
      </c>
      <c r="C96" s="100" t="s">
        <v>1802</v>
      </c>
      <c r="D96" s="181" t="s">
        <v>1468</v>
      </c>
      <c r="E96" s="491">
        <v>32</v>
      </c>
      <c r="F96" s="20">
        <f t="shared" si="7"/>
        <v>170.29285714285714</v>
      </c>
      <c r="G96" s="19">
        <f t="shared" si="6"/>
        <v>5449.3714285714286</v>
      </c>
      <c r="H96" s="19">
        <f t="shared" si="8"/>
        <v>22371.849462857139</v>
      </c>
      <c r="I96" s="114" t="s">
        <v>1521</v>
      </c>
      <c r="J96" s="210">
        <f>VLOOKUP(I96,'Reajuste Atual'!$L$19:$M$25,2,FALSE)</f>
        <v>3.1053999999999999</v>
      </c>
      <c r="K96" s="190"/>
      <c r="L96" s="20">
        <v>238.41</v>
      </c>
      <c r="M96" s="765">
        <f t="shared" si="10"/>
        <v>170.29285714285714</v>
      </c>
      <c r="N96" s="765">
        <f t="shared" si="9"/>
        <v>173.3890909090909</v>
      </c>
      <c r="O96" s="765">
        <f t="shared" si="11"/>
        <v>170.29285714285714</v>
      </c>
    </row>
    <row r="97" spans="1:15" s="98" customFormat="1" outlineLevel="1">
      <c r="A97" s="141" t="s">
        <v>3478</v>
      </c>
      <c r="B97" s="114" t="s">
        <v>358</v>
      </c>
      <c r="C97" s="100" t="s">
        <v>1803</v>
      </c>
      <c r="D97" s="181" t="s">
        <v>1468</v>
      </c>
      <c r="E97" s="491">
        <v>12</v>
      </c>
      <c r="F97" s="20">
        <f t="shared" si="7"/>
        <v>282.90714285714284</v>
      </c>
      <c r="G97" s="19">
        <f t="shared" si="6"/>
        <v>3394.8857142857141</v>
      </c>
      <c r="H97" s="19">
        <f t="shared" si="8"/>
        <v>13937.36381142857</v>
      </c>
      <c r="I97" s="114" t="s">
        <v>1521</v>
      </c>
      <c r="J97" s="210">
        <f>VLOOKUP(I97,'Reajuste Atual'!$L$19:$M$25,2,FALSE)</f>
        <v>3.1053999999999999</v>
      </c>
      <c r="K97" s="190"/>
      <c r="L97" s="20">
        <v>396.07</v>
      </c>
      <c r="M97" s="765">
        <f t="shared" si="10"/>
        <v>282.90714285714284</v>
      </c>
      <c r="N97" s="765">
        <f t="shared" si="9"/>
        <v>288.0509090909091</v>
      </c>
      <c r="O97" s="765">
        <f t="shared" si="11"/>
        <v>282.90714285714284</v>
      </c>
    </row>
    <row r="98" spans="1:15" s="98" customFormat="1" outlineLevel="1">
      <c r="A98" s="141" t="s">
        <v>3478</v>
      </c>
      <c r="B98" s="114" t="s">
        <v>359</v>
      </c>
      <c r="C98" s="100" t="s">
        <v>1804</v>
      </c>
      <c r="D98" s="181" t="s">
        <v>1468</v>
      </c>
      <c r="E98" s="491">
        <v>4</v>
      </c>
      <c r="F98" s="20">
        <f t="shared" si="7"/>
        <v>211.06428571428575</v>
      </c>
      <c r="G98" s="19">
        <f t="shared" si="6"/>
        <v>844.25714285714298</v>
      </c>
      <c r="H98" s="19">
        <f t="shared" si="8"/>
        <v>3466.0132742857145</v>
      </c>
      <c r="I98" s="114" t="s">
        <v>1521</v>
      </c>
      <c r="J98" s="210">
        <f>VLOOKUP(I98,'Reajuste Atual'!$L$19:$M$25,2,FALSE)</f>
        <v>3.1053999999999999</v>
      </c>
      <c r="K98" s="190"/>
      <c r="L98" s="20">
        <v>295.49</v>
      </c>
      <c r="M98" s="765">
        <f t="shared" si="10"/>
        <v>211.06428571428575</v>
      </c>
      <c r="N98" s="765">
        <f t="shared" si="9"/>
        <v>214.90181818181819</v>
      </c>
      <c r="O98" s="765">
        <f t="shared" si="11"/>
        <v>211.06428571428575</v>
      </c>
    </row>
    <row r="99" spans="1:15" s="98" customFormat="1" outlineLevel="1">
      <c r="A99" s="141" t="s">
        <v>3478</v>
      </c>
      <c r="B99" s="114" t="s">
        <v>360</v>
      </c>
      <c r="C99" s="100" t="s">
        <v>1805</v>
      </c>
      <c r="D99" s="181" t="s">
        <v>1468</v>
      </c>
      <c r="E99" s="491">
        <v>4</v>
      </c>
      <c r="F99" s="20">
        <f t="shared" si="7"/>
        <v>194.22142857142859</v>
      </c>
      <c r="G99" s="19">
        <f t="shared" si="6"/>
        <v>776.88571428571436</v>
      </c>
      <c r="H99" s="19">
        <f t="shared" si="8"/>
        <v>3189.4266114285715</v>
      </c>
      <c r="I99" s="114" t="s">
        <v>1521</v>
      </c>
      <c r="J99" s="210">
        <f>VLOOKUP(I99,'Reajuste Atual'!$L$19:$M$25,2,FALSE)</f>
        <v>3.1053999999999999</v>
      </c>
      <c r="K99" s="190"/>
      <c r="L99" s="20">
        <v>271.91000000000003</v>
      </c>
      <c r="M99" s="765">
        <f t="shared" si="10"/>
        <v>194.22142857142859</v>
      </c>
      <c r="N99" s="765">
        <f t="shared" si="9"/>
        <v>197.7527272727273</v>
      </c>
      <c r="O99" s="765">
        <f t="shared" si="11"/>
        <v>194.22142857142859</v>
      </c>
    </row>
    <row r="100" spans="1:15" s="98" customFormat="1" outlineLevel="1">
      <c r="A100" s="141" t="s">
        <v>3478</v>
      </c>
      <c r="B100" s="114" t="s">
        <v>361</v>
      </c>
      <c r="C100" s="100" t="s">
        <v>1806</v>
      </c>
      <c r="D100" s="181" t="s">
        <v>1468</v>
      </c>
      <c r="E100" s="491">
        <v>8</v>
      </c>
      <c r="F100" s="20">
        <f t="shared" si="7"/>
        <v>116.75714285714287</v>
      </c>
      <c r="G100" s="19">
        <f t="shared" si="6"/>
        <v>934.05714285714294</v>
      </c>
      <c r="H100" s="19">
        <f t="shared" si="8"/>
        <v>3834.6781942857142</v>
      </c>
      <c r="I100" s="114" t="s">
        <v>1521</v>
      </c>
      <c r="J100" s="210">
        <f>VLOOKUP(I100,'Reajuste Atual'!$L$19:$M$25,2,FALSE)</f>
        <v>3.1053999999999999</v>
      </c>
      <c r="K100" s="190"/>
      <c r="L100" s="20">
        <v>163.46</v>
      </c>
      <c r="M100" s="765">
        <f t="shared" si="10"/>
        <v>116.75714285714287</v>
      </c>
      <c r="N100" s="765">
        <f t="shared" si="9"/>
        <v>118.88000000000001</v>
      </c>
      <c r="O100" s="765">
        <f t="shared" si="11"/>
        <v>116.75714285714287</v>
      </c>
    </row>
    <row r="101" spans="1:15" s="98" customFormat="1" outlineLevel="1">
      <c r="A101" s="141" t="s">
        <v>3478</v>
      </c>
      <c r="B101" s="114" t="s">
        <v>362</v>
      </c>
      <c r="C101" s="100" t="s">
        <v>1807</v>
      </c>
      <c r="D101" s="181" t="s">
        <v>1468</v>
      </c>
      <c r="E101" s="491">
        <v>4</v>
      </c>
      <c r="F101" s="20">
        <f t="shared" si="7"/>
        <v>1571.75</v>
      </c>
      <c r="G101" s="19">
        <f t="shared" si="6"/>
        <v>6287</v>
      </c>
      <c r="H101" s="19">
        <f t="shared" si="8"/>
        <v>25810.649799999996</v>
      </c>
      <c r="I101" s="114" t="s">
        <v>1521</v>
      </c>
      <c r="J101" s="210">
        <f>VLOOKUP(I101,'Reajuste Atual'!$L$19:$M$25,2,FALSE)</f>
        <v>3.1053999999999999</v>
      </c>
      <c r="K101" s="190"/>
      <c r="L101" s="20">
        <v>2200.4499999999998</v>
      </c>
      <c r="M101" s="765">
        <f t="shared" si="10"/>
        <v>1571.75</v>
      </c>
      <c r="N101" s="765">
        <f t="shared" si="9"/>
        <v>1600.3272727272727</v>
      </c>
      <c r="O101" s="765">
        <f t="shared" si="11"/>
        <v>1571.75</v>
      </c>
    </row>
    <row r="102" spans="1:15" s="98" customFormat="1" outlineLevel="1">
      <c r="A102" s="141" t="s">
        <v>3478</v>
      </c>
      <c r="B102" s="114" t="s">
        <v>363</v>
      </c>
      <c r="C102" s="100" t="s">
        <v>1808</v>
      </c>
      <c r="D102" s="181" t="s">
        <v>1468</v>
      </c>
      <c r="E102" s="491">
        <v>16</v>
      </c>
      <c r="F102" s="20">
        <f t="shared" si="7"/>
        <v>341.29285714285714</v>
      </c>
      <c r="G102" s="19">
        <f t="shared" si="6"/>
        <v>5460.6857142857143</v>
      </c>
      <c r="H102" s="19">
        <f t="shared" si="8"/>
        <v>22418.299131428568</v>
      </c>
      <c r="I102" s="114" t="s">
        <v>1521</v>
      </c>
      <c r="J102" s="210">
        <f>VLOOKUP(I102,'Reajuste Atual'!$L$19:$M$25,2,FALSE)</f>
        <v>3.1053999999999999</v>
      </c>
      <c r="K102" s="190"/>
      <c r="L102" s="20">
        <v>477.81</v>
      </c>
      <c r="M102" s="765">
        <f t="shared" si="10"/>
        <v>341.29285714285714</v>
      </c>
      <c r="N102" s="765">
        <f t="shared" si="9"/>
        <v>347.49818181818182</v>
      </c>
      <c r="O102" s="765">
        <f t="shared" si="11"/>
        <v>341.29285714285714</v>
      </c>
    </row>
    <row r="103" spans="1:15" s="98" customFormat="1" outlineLevel="1">
      <c r="A103" s="141" t="s">
        <v>3478</v>
      </c>
      <c r="B103" s="114" t="s">
        <v>364</v>
      </c>
      <c r="C103" s="100" t="s">
        <v>1809</v>
      </c>
      <c r="D103" s="181" t="s">
        <v>1468</v>
      </c>
      <c r="E103" s="491">
        <v>4</v>
      </c>
      <c r="F103" s="20">
        <f t="shared" si="7"/>
        <v>199.83571428571429</v>
      </c>
      <c r="G103" s="19">
        <f t="shared" si="6"/>
        <v>799.34285714285716</v>
      </c>
      <c r="H103" s="19">
        <f t="shared" si="8"/>
        <v>3281.6221657142855</v>
      </c>
      <c r="I103" s="114" t="s">
        <v>1521</v>
      </c>
      <c r="J103" s="210">
        <f>VLOOKUP(I103,'Reajuste Atual'!$L$19:$M$25,2,FALSE)</f>
        <v>3.1053999999999999</v>
      </c>
      <c r="K103" s="190"/>
      <c r="L103" s="20">
        <v>279.77</v>
      </c>
      <c r="M103" s="765">
        <f t="shared" si="10"/>
        <v>199.83571428571429</v>
      </c>
      <c r="N103" s="765">
        <f t="shared" si="9"/>
        <v>203.46909090909091</v>
      </c>
      <c r="O103" s="765">
        <f t="shared" si="11"/>
        <v>199.83571428571429</v>
      </c>
    </row>
    <row r="104" spans="1:15" s="98" customFormat="1" outlineLevel="1">
      <c r="A104" s="141" t="s">
        <v>3478</v>
      </c>
      <c r="B104" s="114" t="s">
        <v>365</v>
      </c>
      <c r="C104" s="100" t="s">
        <v>1810</v>
      </c>
      <c r="D104" s="181" t="s">
        <v>1468</v>
      </c>
      <c r="E104" s="491">
        <v>8</v>
      </c>
      <c r="F104" s="20">
        <f t="shared" si="7"/>
        <v>39.292857142857144</v>
      </c>
      <c r="G104" s="19">
        <f t="shared" si="6"/>
        <v>314.34285714285716</v>
      </c>
      <c r="H104" s="19">
        <f t="shared" si="8"/>
        <v>1290.5031657142856</v>
      </c>
      <c r="I104" s="114" t="s">
        <v>1521</v>
      </c>
      <c r="J104" s="210">
        <f>VLOOKUP(I104,'Reajuste Atual'!$L$19:$M$25,2,FALSE)</f>
        <v>3.1053999999999999</v>
      </c>
      <c r="K104" s="190"/>
      <c r="L104" s="20">
        <v>55.01</v>
      </c>
      <c r="M104" s="765">
        <f t="shared" si="10"/>
        <v>39.292857142857144</v>
      </c>
      <c r="N104" s="765">
        <f t="shared" si="9"/>
        <v>40.007272727272728</v>
      </c>
      <c r="O104" s="765">
        <f t="shared" si="11"/>
        <v>39.292857142857144</v>
      </c>
    </row>
    <row r="105" spans="1:15" s="98" customFormat="1" outlineLevel="1">
      <c r="A105" s="141" t="s">
        <v>3478</v>
      </c>
      <c r="B105" s="114" t="s">
        <v>366</v>
      </c>
      <c r="C105" s="100" t="s">
        <v>1811</v>
      </c>
      <c r="D105" s="181" t="s">
        <v>1468</v>
      </c>
      <c r="E105" s="491">
        <v>12</v>
      </c>
      <c r="F105" s="20">
        <f t="shared" si="7"/>
        <v>81.957142857142856</v>
      </c>
      <c r="G105" s="19">
        <f t="shared" si="6"/>
        <v>983.48571428571427</v>
      </c>
      <c r="H105" s="19">
        <f t="shared" si="8"/>
        <v>4037.602251428571</v>
      </c>
      <c r="I105" s="114" t="s">
        <v>1521</v>
      </c>
      <c r="J105" s="210">
        <f>VLOOKUP(I105,'Reajuste Atual'!$L$19:$M$25,2,FALSE)</f>
        <v>3.1053999999999999</v>
      </c>
      <c r="K105" s="190"/>
      <c r="L105" s="20">
        <v>114.74</v>
      </c>
      <c r="M105" s="765">
        <f t="shared" si="10"/>
        <v>81.957142857142856</v>
      </c>
      <c r="N105" s="765">
        <f t="shared" si="9"/>
        <v>83.447272727272718</v>
      </c>
      <c r="O105" s="765">
        <f t="shared" si="11"/>
        <v>81.957142857142856</v>
      </c>
    </row>
    <row r="106" spans="1:15" s="98" customFormat="1" outlineLevel="1">
      <c r="A106" s="141" t="s">
        <v>3478</v>
      </c>
      <c r="B106" s="114" t="s">
        <v>367</v>
      </c>
      <c r="C106" s="100" t="s">
        <v>1812</v>
      </c>
      <c r="D106" s="181" t="s">
        <v>1468</v>
      </c>
      <c r="E106" s="491">
        <v>12</v>
      </c>
      <c r="F106" s="20">
        <f t="shared" si="7"/>
        <v>56.128571428571433</v>
      </c>
      <c r="G106" s="19">
        <f t="shared" si="6"/>
        <v>673.5428571428572</v>
      </c>
      <c r="H106" s="19">
        <f t="shared" si="8"/>
        <v>2765.1628457142856</v>
      </c>
      <c r="I106" s="114" t="s">
        <v>1521</v>
      </c>
      <c r="J106" s="210">
        <f>VLOOKUP(I106,'Reajuste Atual'!$L$19:$M$25,2,FALSE)</f>
        <v>3.1053999999999999</v>
      </c>
      <c r="K106" s="190"/>
      <c r="L106" s="20">
        <v>78.58</v>
      </c>
      <c r="M106" s="765">
        <f t="shared" si="10"/>
        <v>56.128571428571433</v>
      </c>
      <c r="N106" s="765">
        <f t="shared" si="9"/>
        <v>57.149090909090908</v>
      </c>
      <c r="O106" s="765">
        <f t="shared" si="11"/>
        <v>56.128571428571433</v>
      </c>
    </row>
    <row r="107" spans="1:15" s="98" customFormat="1" outlineLevel="1">
      <c r="A107" s="141" t="s">
        <v>3478</v>
      </c>
      <c r="B107" s="114" t="s">
        <v>368</v>
      </c>
      <c r="C107" s="100" t="s">
        <v>1813</v>
      </c>
      <c r="D107" s="181" t="s">
        <v>1468</v>
      </c>
      <c r="E107" s="491">
        <v>8</v>
      </c>
      <c r="F107" s="20">
        <f t="shared" si="7"/>
        <v>158.85</v>
      </c>
      <c r="G107" s="19">
        <f t="shared" si="6"/>
        <v>1270.8</v>
      </c>
      <c r="H107" s="19">
        <f t="shared" si="8"/>
        <v>5217.142319999999</v>
      </c>
      <c r="I107" s="114" t="s">
        <v>1521</v>
      </c>
      <c r="J107" s="210">
        <f>VLOOKUP(I107,'Reajuste Atual'!$L$19:$M$25,2,FALSE)</f>
        <v>3.1053999999999999</v>
      </c>
      <c r="K107" s="190"/>
      <c r="L107" s="20">
        <v>222.39</v>
      </c>
      <c r="M107" s="765">
        <f t="shared" si="10"/>
        <v>158.85</v>
      </c>
      <c r="N107" s="765">
        <f t="shared" si="9"/>
        <v>161.7381818181818</v>
      </c>
      <c r="O107" s="765">
        <f t="shared" si="11"/>
        <v>158.85</v>
      </c>
    </row>
    <row r="108" spans="1:15" s="98" customFormat="1" ht="31.5" outlineLevel="1">
      <c r="A108" s="141" t="s">
        <v>3478</v>
      </c>
      <c r="B108" s="114" t="s">
        <v>369</v>
      </c>
      <c r="C108" s="100" t="s">
        <v>1814</v>
      </c>
      <c r="D108" s="22"/>
      <c r="E108" s="491"/>
      <c r="F108" s="20"/>
      <c r="G108" s="19">
        <f t="shared" si="6"/>
        <v>0</v>
      </c>
      <c r="H108" s="19">
        <f t="shared" si="8"/>
        <v>0</v>
      </c>
      <c r="I108" s="114"/>
      <c r="J108" s="210"/>
      <c r="K108" s="190"/>
      <c r="L108" s="20"/>
      <c r="M108" s="765"/>
      <c r="N108" s="765"/>
      <c r="O108" s="765">
        <f t="shared" si="11"/>
        <v>0</v>
      </c>
    </row>
    <row r="109" spans="1:15" s="98" customFormat="1" outlineLevel="1">
      <c r="A109" s="141" t="s">
        <v>3478</v>
      </c>
      <c r="B109" s="114" t="s">
        <v>370</v>
      </c>
      <c r="C109" s="100" t="s">
        <v>1815</v>
      </c>
      <c r="D109" s="181" t="s">
        <v>1468</v>
      </c>
      <c r="E109" s="491">
        <v>8</v>
      </c>
      <c r="F109" s="20">
        <f t="shared" si="7"/>
        <v>282.90714285714284</v>
      </c>
      <c r="G109" s="19">
        <f t="shared" si="6"/>
        <v>2263.2571428571428</v>
      </c>
      <c r="H109" s="19">
        <f t="shared" si="8"/>
        <v>9291.5758742857124</v>
      </c>
      <c r="I109" s="114" t="s">
        <v>1521</v>
      </c>
      <c r="J109" s="210">
        <f>VLOOKUP(I109,'Reajuste Atual'!$L$19:$M$25,2,FALSE)</f>
        <v>3.1053999999999999</v>
      </c>
      <c r="K109" s="190"/>
      <c r="L109" s="20">
        <v>396.07</v>
      </c>
      <c r="M109" s="765">
        <f t="shared" si="10"/>
        <v>282.90714285714284</v>
      </c>
      <c r="N109" s="765">
        <f t="shared" si="9"/>
        <v>288.0509090909091</v>
      </c>
      <c r="O109" s="765">
        <f t="shared" si="11"/>
        <v>282.90714285714284</v>
      </c>
    </row>
    <row r="110" spans="1:15" s="98" customFormat="1" outlineLevel="1">
      <c r="A110" s="141" t="s">
        <v>3478</v>
      </c>
      <c r="B110" s="114" t="s">
        <v>371</v>
      </c>
      <c r="C110" s="100" t="s">
        <v>1816</v>
      </c>
      <c r="D110" s="181" t="s">
        <v>1468</v>
      </c>
      <c r="E110" s="491">
        <v>8</v>
      </c>
      <c r="F110" s="20">
        <f t="shared" si="7"/>
        <v>354.76428571428573</v>
      </c>
      <c r="G110" s="19">
        <f t="shared" si="6"/>
        <v>2838.1142857142859</v>
      </c>
      <c r="H110" s="19">
        <f t="shared" si="8"/>
        <v>11651.594388571428</v>
      </c>
      <c r="I110" s="114" t="s">
        <v>1521</v>
      </c>
      <c r="J110" s="210">
        <f>VLOOKUP(I110,'Reajuste Atual'!$L$19:$M$25,2,FALSE)</f>
        <v>3.1053999999999999</v>
      </c>
      <c r="K110" s="190"/>
      <c r="L110" s="20">
        <v>496.67</v>
      </c>
      <c r="M110" s="765">
        <f t="shared" si="10"/>
        <v>354.76428571428573</v>
      </c>
      <c r="N110" s="765">
        <f t="shared" si="9"/>
        <v>361.21454545454549</v>
      </c>
      <c r="O110" s="765">
        <f t="shared" si="11"/>
        <v>354.76428571428573</v>
      </c>
    </row>
    <row r="111" spans="1:15" s="98" customFormat="1" outlineLevel="1">
      <c r="A111" s="141" t="s">
        <v>3478</v>
      </c>
      <c r="B111" s="114" t="s">
        <v>372</v>
      </c>
      <c r="C111" s="100" t="s">
        <v>1817</v>
      </c>
      <c r="D111" s="181" t="s">
        <v>1468</v>
      </c>
      <c r="E111" s="491">
        <v>8</v>
      </c>
      <c r="F111" s="20">
        <f t="shared" si="7"/>
        <v>89.814285714285717</v>
      </c>
      <c r="G111" s="19">
        <f t="shared" si="6"/>
        <v>718.51428571428573</v>
      </c>
      <c r="H111" s="19">
        <f t="shared" si="8"/>
        <v>2949.7885485714282</v>
      </c>
      <c r="I111" s="114" t="s">
        <v>1521</v>
      </c>
      <c r="J111" s="210">
        <f>VLOOKUP(I111,'Reajuste Atual'!$L$19:$M$25,2,FALSE)</f>
        <v>3.1053999999999999</v>
      </c>
      <c r="K111" s="190"/>
      <c r="L111" s="20">
        <v>125.74</v>
      </c>
      <c r="M111" s="765">
        <f t="shared" si="10"/>
        <v>89.814285714285717</v>
      </c>
      <c r="N111" s="765">
        <f t="shared" si="9"/>
        <v>91.447272727272718</v>
      </c>
      <c r="O111" s="765">
        <f t="shared" si="11"/>
        <v>89.814285714285717</v>
      </c>
    </row>
    <row r="112" spans="1:15" s="98" customFormat="1" outlineLevel="1">
      <c r="A112" s="141" t="s">
        <v>3478</v>
      </c>
      <c r="B112" s="114" t="s">
        <v>373</v>
      </c>
      <c r="C112" s="100" t="s">
        <v>1818</v>
      </c>
      <c r="D112" s="181" t="s">
        <v>1468</v>
      </c>
      <c r="E112" s="491">
        <v>4</v>
      </c>
      <c r="F112" s="20">
        <f t="shared" si="7"/>
        <v>443.45714285714291</v>
      </c>
      <c r="G112" s="19">
        <f t="shared" si="6"/>
        <v>1773.8285714285716</v>
      </c>
      <c r="H112" s="19">
        <f t="shared" si="8"/>
        <v>7282.2758171428568</v>
      </c>
      <c r="I112" s="114" t="s">
        <v>1521</v>
      </c>
      <c r="J112" s="210">
        <f>VLOOKUP(I112,'Reajuste Atual'!$L$19:$M$25,2,FALSE)</f>
        <v>3.1053999999999999</v>
      </c>
      <c r="K112" s="190"/>
      <c r="L112" s="20">
        <v>620.84</v>
      </c>
      <c r="M112" s="765">
        <f t="shared" si="10"/>
        <v>443.45714285714291</v>
      </c>
      <c r="N112" s="765">
        <f t="shared" si="9"/>
        <v>451.52000000000004</v>
      </c>
      <c r="O112" s="765">
        <f t="shared" si="11"/>
        <v>443.45714285714291</v>
      </c>
    </row>
    <row r="113" spans="1:15" s="98" customFormat="1" outlineLevel="1">
      <c r="A113" s="141" t="s">
        <v>3478</v>
      </c>
      <c r="B113" s="114" t="s">
        <v>374</v>
      </c>
      <c r="C113" s="100" t="s">
        <v>1819</v>
      </c>
      <c r="D113" s="181" t="s">
        <v>1468</v>
      </c>
      <c r="E113" s="491">
        <v>8</v>
      </c>
      <c r="F113" s="20">
        <f t="shared" si="7"/>
        <v>53.885714285714286</v>
      </c>
      <c r="G113" s="19">
        <f t="shared" si="6"/>
        <v>431.08571428571429</v>
      </c>
      <c r="H113" s="19">
        <f t="shared" si="8"/>
        <v>1769.7792914285712</v>
      </c>
      <c r="I113" s="114" t="s">
        <v>1521</v>
      </c>
      <c r="J113" s="210">
        <f>VLOOKUP(I113,'Reajuste Atual'!$L$19:$M$25,2,FALSE)</f>
        <v>3.1053999999999999</v>
      </c>
      <c r="K113" s="190"/>
      <c r="L113" s="20">
        <v>75.44</v>
      </c>
      <c r="M113" s="765">
        <f t="shared" si="10"/>
        <v>53.885714285714286</v>
      </c>
      <c r="N113" s="765">
        <f t="shared" si="9"/>
        <v>54.865454545454547</v>
      </c>
      <c r="O113" s="765">
        <f t="shared" si="11"/>
        <v>53.885714285714286</v>
      </c>
    </row>
    <row r="114" spans="1:15" s="98" customFormat="1" outlineLevel="1">
      <c r="A114" s="141" t="s">
        <v>3478</v>
      </c>
      <c r="B114" s="114" t="s">
        <v>375</v>
      </c>
      <c r="C114" s="100" t="s">
        <v>1820</v>
      </c>
      <c r="D114" s="181" t="s">
        <v>1468</v>
      </c>
      <c r="E114" s="491">
        <v>4</v>
      </c>
      <c r="F114" s="20">
        <f t="shared" si="7"/>
        <v>22.450000000000003</v>
      </c>
      <c r="G114" s="19">
        <f t="shared" si="6"/>
        <v>89.800000000000011</v>
      </c>
      <c r="H114" s="19">
        <f t="shared" si="8"/>
        <v>368.66492</v>
      </c>
      <c r="I114" s="114" t="s">
        <v>1521</v>
      </c>
      <c r="J114" s="210">
        <f>VLOOKUP(I114,'Reajuste Atual'!$L$19:$M$25,2,FALSE)</f>
        <v>3.1053999999999999</v>
      </c>
      <c r="K114" s="190"/>
      <c r="L114" s="20">
        <v>31.43</v>
      </c>
      <c r="M114" s="765">
        <f t="shared" si="10"/>
        <v>22.450000000000003</v>
      </c>
      <c r="N114" s="765">
        <f t="shared" si="9"/>
        <v>22.858181818181819</v>
      </c>
      <c r="O114" s="765">
        <f t="shared" si="11"/>
        <v>22.450000000000003</v>
      </c>
    </row>
    <row r="115" spans="1:15" s="98" customFormat="1" ht="31.5" outlineLevel="1">
      <c r="A115" s="141" t="s">
        <v>3478</v>
      </c>
      <c r="B115" s="114" t="s">
        <v>376</v>
      </c>
      <c r="C115" s="100" t="s">
        <v>1821</v>
      </c>
      <c r="D115" s="181" t="s">
        <v>1468</v>
      </c>
      <c r="E115" s="491">
        <v>4</v>
      </c>
      <c r="F115" s="20">
        <f t="shared" si="7"/>
        <v>824.0428571428572</v>
      </c>
      <c r="G115" s="19">
        <f t="shared" si="6"/>
        <v>3296.1714285714288</v>
      </c>
      <c r="H115" s="19">
        <f t="shared" si="8"/>
        <v>13532.102182857143</v>
      </c>
      <c r="I115" s="114" t="s">
        <v>1521</v>
      </c>
      <c r="J115" s="210">
        <f>VLOOKUP(I115,'Reajuste Atual'!$L$19:$M$25,2,FALSE)</f>
        <v>3.1053999999999999</v>
      </c>
      <c r="K115" s="190"/>
      <c r="L115" s="20">
        <v>1153.6600000000001</v>
      </c>
      <c r="M115" s="765">
        <f t="shared" si="10"/>
        <v>824.0428571428572</v>
      </c>
      <c r="N115" s="765">
        <f t="shared" si="9"/>
        <v>839.02545454545464</v>
      </c>
      <c r="O115" s="765">
        <f t="shared" si="11"/>
        <v>824.0428571428572</v>
      </c>
    </row>
    <row r="116" spans="1:15" s="98" customFormat="1" ht="31.5" outlineLevel="1">
      <c r="A116" s="141" t="s">
        <v>3478</v>
      </c>
      <c r="B116" s="114" t="s">
        <v>377</v>
      </c>
      <c r="C116" s="100" t="s">
        <v>1822</v>
      </c>
      <c r="D116" s="181" t="s">
        <v>1468</v>
      </c>
      <c r="E116" s="491">
        <v>4</v>
      </c>
      <c r="F116" s="20">
        <f t="shared" si="7"/>
        <v>205.44285714285715</v>
      </c>
      <c r="G116" s="19">
        <f t="shared" si="6"/>
        <v>821.7714285714286</v>
      </c>
      <c r="H116" s="19">
        <f t="shared" si="8"/>
        <v>3373.7004228571427</v>
      </c>
      <c r="I116" s="114" t="s">
        <v>1521</v>
      </c>
      <c r="J116" s="210">
        <f>VLOOKUP(I116,'Reajuste Atual'!$L$19:$M$25,2,FALSE)</f>
        <v>3.1053999999999999</v>
      </c>
      <c r="K116" s="190"/>
      <c r="L116" s="20">
        <v>287.62</v>
      </c>
      <c r="M116" s="765">
        <f t="shared" si="10"/>
        <v>205.44285714285715</v>
      </c>
      <c r="N116" s="765">
        <f t="shared" si="9"/>
        <v>209.17818181818183</v>
      </c>
      <c r="O116" s="765">
        <f t="shared" si="11"/>
        <v>205.44285714285715</v>
      </c>
    </row>
    <row r="117" spans="1:15" s="98" customFormat="1" ht="31.5" outlineLevel="1">
      <c r="A117" s="141" t="s">
        <v>3478</v>
      </c>
      <c r="B117" s="114" t="s">
        <v>378</v>
      </c>
      <c r="C117" s="100" t="s">
        <v>1823</v>
      </c>
      <c r="D117" s="181" t="s">
        <v>1468</v>
      </c>
      <c r="E117" s="491">
        <v>12</v>
      </c>
      <c r="F117" s="20">
        <f t="shared" si="7"/>
        <v>48.271428571428572</v>
      </c>
      <c r="G117" s="19">
        <f t="shared" si="6"/>
        <v>579.25714285714287</v>
      </c>
      <c r="H117" s="19">
        <f t="shared" si="8"/>
        <v>2378.082274285714</v>
      </c>
      <c r="I117" s="114" t="s">
        <v>1521</v>
      </c>
      <c r="J117" s="210">
        <f>VLOOKUP(I117,'Reajuste Atual'!$L$19:$M$25,2,FALSE)</f>
        <v>3.1053999999999999</v>
      </c>
      <c r="K117" s="190"/>
      <c r="L117" s="20">
        <v>67.58</v>
      </c>
      <c r="M117" s="765">
        <f t="shared" si="10"/>
        <v>48.271428571428572</v>
      </c>
      <c r="N117" s="765">
        <f t="shared" si="9"/>
        <v>49.149090909090908</v>
      </c>
      <c r="O117" s="765">
        <f t="shared" si="11"/>
        <v>48.271428571428572</v>
      </c>
    </row>
    <row r="118" spans="1:15" s="98" customFormat="1" ht="31.5" outlineLevel="1">
      <c r="A118" s="141" t="s">
        <v>3478</v>
      </c>
      <c r="B118" s="114" t="s">
        <v>379</v>
      </c>
      <c r="C118" s="100" t="s">
        <v>1824</v>
      </c>
      <c r="D118" s="181" t="s">
        <v>1468</v>
      </c>
      <c r="E118" s="491">
        <v>4</v>
      </c>
      <c r="F118" s="20">
        <f t="shared" si="7"/>
        <v>33.678571428571431</v>
      </c>
      <c r="G118" s="19">
        <f t="shared" si="6"/>
        <v>134.71428571428572</v>
      </c>
      <c r="H118" s="19">
        <f t="shared" si="8"/>
        <v>553.05602857142856</v>
      </c>
      <c r="I118" s="114" t="s">
        <v>1521</v>
      </c>
      <c r="J118" s="210">
        <f>VLOOKUP(I118,'Reajuste Atual'!$L$19:$M$25,2,FALSE)</f>
        <v>3.1053999999999999</v>
      </c>
      <c r="K118" s="190"/>
      <c r="L118" s="20">
        <v>47.15</v>
      </c>
      <c r="M118" s="765">
        <f t="shared" si="10"/>
        <v>33.678571428571431</v>
      </c>
      <c r="N118" s="765">
        <f t="shared" si="9"/>
        <v>34.290909090909089</v>
      </c>
      <c r="O118" s="765">
        <f t="shared" si="11"/>
        <v>33.678571428571431</v>
      </c>
    </row>
    <row r="119" spans="1:15" s="98" customFormat="1" ht="31.5" outlineLevel="1">
      <c r="A119" s="141" t="s">
        <v>3478</v>
      </c>
      <c r="B119" s="114" t="s">
        <v>380</v>
      </c>
      <c r="C119" s="100" t="s">
        <v>1825</v>
      </c>
      <c r="D119" s="181" t="s">
        <v>1468</v>
      </c>
      <c r="E119" s="491">
        <v>8</v>
      </c>
      <c r="F119" s="20">
        <f t="shared" si="7"/>
        <v>19.078571428571429</v>
      </c>
      <c r="G119" s="19">
        <f t="shared" si="6"/>
        <v>152.62857142857143</v>
      </c>
      <c r="H119" s="19">
        <f t="shared" si="8"/>
        <v>626.60133714285712</v>
      </c>
      <c r="I119" s="114" t="s">
        <v>1521</v>
      </c>
      <c r="J119" s="210">
        <f>VLOOKUP(I119,'Reajuste Atual'!$L$19:$M$25,2,FALSE)</f>
        <v>3.1053999999999999</v>
      </c>
      <c r="K119" s="190"/>
      <c r="L119" s="20">
        <v>26.71</v>
      </c>
      <c r="M119" s="765">
        <f t="shared" si="10"/>
        <v>19.078571428571429</v>
      </c>
      <c r="N119" s="765">
        <f t="shared" si="9"/>
        <v>19.425454545454546</v>
      </c>
      <c r="O119" s="765">
        <f t="shared" si="11"/>
        <v>19.078571428571429</v>
      </c>
    </row>
    <row r="120" spans="1:15" s="98" customFormat="1" outlineLevel="1">
      <c r="A120" s="141" t="s">
        <v>3478</v>
      </c>
      <c r="B120" s="114" t="s">
        <v>381</v>
      </c>
      <c r="C120" s="100" t="s">
        <v>1826</v>
      </c>
      <c r="D120" s="181" t="s">
        <v>1468</v>
      </c>
      <c r="E120" s="491">
        <v>4</v>
      </c>
      <c r="F120" s="20">
        <f t="shared" si="7"/>
        <v>227.9</v>
      </c>
      <c r="G120" s="19">
        <f t="shared" si="6"/>
        <v>911.6</v>
      </c>
      <c r="H120" s="19">
        <f t="shared" si="8"/>
        <v>3742.4826399999997</v>
      </c>
      <c r="I120" s="114" t="s">
        <v>1521</v>
      </c>
      <c r="J120" s="210">
        <f>VLOOKUP(I120,'Reajuste Atual'!$L$19:$M$25,2,FALSE)</f>
        <v>3.1053999999999999</v>
      </c>
      <c r="K120" s="190"/>
      <c r="L120" s="20">
        <v>319.06</v>
      </c>
      <c r="M120" s="765">
        <f t="shared" si="10"/>
        <v>227.9</v>
      </c>
      <c r="N120" s="765">
        <f t="shared" si="9"/>
        <v>232.04363636363635</v>
      </c>
      <c r="O120" s="765">
        <f t="shared" si="11"/>
        <v>227.9</v>
      </c>
    </row>
    <row r="121" spans="1:15" s="98" customFormat="1" outlineLevel="1">
      <c r="A121" s="141" t="s">
        <v>3478</v>
      </c>
      <c r="B121" s="114" t="s">
        <v>382</v>
      </c>
      <c r="C121" s="100" t="s">
        <v>1827</v>
      </c>
      <c r="D121" s="181" t="s">
        <v>1468</v>
      </c>
      <c r="E121" s="491">
        <v>8</v>
      </c>
      <c r="F121" s="20">
        <f t="shared" si="7"/>
        <v>136.22857142857143</v>
      </c>
      <c r="G121" s="19">
        <f t="shared" si="6"/>
        <v>1089.8285714285714</v>
      </c>
      <c r="H121" s="19">
        <f t="shared" si="8"/>
        <v>4474.1822171428566</v>
      </c>
      <c r="I121" s="114" t="s">
        <v>1521</v>
      </c>
      <c r="J121" s="210">
        <f>VLOOKUP(I121,'Reajuste Atual'!$L$19:$M$25,2,FALSE)</f>
        <v>3.1053999999999999</v>
      </c>
      <c r="K121" s="190"/>
      <c r="L121" s="20">
        <v>190.72</v>
      </c>
      <c r="M121" s="765">
        <f t="shared" si="10"/>
        <v>136.22857142857143</v>
      </c>
      <c r="N121" s="765">
        <f t="shared" si="9"/>
        <v>138.70545454545456</v>
      </c>
      <c r="O121" s="765">
        <f t="shared" si="11"/>
        <v>136.22857142857143</v>
      </c>
    </row>
    <row r="122" spans="1:15" s="98" customFormat="1" outlineLevel="1">
      <c r="A122" s="141" t="s">
        <v>3478</v>
      </c>
      <c r="B122" s="114" t="s">
        <v>383</v>
      </c>
      <c r="C122" s="100" t="s">
        <v>1828</v>
      </c>
      <c r="D122" s="181" t="s">
        <v>1468</v>
      </c>
      <c r="E122" s="491">
        <v>8</v>
      </c>
      <c r="F122" s="20">
        <f t="shared" si="7"/>
        <v>13.471428571428572</v>
      </c>
      <c r="G122" s="19">
        <f t="shared" si="6"/>
        <v>107.77142857142857</v>
      </c>
      <c r="H122" s="19">
        <f t="shared" si="8"/>
        <v>442.44482285714281</v>
      </c>
      <c r="I122" s="114" t="s">
        <v>1521</v>
      </c>
      <c r="J122" s="210">
        <f>VLOOKUP(I122,'Reajuste Atual'!$L$19:$M$25,2,FALSE)</f>
        <v>3.1053999999999999</v>
      </c>
      <c r="K122" s="190"/>
      <c r="L122" s="20">
        <v>18.86</v>
      </c>
      <c r="M122" s="765">
        <f t="shared" si="10"/>
        <v>13.471428571428572</v>
      </c>
      <c r="N122" s="765">
        <f t="shared" si="9"/>
        <v>13.716363636363637</v>
      </c>
      <c r="O122" s="765">
        <f t="shared" si="11"/>
        <v>13.471428571428572</v>
      </c>
    </row>
    <row r="123" spans="1:15" s="98" customFormat="1" outlineLevel="1">
      <c r="A123" s="141" t="s">
        <v>3478</v>
      </c>
      <c r="B123" s="114" t="s">
        <v>384</v>
      </c>
      <c r="C123" s="100" t="s">
        <v>1829</v>
      </c>
      <c r="D123" s="181" t="s">
        <v>1468</v>
      </c>
      <c r="E123" s="491">
        <v>4</v>
      </c>
      <c r="F123" s="20">
        <f t="shared" si="7"/>
        <v>85.321428571428584</v>
      </c>
      <c r="G123" s="19">
        <f t="shared" si="6"/>
        <v>341.28571428571433</v>
      </c>
      <c r="H123" s="19">
        <f t="shared" si="8"/>
        <v>1401.1143714285715</v>
      </c>
      <c r="I123" s="114" t="s">
        <v>1521</v>
      </c>
      <c r="J123" s="210">
        <f>VLOOKUP(I123,'Reajuste Atual'!$L$19:$M$25,2,FALSE)</f>
        <v>3.1053999999999999</v>
      </c>
      <c r="K123" s="190"/>
      <c r="L123" s="20">
        <v>119.45</v>
      </c>
      <c r="M123" s="765">
        <f t="shared" si="10"/>
        <v>85.321428571428584</v>
      </c>
      <c r="N123" s="765">
        <f t="shared" si="9"/>
        <v>86.872727272727275</v>
      </c>
      <c r="O123" s="765">
        <f t="shared" si="11"/>
        <v>85.321428571428584</v>
      </c>
    </row>
    <row r="124" spans="1:15" s="98" customFormat="1" outlineLevel="1">
      <c r="A124" s="141" t="s">
        <v>3478</v>
      </c>
      <c r="B124" s="114" t="s">
        <v>385</v>
      </c>
      <c r="C124" s="100" t="s">
        <v>1830</v>
      </c>
      <c r="D124" s="181" t="s">
        <v>1468</v>
      </c>
      <c r="E124" s="491">
        <v>4</v>
      </c>
      <c r="F124" s="20">
        <f t="shared" si="7"/>
        <v>117.87857142857143</v>
      </c>
      <c r="G124" s="19">
        <f t="shared" si="6"/>
        <v>471.51428571428573</v>
      </c>
      <c r="H124" s="19">
        <f t="shared" si="8"/>
        <v>1935.7547485714283</v>
      </c>
      <c r="I124" s="114" t="s">
        <v>1521</v>
      </c>
      <c r="J124" s="210">
        <f>VLOOKUP(I124,'Reajuste Atual'!$L$19:$M$25,2,FALSE)</f>
        <v>3.1053999999999999</v>
      </c>
      <c r="K124" s="190"/>
      <c r="L124" s="20">
        <v>165.03</v>
      </c>
      <c r="M124" s="765">
        <f t="shared" si="10"/>
        <v>117.87857142857143</v>
      </c>
      <c r="N124" s="765">
        <f t="shared" si="9"/>
        <v>120.02181818181818</v>
      </c>
      <c r="O124" s="765">
        <f t="shared" si="11"/>
        <v>117.87857142857143</v>
      </c>
    </row>
    <row r="125" spans="1:15" s="98" customFormat="1" outlineLevel="1">
      <c r="A125" s="141" t="s">
        <v>3478</v>
      </c>
      <c r="B125" s="114" t="s">
        <v>386</v>
      </c>
      <c r="C125" s="100" t="s">
        <v>1831</v>
      </c>
      <c r="D125" s="181" t="s">
        <v>1468</v>
      </c>
      <c r="E125" s="491">
        <v>7</v>
      </c>
      <c r="F125" s="20">
        <f t="shared" si="7"/>
        <v>278.42142857142858</v>
      </c>
      <c r="G125" s="19">
        <f t="shared" si="6"/>
        <v>1948.95</v>
      </c>
      <c r="H125" s="19">
        <f t="shared" si="8"/>
        <v>8001.219329999999</v>
      </c>
      <c r="I125" s="114" t="s">
        <v>1521</v>
      </c>
      <c r="J125" s="210">
        <f>VLOOKUP(I125,'Reajuste Atual'!$L$19:$M$25,2,FALSE)</f>
        <v>3.1053999999999999</v>
      </c>
      <c r="K125" s="190"/>
      <c r="L125" s="20">
        <v>389.79</v>
      </c>
      <c r="M125" s="765">
        <f t="shared" si="10"/>
        <v>278.42142857142858</v>
      </c>
      <c r="N125" s="765">
        <f t="shared" si="9"/>
        <v>283.48363636363638</v>
      </c>
      <c r="O125" s="765">
        <f t="shared" si="11"/>
        <v>278.42142857142858</v>
      </c>
    </row>
    <row r="126" spans="1:15" s="98" customFormat="1" ht="31.5" outlineLevel="1">
      <c r="A126" s="141" t="s">
        <v>3478</v>
      </c>
      <c r="B126" s="114" t="s">
        <v>387</v>
      </c>
      <c r="C126" s="100" t="s">
        <v>1832</v>
      </c>
      <c r="D126" s="181" t="s">
        <v>1468</v>
      </c>
      <c r="E126" s="491">
        <v>4</v>
      </c>
      <c r="F126" s="20">
        <f t="shared" si="7"/>
        <v>316.59285714285716</v>
      </c>
      <c r="G126" s="19">
        <f t="shared" si="6"/>
        <v>1266.3714285714286</v>
      </c>
      <c r="H126" s="19">
        <f t="shared" si="8"/>
        <v>5198.9612628571422</v>
      </c>
      <c r="I126" s="114" t="s">
        <v>1521</v>
      </c>
      <c r="J126" s="210">
        <f>VLOOKUP(I126,'Reajuste Atual'!$L$19:$M$25,2,FALSE)</f>
        <v>3.1053999999999999</v>
      </c>
      <c r="K126" s="190"/>
      <c r="L126" s="20">
        <v>443.23</v>
      </c>
      <c r="M126" s="765">
        <f t="shared" si="10"/>
        <v>316.59285714285716</v>
      </c>
      <c r="N126" s="765">
        <f t="shared" si="9"/>
        <v>322.34909090909093</v>
      </c>
      <c r="O126" s="765">
        <f t="shared" si="11"/>
        <v>316.59285714285716</v>
      </c>
    </row>
    <row r="127" spans="1:15" s="98" customFormat="1" outlineLevel="1">
      <c r="A127" s="141" t="s">
        <v>3478</v>
      </c>
      <c r="B127" s="114" t="s">
        <v>388</v>
      </c>
      <c r="C127" s="100" t="s">
        <v>1833</v>
      </c>
      <c r="D127" s="181" t="s">
        <v>1468</v>
      </c>
      <c r="E127" s="491">
        <v>4</v>
      </c>
      <c r="F127" s="20">
        <f t="shared" si="7"/>
        <v>209.94285714285718</v>
      </c>
      <c r="G127" s="19">
        <f t="shared" si="6"/>
        <v>839.77142857142871</v>
      </c>
      <c r="H127" s="19">
        <f t="shared" si="8"/>
        <v>3447.5976228571431</v>
      </c>
      <c r="I127" s="114" t="s">
        <v>1521</v>
      </c>
      <c r="J127" s="210">
        <f>VLOOKUP(I127,'Reajuste Atual'!$L$19:$M$25,2,FALSE)</f>
        <v>3.1053999999999999</v>
      </c>
      <c r="K127" s="190"/>
      <c r="L127" s="20">
        <v>293.92</v>
      </c>
      <c r="M127" s="765">
        <f t="shared" si="10"/>
        <v>209.94285714285718</v>
      </c>
      <c r="N127" s="765">
        <f t="shared" si="9"/>
        <v>213.76000000000002</v>
      </c>
      <c r="O127" s="765">
        <f t="shared" si="11"/>
        <v>209.94285714285718</v>
      </c>
    </row>
    <row r="128" spans="1:15" s="98" customFormat="1" ht="31.5" outlineLevel="1">
      <c r="A128" s="141" t="s">
        <v>3478</v>
      </c>
      <c r="B128" s="114" t="s">
        <v>389</v>
      </c>
      <c r="C128" s="100" t="s">
        <v>1834</v>
      </c>
      <c r="D128" s="181" t="s">
        <v>1468</v>
      </c>
      <c r="E128" s="491">
        <v>4</v>
      </c>
      <c r="F128" s="20">
        <f t="shared" si="7"/>
        <v>345.78571428571433</v>
      </c>
      <c r="G128" s="19">
        <f t="shared" si="6"/>
        <v>1383.1428571428573</v>
      </c>
      <c r="H128" s="19">
        <f t="shared" si="8"/>
        <v>5678.3546857142856</v>
      </c>
      <c r="I128" s="114" t="s">
        <v>1521</v>
      </c>
      <c r="J128" s="210">
        <f>VLOOKUP(I128,'Reajuste Atual'!$L$19:$M$25,2,FALSE)</f>
        <v>3.1053999999999999</v>
      </c>
      <c r="K128" s="190"/>
      <c r="L128" s="20">
        <v>484.1</v>
      </c>
      <c r="M128" s="765">
        <f t="shared" si="10"/>
        <v>345.78571428571433</v>
      </c>
      <c r="N128" s="765">
        <f t="shared" si="9"/>
        <v>352.07272727272726</v>
      </c>
      <c r="O128" s="765">
        <f t="shared" si="11"/>
        <v>345.78571428571433</v>
      </c>
    </row>
    <row r="129" spans="1:15" s="98" customFormat="1" outlineLevel="1">
      <c r="A129" s="141" t="s">
        <v>3478</v>
      </c>
      <c r="B129" s="114" t="s">
        <v>390</v>
      </c>
      <c r="C129" s="100" t="s">
        <v>1835</v>
      </c>
      <c r="D129" s="181" t="s">
        <v>1468</v>
      </c>
      <c r="E129" s="491">
        <v>4</v>
      </c>
      <c r="F129" s="20">
        <f t="shared" si="7"/>
        <v>180.75000000000003</v>
      </c>
      <c r="G129" s="19">
        <f t="shared" si="6"/>
        <v>723.00000000000011</v>
      </c>
      <c r="H129" s="19">
        <f t="shared" si="8"/>
        <v>2968.2042000000001</v>
      </c>
      <c r="I129" s="114" t="s">
        <v>1521</v>
      </c>
      <c r="J129" s="210">
        <f>VLOOKUP(I129,'Reajuste Atual'!$L$19:$M$25,2,FALSE)</f>
        <v>3.1053999999999999</v>
      </c>
      <c r="K129" s="190"/>
      <c r="L129" s="20">
        <v>253.05</v>
      </c>
      <c r="M129" s="765">
        <f t="shared" si="10"/>
        <v>180.75000000000003</v>
      </c>
      <c r="N129" s="765">
        <f t="shared" si="9"/>
        <v>184.03636363636363</v>
      </c>
      <c r="O129" s="765">
        <f t="shared" si="11"/>
        <v>180.75000000000003</v>
      </c>
    </row>
    <row r="130" spans="1:15" s="98" customFormat="1" outlineLevel="1">
      <c r="A130" s="141" t="s">
        <v>3478</v>
      </c>
      <c r="B130" s="114" t="s">
        <v>391</v>
      </c>
      <c r="C130" s="100" t="s">
        <v>1836</v>
      </c>
      <c r="D130" s="181" t="s">
        <v>1468</v>
      </c>
      <c r="E130" s="491">
        <v>4</v>
      </c>
      <c r="F130" s="20">
        <f t="shared" si="7"/>
        <v>410.32857142857148</v>
      </c>
      <c r="G130" s="19">
        <f t="shared" si="6"/>
        <v>1641.3142857142859</v>
      </c>
      <c r="H130" s="19">
        <f t="shared" si="8"/>
        <v>6738.2516685714281</v>
      </c>
      <c r="I130" s="114" t="s">
        <v>1521</v>
      </c>
      <c r="J130" s="210">
        <f>VLOOKUP(I130,'Reajuste Atual'!$L$19:$M$25,2,FALSE)</f>
        <v>3.1053999999999999</v>
      </c>
      <c r="K130" s="190"/>
      <c r="L130" s="20">
        <v>574.46</v>
      </c>
      <c r="M130" s="765">
        <f t="shared" si="10"/>
        <v>410.32857142857148</v>
      </c>
      <c r="N130" s="765">
        <f t="shared" si="9"/>
        <v>417.78909090909093</v>
      </c>
      <c r="O130" s="765">
        <f t="shared" si="11"/>
        <v>410.32857142857148</v>
      </c>
    </row>
    <row r="131" spans="1:15" s="98" customFormat="1" outlineLevel="1">
      <c r="A131" s="141" t="s">
        <v>3478</v>
      </c>
      <c r="B131" s="114" t="s">
        <v>392</v>
      </c>
      <c r="C131" s="100" t="s">
        <v>1837</v>
      </c>
      <c r="D131" s="181" t="s">
        <v>1468</v>
      </c>
      <c r="E131" s="491">
        <v>8</v>
      </c>
      <c r="F131" s="20">
        <f t="shared" si="7"/>
        <v>141.45714285714286</v>
      </c>
      <c r="G131" s="19">
        <f t="shared" si="6"/>
        <v>1131.6571428571428</v>
      </c>
      <c r="H131" s="19">
        <f t="shared" si="8"/>
        <v>4645.905234285714</v>
      </c>
      <c r="I131" s="114" t="s">
        <v>1521</v>
      </c>
      <c r="J131" s="210">
        <f>VLOOKUP(I131,'Reajuste Atual'!$L$19:$M$25,2,FALSE)</f>
        <v>3.1053999999999999</v>
      </c>
      <c r="K131" s="190"/>
      <c r="L131" s="20">
        <v>198.04</v>
      </c>
      <c r="M131" s="765">
        <f t="shared" si="10"/>
        <v>141.45714285714286</v>
      </c>
      <c r="N131" s="765">
        <f t="shared" si="9"/>
        <v>144.02909090909091</v>
      </c>
      <c r="O131" s="765">
        <f t="shared" si="11"/>
        <v>141.45714285714286</v>
      </c>
    </row>
    <row r="132" spans="1:15" s="98" customFormat="1" outlineLevel="1">
      <c r="A132" s="141" t="s">
        <v>3478</v>
      </c>
      <c r="B132" s="114" t="s">
        <v>393</v>
      </c>
      <c r="C132" s="100" t="s">
        <v>1838</v>
      </c>
      <c r="D132" s="181" t="s">
        <v>1468</v>
      </c>
      <c r="E132" s="491">
        <v>4</v>
      </c>
      <c r="F132" s="20">
        <f t="shared" si="7"/>
        <v>948.6</v>
      </c>
      <c r="G132" s="19">
        <f t="shared" si="6"/>
        <v>3794.4</v>
      </c>
      <c r="H132" s="19">
        <f t="shared" si="8"/>
        <v>15577.529759999998</v>
      </c>
      <c r="I132" s="114" t="s">
        <v>1521</v>
      </c>
      <c r="J132" s="210">
        <f>VLOOKUP(I132,'Reajuste Atual'!$L$19:$M$25,2,FALSE)</f>
        <v>3.1053999999999999</v>
      </c>
      <c r="K132" s="190"/>
      <c r="L132" s="20">
        <v>1328.04</v>
      </c>
      <c r="M132" s="765">
        <f t="shared" si="10"/>
        <v>948.6</v>
      </c>
      <c r="N132" s="765">
        <f t="shared" si="9"/>
        <v>965.84727272727275</v>
      </c>
      <c r="O132" s="765">
        <f t="shared" si="11"/>
        <v>948.6</v>
      </c>
    </row>
    <row r="133" spans="1:15" s="98" customFormat="1" outlineLevel="1">
      <c r="A133" s="141" t="s">
        <v>3478</v>
      </c>
      <c r="B133" s="114" t="s">
        <v>394</v>
      </c>
      <c r="C133" s="100" t="s">
        <v>1839</v>
      </c>
      <c r="D133" s="181" t="s">
        <v>1468</v>
      </c>
      <c r="E133" s="491">
        <v>4</v>
      </c>
      <c r="F133" s="20">
        <f t="shared" si="7"/>
        <v>126.85714285714286</v>
      </c>
      <c r="G133" s="19">
        <f t="shared" si="6"/>
        <v>507.42857142857144</v>
      </c>
      <c r="H133" s="19">
        <f t="shared" si="8"/>
        <v>2083.1972571428569</v>
      </c>
      <c r="I133" s="114" t="s">
        <v>1521</v>
      </c>
      <c r="J133" s="210">
        <f>VLOOKUP(I133,'Reajuste Atual'!$L$19:$M$25,2,FALSE)</f>
        <v>3.1053999999999999</v>
      </c>
      <c r="K133" s="190"/>
      <c r="L133" s="20">
        <v>177.6</v>
      </c>
      <c r="M133" s="765">
        <f t="shared" si="10"/>
        <v>126.85714285714286</v>
      </c>
      <c r="N133" s="765">
        <f t="shared" si="9"/>
        <v>129.16363636363636</v>
      </c>
      <c r="O133" s="765">
        <f t="shared" si="11"/>
        <v>126.85714285714286</v>
      </c>
    </row>
    <row r="134" spans="1:15" s="98" customFormat="1" outlineLevel="1">
      <c r="A134" s="141" t="s">
        <v>3478</v>
      </c>
      <c r="B134" s="114" t="s">
        <v>395</v>
      </c>
      <c r="C134" s="100" t="s">
        <v>1840</v>
      </c>
      <c r="D134" s="181" t="s">
        <v>1468</v>
      </c>
      <c r="E134" s="491">
        <v>4</v>
      </c>
      <c r="F134" s="20">
        <f t="shared" si="7"/>
        <v>370.4785714285714</v>
      </c>
      <c r="G134" s="19">
        <f t="shared" si="6"/>
        <v>1481.9142857142856</v>
      </c>
      <c r="H134" s="19">
        <f t="shared" si="8"/>
        <v>6083.8509085714277</v>
      </c>
      <c r="I134" s="114" t="s">
        <v>1521</v>
      </c>
      <c r="J134" s="210">
        <f>VLOOKUP(I134,'Reajuste Atual'!$L$19:$M$25,2,FALSE)</f>
        <v>3.1053999999999999</v>
      </c>
      <c r="K134" s="190"/>
      <c r="L134" s="20">
        <v>518.66999999999996</v>
      </c>
      <c r="M134" s="765">
        <f t="shared" si="10"/>
        <v>370.4785714285714</v>
      </c>
      <c r="N134" s="765">
        <f t="shared" si="9"/>
        <v>377.21454545454543</v>
      </c>
      <c r="O134" s="765">
        <f t="shared" si="11"/>
        <v>370.4785714285714</v>
      </c>
    </row>
    <row r="135" spans="1:15" s="98" customFormat="1" ht="47.25" outlineLevel="1">
      <c r="A135" s="141" t="s">
        <v>3478</v>
      </c>
      <c r="B135" s="790" t="s">
        <v>396</v>
      </c>
      <c r="C135" s="248" t="s">
        <v>1841</v>
      </c>
      <c r="D135" s="22"/>
      <c r="E135" s="491">
        <v>0</v>
      </c>
      <c r="F135" s="20">
        <f t="shared" si="7"/>
        <v>0</v>
      </c>
      <c r="G135" s="19">
        <f t="shared" si="6"/>
        <v>0</v>
      </c>
      <c r="H135" s="19">
        <f t="shared" si="8"/>
        <v>0</v>
      </c>
      <c r="I135" s="114"/>
      <c r="J135" s="210"/>
      <c r="K135" s="190"/>
      <c r="L135" s="20">
        <v>0</v>
      </c>
      <c r="M135" s="765">
        <f t="shared" si="10"/>
        <v>0</v>
      </c>
      <c r="N135" s="765">
        <f t="shared" si="9"/>
        <v>0</v>
      </c>
      <c r="O135" s="765">
        <f t="shared" si="11"/>
        <v>0</v>
      </c>
    </row>
    <row r="136" spans="1:15" s="98" customFormat="1" outlineLevel="1">
      <c r="A136" s="141" t="s">
        <v>3478</v>
      </c>
      <c r="B136" s="114" t="s">
        <v>397</v>
      </c>
      <c r="C136" s="100" t="s">
        <v>1842</v>
      </c>
      <c r="D136" s="181" t="s">
        <v>1468</v>
      </c>
      <c r="E136" s="491">
        <v>4</v>
      </c>
      <c r="F136" s="20">
        <f t="shared" si="7"/>
        <v>345.78571428571433</v>
      </c>
      <c r="G136" s="19">
        <f t="shared" si="6"/>
        <v>1383.1428571428573</v>
      </c>
      <c r="H136" s="19">
        <f t="shared" si="8"/>
        <v>5678.3546857142856</v>
      </c>
      <c r="I136" s="114" t="s">
        <v>1521</v>
      </c>
      <c r="J136" s="210">
        <f>VLOOKUP(I136,'Reajuste Atual'!$L$19:$M$25,2,FALSE)</f>
        <v>3.1053999999999999</v>
      </c>
      <c r="K136" s="190"/>
      <c r="L136" s="20">
        <v>484.1</v>
      </c>
      <c r="M136" s="765">
        <f t="shared" si="10"/>
        <v>345.78571428571433</v>
      </c>
      <c r="N136" s="765">
        <f t="shared" si="9"/>
        <v>352.07272727272726</v>
      </c>
      <c r="O136" s="765">
        <f t="shared" si="11"/>
        <v>345.78571428571433</v>
      </c>
    </row>
    <row r="137" spans="1:15" s="98" customFormat="1" outlineLevel="1">
      <c r="A137" s="141" t="s">
        <v>3478</v>
      </c>
      <c r="B137" s="114" t="s">
        <v>398</v>
      </c>
      <c r="C137" s="100" t="s">
        <v>1843</v>
      </c>
      <c r="D137" s="181" t="s">
        <v>1468</v>
      </c>
      <c r="E137" s="491">
        <v>4</v>
      </c>
      <c r="F137" s="20">
        <f t="shared" si="7"/>
        <v>474.89285714285717</v>
      </c>
      <c r="G137" s="19">
        <f t="shared" si="6"/>
        <v>1899.5714285714287</v>
      </c>
      <c r="H137" s="19">
        <f t="shared" si="8"/>
        <v>7798.5005428571421</v>
      </c>
      <c r="I137" s="114" t="s">
        <v>1521</v>
      </c>
      <c r="J137" s="210">
        <f>VLOOKUP(I137,'Reajuste Atual'!$L$19:$M$25,2,FALSE)</f>
        <v>3.1053999999999999</v>
      </c>
      <c r="K137" s="190"/>
      <c r="L137" s="20">
        <v>664.85</v>
      </c>
      <c r="M137" s="765">
        <f t="shared" si="10"/>
        <v>474.89285714285717</v>
      </c>
      <c r="N137" s="765">
        <f t="shared" si="9"/>
        <v>483.52727272727276</v>
      </c>
      <c r="O137" s="765">
        <f t="shared" si="11"/>
        <v>474.89285714285717</v>
      </c>
    </row>
    <row r="138" spans="1:15" s="98" customFormat="1" outlineLevel="1">
      <c r="A138" s="141" t="s">
        <v>3478</v>
      </c>
      <c r="B138" s="114" t="s">
        <v>399</v>
      </c>
      <c r="C138" s="100" t="s">
        <v>1844</v>
      </c>
      <c r="D138" s="181" t="s">
        <v>1468</v>
      </c>
      <c r="E138" s="491">
        <v>12</v>
      </c>
      <c r="F138" s="20">
        <f t="shared" si="7"/>
        <v>133.59285714285716</v>
      </c>
      <c r="G138" s="19">
        <f t="shared" si="6"/>
        <v>1603.1142857142859</v>
      </c>
      <c r="H138" s="19">
        <f t="shared" si="8"/>
        <v>6581.4253885714288</v>
      </c>
      <c r="I138" s="114" t="s">
        <v>1521</v>
      </c>
      <c r="J138" s="210">
        <f>VLOOKUP(I138,'Reajuste Atual'!$L$19:$M$25,2,FALSE)</f>
        <v>3.1053999999999999</v>
      </c>
      <c r="K138" s="190"/>
      <c r="L138" s="20">
        <v>187.03</v>
      </c>
      <c r="M138" s="765">
        <f t="shared" si="10"/>
        <v>133.59285714285716</v>
      </c>
      <c r="N138" s="765">
        <f t="shared" si="9"/>
        <v>136.02181818181819</v>
      </c>
      <c r="O138" s="765">
        <f t="shared" si="11"/>
        <v>133.59285714285716</v>
      </c>
    </row>
    <row r="139" spans="1:15" s="98" customFormat="1" outlineLevel="1">
      <c r="A139" s="141" t="s">
        <v>3478</v>
      </c>
      <c r="B139" s="114" t="s">
        <v>400</v>
      </c>
      <c r="C139" s="100" t="s">
        <v>1845</v>
      </c>
      <c r="D139" s="181" t="s">
        <v>1468</v>
      </c>
      <c r="E139" s="491">
        <v>4</v>
      </c>
      <c r="F139" s="20">
        <f t="shared" si="7"/>
        <v>545.62142857142862</v>
      </c>
      <c r="G139" s="19">
        <f t="shared" si="6"/>
        <v>2182.4857142857145</v>
      </c>
      <c r="H139" s="19">
        <f t="shared" si="8"/>
        <v>8959.9768514285715</v>
      </c>
      <c r="I139" s="114" t="s">
        <v>1521</v>
      </c>
      <c r="J139" s="210">
        <f>VLOOKUP(I139,'Reajuste Atual'!$L$19:$M$25,2,FALSE)</f>
        <v>3.1053999999999999</v>
      </c>
      <c r="K139" s="190"/>
      <c r="L139" s="20">
        <v>763.87</v>
      </c>
      <c r="M139" s="765">
        <f t="shared" si="10"/>
        <v>545.62142857142862</v>
      </c>
      <c r="N139" s="765">
        <f t="shared" si="9"/>
        <v>555.54181818181814</v>
      </c>
      <c r="O139" s="765">
        <f t="shared" si="11"/>
        <v>545.62142857142862</v>
      </c>
    </row>
    <row r="140" spans="1:15" s="98" customFormat="1" outlineLevel="1">
      <c r="A140" s="141" t="s">
        <v>3478</v>
      </c>
      <c r="B140" s="114" t="s">
        <v>401</v>
      </c>
      <c r="C140" s="100" t="s">
        <v>1846</v>
      </c>
      <c r="D140" s="181" t="s">
        <v>1468</v>
      </c>
      <c r="E140" s="491">
        <v>4</v>
      </c>
      <c r="F140" s="20">
        <f t="shared" si="7"/>
        <v>32.557142857142857</v>
      </c>
      <c r="G140" s="19">
        <f t="shared" si="6"/>
        <v>130.22857142857143</v>
      </c>
      <c r="H140" s="19">
        <f t="shared" si="8"/>
        <v>534.64037714285712</v>
      </c>
      <c r="I140" s="114" t="s">
        <v>1521</v>
      </c>
      <c r="J140" s="210">
        <f>VLOOKUP(I140,'Reajuste Atual'!$L$19:$M$25,2,FALSE)</f>
        <v>3.1053999999999999</v>
      </c>
      <c r="K140" s="190"/>
      <c r="L140" s="20">
        <v>45.58</v>
      </c>
      <c r="M140" s="765">
        <f t="shared" si="10"/>
        <v>32.557142857142857</v>
      </c>
      <c r="N140" s="765">
        <f t="shared" si="9"/>
        <v>33.149090909090908</v>
      </c>
      <c r="O140" s="765">
        <f t="shared" si="11"/>
        <v>32.557142857142857</v>
      </c>
    </row>
    <row r="141" spans="1:15" s="98" customFormat="1" outlineLevel="1">
      <c r="A141" s="141" t="s">
        <v>3478</v>
      </c>
      <c r="B141" s="114" t="s">
        <v>402</v>
      </c>
      <c r="C141" s="100" t="s">
        <v>1847</v>
      </c>
      <c r="D141" s="181" t="s">
        <v>1468</v>
      </c>
      <c r="E141" s="491">
        <v>4</v>
      </c>
      <c r="F141" s="20">
        <f t="shared" si="7"/>
        <v>66.235714285714295</v>
      </c>
      <c r="G141" s="19">
        <f t="shared" si="6"/>
        <v>264.94285714285718</v>
      </c>
      <c r="H141" s="19">
        <f t="shared" si="8"/>
        <v>1087.6964057142857</v>
      </c>
      <c r="I141" s="114" t="s">
        <v>1521</v>
      </c>
      <c r="J141" s="210">
        <f>VLOOKUP(I141,'Reajuste Atual'!$L$19:$M$25,2,FALSE)</f>
        <v>3.1053999999999999</v>
      </c>
      <c r="K141" s="190"/>
      <c r="L141" s="20">
        <v>92.73</v>
      </c>
      <c r="M141" s="765">
        <f t="shared" si="10"/>
        <v>66.235714285714295</v>
      </c>
      <c r="N141" s="765">
        <f t="shared" si="9"/>
        <v>67.44</v>
      </c>
      <c r="O141" s="765">
        <f t="shared" si="11"/>
        <v>66.235714285714295</v>
      </c>
    </row>
    <row r="142" spans="1:15" s="98" customFormat="1" outlineLevel="1">
      <c r="A142" s="141" t="s">
        <v>3478</v>
      </c>
      <c r="B142" s="114" t="s">
        <v>403</v>
      </c>
      <c r="C142" s="100" t="s">
        <v>1848</v>
      </c>
      <c r="D142" s="181" t="s">
        <v>1468</v>
      </c>
      <c r="E142" s="491">
        <v>4</v>
      </c>
      <c r="F142" s="20">
        <f t="shared" si="7"/>
        <v>691</v>
      </c>
      <c r="G142" s="19">
        <f t="shared" si="6"/>
        <v>2764</v>
      </c>
      <c r="H142" s="19">
        <f t="shared" si="8"/>
        <v>11347.325599999998</v>
      </c>
      <c r="I142" s="114" t="s">
        <v>1521</v>
      </c>
      <c r="J142" s="210">
        <f>VLOOKUP(I142,'Reajuste Atual'!$L$19:$M$25,2,FALSE)</f>
        <v>3.1053999999999999</v>
      </c>
      <c r="K142" s="190"/>
      <c r="L142" s="20">
        <v>967.4</v>
      </c>
      <c r="M142" s="765">
        <f t="shared" si="10"/>
        <v>691</v>
      </c>
      <c r="N142" s="765">
        <f t="shared" si="9"/>
        <v>703.56363636363631</v>
      </c>
      <c r="O142" s="765">
        <f t="shared" si="11"/>
        <v>691</v>
      </c>
    </row>
    <row r="143" spans="1:15" s="98" customFormat="1" outlineLevel="1">
      <c r="A143" s="141" t="s">
        <v>3478</v>
      </c>
      <c r="B143" s="114" t="s">
        <v>404</v>
      </c>
      <c r="C143" s="100" t="s">
        <v>1849</v>
      </c>
      <c r="D143" s="181" t="s">
        <v>1468</v>
      </c>
      <c r="E143" s="491">
        <v>8</v>
      </c>
      <c r="F143" s="20">
        <f t="shared" si="7"/>
        <v>27.492857142857147</v>
      </c>
      <c r="G143" s="19">
        <f t="shared" si="6"/>
        <v>219.94285714285718</v>
      </c>
      <c r="H143" s="19">
        <f t="shared" si="8"/>
        <v>902.95340571428574</v>
      </c>
      <c r="I143" s="114" t="s">
        <v>1521</v>
      </c>
      <c r="J143" s="210">
        <f>VLOOKUP(I143,'Reajuste Atual'!$L$19:$M$25,2,FALSE)</f>
        <v>3.1053999999999999</v>
      </c>
      <c r="K143" s="190"/>
      <c r="L143" s="20">
        <v>38.49</v>
      </c>
      <c r="M143" s="765">
        <f t="shared" si="10"/>
        <v>27.492857142857147</v>
      </c>
      <c r="N143" s="765">
        <f t="shared" si="9"/>
        <v>27.992727272727276</v>
      </c>
      <c r="O143" s="765">
        <f t="shared" si="11"/>
        <v>27.492857142857147</v>
      </c>
    </row>
    <row r="144" spans="1:15" s="98" customFormat="1" outlineLevel="1">
      <c r="A144" s="141" t="s">
        <v>3478</v>
      </c>
      <c r="B144" s="114" t="s">
        <v>405</v>
      </c>
      <c r="C144" s="100" t="s">
        <v>1850</v>
      </c>
      <c r="D144" s="181" t="s">
        <v>1468</v>
      </c>
      <c r="E144" s="491">
        <v>4</v>
      </c>
      <c r="F144" s="20">
        <f t="shared" si="7"/>
        <v>437.27857142857147</v>
      </c>
      <c r="G144" s="19">
        <f t="shared" si="6"/>
        <v>1749.1142857142859</v>
      </c>
      <c r="H144" s="19">
        <f t="shared" si="8"/>
        <v>7180.8137885714286</v>
      </c>
      <c r="I144" s="114" t="s">
        <v>1521</v>
      </c>
      <c r="J144" s="210">
        <f>VLOOKUP(I144,'Reajuste Atual'!$L$19:$M$25,2,FALSE)</f>
        <v>3.1053999999999999</v>
      </c>
      <c r="K144" s="190"/>
      <c r="L144" s="20">
        <v>612.19000000000005</v>
      </c>
      <c r="M144" s="765">
        <f t="shared" si="10"/>
        <v>437.27857142857147</v>
      </c>
      <c r="N144" s="765">
        <f t="shared" si="9"/>
        <v>445.22909090909093</v>
      </c>
      <c r="O144" s="765">
        <f t="shared" si="11"/>
        <v>437.27857142857147</v>
      </c>
    </row>
    <row r="145" spans="1:15" s="98" customFormat="1" outlineLevel="1">
      <c r="A145" s="141" t="s">
        <v>3478</v>
      </c>
      <c r="B145" s="114" t="s">
        <v>406</v>
      </c>
      <c r="C145" s="100" t="s">
        <v>1851</v>
      </c>
      <c r="D145" s="181" t="s">
        <v>1468</v>
      </c>
      <c r="E145" s="491">
        <v>4</v>
      </c>
      <c r="F145" s="20">
        <f t="shared" si="7"/>
        <v>221.17142857142858</v>
      </c>
      <c r="G145" s="19">
        <f t="shared" si="6"/>
        <v>884.68571428571431</v>
      </c>
      <c r="H145" s="19">
        <f t="shared" si="8"/>
        <v>3631.9887314285711</v>
      </c>
      <c r="I145" s="114" t="s">
        <v>1521</v>
      </c>
      <c r="J145" s="210">
        <f>VLOOKUP(I145,'Reajuste Atual'!$L$19:$M$25,2,FALSE)</f>
        <v>3.1053999999999999</v>
      </c>
      <c r="K145" s="190"/>
      <c r="L145" s="20">
        <v>309.64</v>
      </c>
      <c r="M145" s="765">
        <f t="shared" si="10"/>
        <v>221.17142857142858</v>
      </c>
      <c r="N145" s="765">
        <f t="shared" si="9"/>
        <v>225.19272727272727</v>
      </c>
      <c r="O145" s="765">
        <f t="shared" si="11"/>
        <v>221.17142857142858</v>
      </c>
    </row>
    <row r="146" spans="1:15" s="98" customFormat="1" outlineLevel="1">
      <c r="A146" s="141" t="s">
        <v>3478</v>
      </c>
      <c r="B146" s="114" t="s">
        <v>407</v>
      </c>
      <c r="C146" s="100" t="s">
        <v>1852</v>
      </c>
      <c r="D146" s="181" t="s">
        <v>1468</v>
      </c>
      <c r="E146" s="491">
        <v>4</v>
      </c>
      <c r="F146" s="20">
        <f t="shared" si="7"/>
        <v>140.33571428571429</v>
      </c>
      <c r="G146" s="19">
        <f t="shared" si="6"/>
        <v>561.34285714285716</v>
      </c>
      <c r="H146" s="19">
        <f t="shared" si="8"/>
        <v>2304.5369657142855</v>
      </c>
      <c r="I146" s="114" t="s">
        <v>1521</v>
      </c>
      <c r="J146" s="210">
        <f>VLOOKUP(I146,'Reajuste Atual'!$L$19:$M$25,2,FALSE)</f>
        <v>3.1053999999999999</v>
      </c>
      <c r="K146" s="190"/>
      <c r="L146" s="20">
        <v>196.47</v>
      </c>
      <c r="M146" s="765">
        <f t="shared" si="10"/>
        <v>140.33571428571429</v>
      </c>
      <c r="N146" s="765">
        <f t="shared" si="9"/>
        <v>142.88727272727272</v>
      </c>
      <c r="O146" s="765">
        <f t="shared" si="11"/>
        <v>140.33571428571429</v>
      </c>
    </row>
    <row r="147" spans="1:15" s="98" customFormat="1" outlineLevel="1">
      <c r="A147" s="141" t="s">
        <v>3478</v>
      </c>
      <c r="B147" s="114" t="s">
        <v>408</v>
      </c>
      <c r="C147" s="100" t="s">
        <v>1853</v>
      </c>
      <c r="D147" s="181" t="s">
        <v>1468</v>
      </c>
      <c r="E147" s="491">
        <v>12</v>
      </c>
      <c r="F147" s="20">
        <f t="shared" si="7"/>
        <v>72.971428571428575</v>
      </c>
      <c r="G147" s="19">
        <f t="shared" si="6"/>
        <v>875.65714285714284</v>
      </c>
      <c r="H147" s="19">
        <f t="shared" si="8"/>
        <v>3594.9228342857136</v>
      </c>
      <c r="I147" s="114" t="s">
        <v>1521</v>
      </c>
      <c r="J147" s="210">
        <f>VLOOKUP(I147,'Reajuste Atual'!$L$19:$M$25,2,FALSE)</f>
        <v>3.1053999999999999</v>
      </c>
      <c r="K147" s="190"/>
      <c r="L147" s="20">
        <v>102.16</v>
      </c>
      <c r="M147" s="765">
        <f t="shared" si="10"/>
        <v>72.971428571428575</v>
      </c>
      <c r="N147" s="765">
        <f t="shared" si="9"/>
        <v>74.298181818181817</v>
      </c>
      <c r="O147" s="765">
        <f t="shared" si="11"/>
        <v>72.971428571428575</v>
      </c>
    </row>
    <row r="148" spans="1:15" s="98" customFormat="1" outlineLevel="1">
      <c r="A148" s="141" t="s">
        <v>3478</v>
      </c>
      <c r="B148" s="114" t="s">
        <v>409</v>
      </c>
      <c r="C148" s="100" t="s">
        <v>1854</v>
      </c>
      <c r="D148" s="181" t="s">
        <v>1468</v>
      </c>
      <c r="E148" s="491">
        <v>4</v>
      </c>
      <c r="F148" s="20">
        <f t="shared" si="7"/>
        <v>47.778571428571432</v>
      </c>
      <c r="G148" s="19">
        <f t="shared" si="6"/>
        <v>191.11428571428573</v>
      </c>
      <c r="H148" s="19">
        <f t="shared" si="8"/>
        <v>784.60058857142849</v>
      </c>
      <c r="I148" s="114" t="s">
        <v>1521</v>
      </c>
      <c r="J148" s="210">
        <f>VLOOKUP(I148,'Reajuste Atual'!$L$19:$M$25,2,FALSE)</f>
        <v>3.1053999999999999</v>
      </c>
      <c r="K148" s="190"/>
      <c r="L148" s="20">
        <v>66.89</v>
      </c>
      <c r="M148" s="765">
        <f t="shared" si="10"/>
        <v>47.778571428571432</v>
      </c>
      <c r="N148" s="765">
        <f t="shared" si="9"/>
        <v>48.647272727272728</v>
      </c>
      <c r="O148" s="765">
        <f t="shared" si="11"/>
        <v>47.778571428571432</v>
      </c>
    </row>
    <row r="149" spans="1:15" s="98" customFormat="1" outlineLevel="1">
      <c r="A149" s="141" t="s">
        <v>3478</v>
      </c>
      <c r="B149" s="114" t="s">
        <v>410</v>
      </c>
      <c r="C149" s="100" t="s">
        <v>1855</v>
      </c>
      <c r="D149" s="181" t="s">
        <v>1468</v>
      </c>
      <c r="E149" s="491">
        <v>4</v>
      </c>
      <c r="F149" s="20">
        <f t="shared" si="7"/>
        <v>19.078571428571429</v>
      </c>
      <c r="G149" s="19">
        <f t="shared" si="6"/>
        <v>76.314285714285717</v>
      </c>
      <c r="H149" s="19">
        <f t="shared" si="8"/>
        <v>313.30066857142856</v>
      </c>
      <c r="I149" s="114" t="s">
        <v>1521</v>
      </c>
      <c r="J149" s="210">
        <f>VLOOKUP(I149,'Reajuste Atual'!$L$19:$M$25,2,FALSE)</f>
        <v>3.1053999999999999</v>
      </c>
      <c r="K149" s="190"/>
      <c r="L149" s="20">
        <v>26.71</v>
      </c>
      <c r="M149" s="765">
        <f t="shared" si="10"/>
        <v>19.078571428571429</v>
      </c>
      <c r="N149" s="765">
        <f t="shared" si="9"/>
        <v>19.425454545454546</v>
      </c>
      <c r="O149" s="765">
        <f t="shared" si="11"/>
        <v>19.078571428571429</v>
      </c>
    </row>
    <row r="150" spans="1:15" s="98" customFormat="1" outlineLevel="1">
      <c r="A150" s="141" t="s">
        <v>3478</v>
      </c>
      <c r="B150" s="114" t="s">
        <v>411</v>
      </c>
      <c r="C150" s="100" t="s">
        <v>1856</v>
      </c>
      <c r="D150" s="181" t="s">
        <v>1468</v>
      </c>
      <c r="E150" s="491">
        <v>4</v>
      </c>
      <c r="F150" s="20">
        <f t="shared" si="7"/>
        <v>7.2857142857142856</v>
      </c>
      <c r="G150" s="19">
        <f t="shared" si="6"/>
        <v>29.142857142857142</v>
      </c>
      <c r="H150" s="19">
        <f t="shared" si="8"/>
        <v>119.6430857142857</v>
      </c>
      <c r="I150" s="114" t="s">
        <v>1521</v>
      </c>
      <c r="J150" s="210">
        <f>VLOOKUP(I150,'Reajuste Atual'!$L$19:$M$25,2,FALSE)</f>
        <v>3.1053999999999999</v>
      </c>
      <c r="K150" s="190"/>
      <c r="L150" s="20">
        <v>10.199999999999999</v>
      </c>
      <c r="M150" s="765">
        <f t="shared" si="10"/>
        <v>7.2857142857142856</v>
      </c>
      <c r="N150" s="765">
        <f t="shared" si="9"/>
        <v>7.418181818181818</v>
      </c>
      <c r="O150" s="765">
        <f t="shared" si="11"/>
        <v>7.2857142857142856</v>
      </c>
    </row>
    <row r="151" spans="1:15" s="98" customFormat="1" outlineLevel="1">
      <c r="A151" s="141" t="s">
        <v>3478</v>
      </c>
      <c r="B151" s="114" t="s">
        <v>412</v>
      </c>
      <c r="C151" s="100" t="s">
        <v>1857</v>
      </c>
      <c r="D151" s="181" t="s">
        <v>1468</v>
      </c>
      <c r="E151" s="491">
        <v>12</v>
      </c>
      <c r="F151" s="20">
        <f t="shared" si="7"/>
        <v>11.778571428571428</v>
      </c>
      <c r="G151" s="19">
        <f t="shared" si="6"/>
        <v>141.34285714285716</v>
      </c>
      <c r="H151" s="19">
        <f t="shared" si="8"/>
        <v>580.26896571428574</v>
      </c>
      <c r="I151" s="114" t="s">
        <v>1521</v>
      </c>
      <c r="J151" s="210">
        <f>VLOOKUP(I151,'Reajuste Atual'!$L$19:$M$25,2,FALSE)</f>
        <v>3.1053999999999999</v>
      </c>
      <c r="K151" s="190"/>
      <c r="L151" s="20">
        <v>16.489999999999998</v>
      </c>
      <c r="M151" s="765">
        <f t="shared" si="10"/>
        <v>11.778571428571428</v>
      </c>
      <c r="N151" s="765">
        <f t="shared" si="9"/>
        <v>11.992727272727272</v>
      </c>
      <c r="O151" s="765">
        <f t="shared" si="11"/>
        <v>11.778571428571428</v>
      </c>
    </row>
    <row r="152" spans="1:15" s="98" customFormat="1" outlineLevel="1">
      <c r="A152" s="141" t="s">
        <v>3478</v>
      </c>
      <c r="B152" s="114" t="s">
        <v>413</v>
      </c>
      <c r="C152" s="100" t="s">
        <v>1858</v>
      </c>
      <c r="D152" s="181" t="s">
        <v>1468</v>
      </c>
      <c r="E152" s="491">
        <v>4</v>
      </c>
      <c r="F152" s="20">
        <f t="shared" si="7"/>
        <v>19.078571428571429</v>
      </c>
      <c r="G152" s="19">
        <f t="shared" si="6"/>
        <v>76.314285714285717</v>
      </c>
      <c r="H152" s="19">
        <f t="shared" si="8"/>
        <v>313.30066857142856</v>
      </c>
      <c r="I152" s="114" t="s">
        <v>1521</v>
      </c>
      <c r="J152" s="210">
        <f>VLOOKUP(I152,'Reajuste Atual'!$L$19:$M$25,2,FALSE)</f>
        <v>3.1053999999999999</v>
      </c>
      <c r="K152" s="190"/>
      <c r="L152" s="20">
        <v>26.71</v>
      </c>
      <c r="M152" s="765">
        <f t="shared" si="10"/>
        <v>19.078571428571429</v>
      </c>
      <c r="N152" s="765">
        <f t="shared" si="9"/>
        <v>19.425454545454546</v>
      </c>
      <c r="O152" s="765">
        <f t="shared" si="11"/>
        <v>19.078571428571429</v>
      </c>
    </row>
    <row r="153" spans="1:15" s="98" customFormat="1" outlineLevel="1">
      <c r="A153" s="141" t="s">
        <v>3478</v>
      </c>
      <c r="B153" s="114" t="s">
        <v>414</v>
      </c>
      <c r="C153" s="100" t="s">
        <v>1859</v>
      </c>
      <c r="D153" s="181" t="s">
        <v>1468</v>
      </c>
      <c r="E153" s="491">
        <v>8</v>
      </c>
      <c r="F153" s="20">
        <f t="shared" si="7"/>
        <v>4.4928571428571429</v>
      </c>
      <c r="G153" s="19">
        <f t="shared" ref="G153:G216" si="12">E153*F153</f>
        <v>35.942857142857143</v>
      </c>
      <c r="H153" s="19">
        <f t="shared" si="8"/>
        <v>147.55980571428569</v>
      </c>
      <c r="I153" s="114" t="s">
        <v>1521</v>
      </c>
      <c r="J153" s="210">
        <f>VLOOKUP(I153,'Reajuste Atual'!$L$19:$M$25,2,FALSE)</f>
        <v>3.1053999999999999</v>
      </c>
      <c r="K153" s="190"/>
      <c r="L153" s="20">
        <v>6.29</v>
      </c>
      <c r="M153" s="765">
        <f t="shared" si="10"/>
        <v>4.4928571428571429</v>
      </c>
      <c r="N153" s="765">
        <f t="shared" si="9"/>
        <v>4.5745454545454542</v>
      </c>
      <c r="O153" s="765">
        <f t="shared" si="11"/>
        <v>4.4928571428571429</v>
      </c>
    </row>
    <row r="154" spans="1:15" s="98" customFormat="1" outlineLevel="1">
      <c r="A154" s="141" t="s">
        <v>3478</v>
      </c>
      <c r="B154" s="114" t="s">
        <v>415</v>
      </c>
      <c r="C154" s="100" t="s">
        <v>1860</v>
      </c>
      <c r="D154" s="181" t="s">
        <v>1468</v>
      </c>
      <c r="E154" s="491">
        <v>4</v>
      </c>
      <c r="F154" s="20">
        <f t="shared" ref="F154:F217" si="13">O154</f>
        <v>3.9214285714285717</v>
      </c>
      <c r="G154" s="19">
        <f t="shared" si="12"/>
        <v>15.685714285714287</v>
      </c>
      <c r="H154" s="19">
        <f t="shared" ref="H154:H217" si="14">G154*(1+J154)</f>
        <v>64.396131428571422</v>
      </c>
      <c r="I154" s="114" t="s">
        <v>1521</v>
      </c>
      <c r="J154" s="210">
        <f>VLOOKUP(I154,'Reajuste Atual'!$L$19:$M$25,2,FALSE)</f>
        <v>3.1053999999999999</v>
      </c>
      <c r="K154" s="190"/>
      <c r="L154" s="20">
        <v>5.49</v>
      </c>
      <c r="M154" s="765">
        <f t="shared" si="10"/>
        <v>3.9214285714285717</v>
      </c>
      <c r="N154" s="765">
        <f t="shared" ref="N154:N217" si="15">L154/($N$23+1)</f>
        <v>3.9927272727272727</v>
      </c>
      <c r="O154" s="765">
        <f t="shared" si="11"/>
        <v>3.9214285714285717</v>
      </c>
    </row>
    <row r="155" spans="1:15" s="98" customFormat="1" outlineLevel="1">
      <c r="A155" s="141" t="s">
        <v>3478</v>
      </c>
      <c r="B155" s="114" t="s">
        <v>416</v>
      </c>
      <c r="C155" s="100" t="s">
        <v>1861</v>
      </c>
      <c r="D155" s="181" t="s">
        <v>1468</v>
      </c>
      <c r="E155" s="491">
        <v>4</v>
      </c>
      <c r="F155" s="20">
        <f t="shared" si="13"/>
        <v>14.592857142857143</v>
      </c>
      <c r="G155" s="19">
        <f t="shared" si="12"/>
        <v>58.371428571428574</v>
      </c>
      <c r="H155" s="19">
        <f t="shared" si="14"/>
        <v>239.63806285714284</v>
      </c>
      <c r="I155" s="114" t="s">
        <v>1521</v>
      </c>
      <c r="J155" s="210">
        <f>VLOOKUP(I155,'Reajuste Atual'!$L$19:$M$25,2,FALSE)</f>
        <v>3.1053999999999999</v>
      </c>
      <c r="K155" s="190"/>
      <c r="L155" s="20">
        <v>20.43</v>
      </c>
      <c r="M155" s="765">
        <f t="shared" ref="M155:M218" si="16">L155/($M$23+1)</f>
        <v>14.592857142857143</v>
      </c>
      <c r="N155" s="765">
        <f t="shared" si="15"/>
        <v>14.858181818181817</v>
      </c>
      <c r="O155" s="765">
        <f t="shared" si="11"/>
        <v>14.592857142857143</v>
      </c>
    </row>
    <row r="156" spans="1:15" s="98" customFormat="1" outlineLevel="1">
      <c r="A156" s="141" t="s">
        <v>3478</v>
      </c>
      <c r="B156" s="114" t="s">
        <v>417</v>
      </c>
      <c r="C156" s="100" t="s">
        <v>1862</v>
      </c>
      <c r="D156" s="181" t="s">
        <v>1468</v>
      </c>
      <c r="E156" s="491">
        <v>4</v>
      </c>
      <c r="F156" s="20">
        <f t="shared" si="13"/>
        <v>34.235714285714288</v>
      </c>
      <c r="G156" s="19">
        <f t="shared" si="12"/>
        <v>136.94285714285715</v>
      </c>
      <c r="H156" s="19">
        <f t="shared" si="14"/>
        <v>562.20520571428563</v>
      </c>
      <c r="I156" s="114" t="s">
        <v>1521</v>
      </c>
      <c r="J156" s="210">
        <f>VLOOKUP(I156,'Reajuste Atual'!$L$19:$M$25,2,FALSE)</f>
        <v>3.1053999999999999</v>
      </c>
      <c r="K156" s="190"/>
      <c r="L156" s="20">
        <v>47.93</v>
      </c>
      <c r="M156" s="765">
        <f t="shared" si="16"/>
        <v>34.235714285714288</v>
      </c>
      <c r="N156" s="765">
        <f t="shared" si="15"/>
        <v>34.858181818181819</v>
      </c>
      <c r="O156" s="765">
        <f t="shared" ref="O156:O219" si="17">IF(A156="S",M156,N156)</f>
        <v>34.235714285714288</v>
      </c>
    </row>
    <row r="157" spans="1:15" s="98" customFormat="1" outlineLevel="1">
      <c r="A157" s="141" t="s">
        <v>3478</v>
      </c>
      <c r="B157" s="114" t="s">
        <v>418</v>
      </c>
      <c r="C157" s="100" t="s">
        <v>1863</v>
      </c>
      <c r="D157" s="181" t="s">
        <v>1468</v>
      </c>
      <c r="E157" s="491">
        <v>4</v>
      </c>
      <c r="F157" s="20">
        <f t="shared" si="13"/>
        <v>378.42857142857144</v>
      </c>
      <c r="G157" s="19">
        <f t="shared" si="12"/>
        <v>1513.7142857142858</v>
      </c>
      <c r="H157" s="19">
        <f t="shared" si="14"/>
        <v>6214.4026285714281</v>
      </c>
      <c r="I157" s="114" t="s">
        <v>1521</v>
      </c>
      <c r="J157" s="210">
        <f>VLOOKUP(I157,'Reajuste Atual'!$L$19:$M$25,2,FALSE)</f>
        <v>3.1053999999999999</v>
      </c>
      <c r="K157" s="190"/>
      <c r="L157" s="20">
        <v>529.79999999999995</v>
      </c>
      <c r="M157" s="765">
        <f t="shared" si="16"/>
        <v>378.42857142857144</v>
      </c>
      <c r="N157" s="765">
        <f t="shared" si="15"/>
        <v>385.30909090909086</v>
      </c>
      <c r="O157" s="765">
        <f t="shared" si="17"/>
        <v>378.42857142857144</v>
      </c>
    </row>
    <row r="158" spans="1:15" s="98" customFormat="1" ht="47.25" outlineLevel="1">
      <c r="A158" s="141" t="s">
        <v>3478</v>
      </c>
      <c r="B158" s="114" t="s">
        <v>419</v>
      </c>
      <c r="C158" s="100" t="s">
        <v>1864</v>
      </c>
      <c r="D158" s="181" t="s">
        <v>1468</v>
      </c>
      <c r="E158" s="491">
        <v>4</v>
      </c>
      <c r="F158" s="20">
        <f t="shared" si="13"/>
        <v>38670.392857142862</v>
      </c>
      <c r="G158" s="19">
        <f t="shared" si="12"/>
        <v>154681.57142857145</v>
      </c>
      <c r="H158" s="19">
        <f t="shared" si="14"/>
        <v>635029.72334285721</v>
      </c>
      <c r="I158" s="114" t="s">
        <v>1521</v>
      </c>
      <c r="J158" s="210">
        <f>VLOOKUP(I158,'Reajuste Atual'!$L$19:$M$25,2,FALSE)</f>
        <v>3.1053999999999999</v>
      </c>
      <c r="K158" s="190"/>
      <c r="L158" s="20">
        <v>54138.55</v>
      </c>
      <c r="M158" s="765">
        <f t="shared" si="16"/>
        <v>38670.392857142862</v>
      </c>
      <c r="N158" s="765">
        <f t="shared" si="15"/>
        <v>39373.490909090913</v>
      </c>
      <c r="O158" s="765">
        <f t="shared" si="17"/>
        <v>38670.392857142862</v>
      </c>
    </row>
    <row r="159" spans="1:15" s="98" customFormat="1" ht="47.25" outlineLevel="1">
      <c r="A159" s="141" t="s">
        <v>3478</v>
      </c>
      <c r="B159" s="114" t="s">
        <v>420</v>
      </c>
      <c r="C159" s="100" t="s">
        <v>1865</v>
      </c>
      <c r="D159" s="181" t="s">
        <v>1468</v>
      </c>
      <c r="E159" s="491">
        <v>4</v>
      </c>
      <c r="F159" s="20">
        <f t="shared" si="13"/>
        <v>40351.71428571429</v>
      </c>
      <c r="G159" s="19">
        <f t="shared" si="12"/>
        <v>161406.85714285716</v>
      </c>
      <c r="H159" s="19">
        <f t="shared" si="14"/>
        <v>662639.71131428576</v>
      </c>
      <c r="I159" s="114" t="s">
        <v>1521</v>
      </c>
      <c r="J159" s="210">
        <f>VLOOKUP(I159,'Reajuste Atual'!$L$19:$M$25,2,FALSE)</f>
        <v>3.1053999999999999</v>
      </c>
      <c r="K159" s="190"/>
      <c r="L159" s="20">
        <v>56492.4</v>
      </c>
      <c r="M159" s="765">
        <f t="shared" si="16"/>
        <v>40351.71428571429</v>
      </c>
      <c r="N159" s="765">
        <f t="shared" si="15"/>
        <v>41085.381818181821</v>
      </c>
      <c r="O159" s="765">
        <f t="shared" si="17"/>
        <v>40351.71428571429</v>
      </c>
    </row>
    <row r="160" spans="1:15" s="98" customFormat="1" outlineLevel="1">
      <c r="A160" s="141" t="s">
        <v>3478</v>
      </c>
      <c r="B160" s="114" t="s">
        <v>421</v>
      </c>
      <c r="C160" s="100" t="s">
        <v>1866</v>
      </c>
      <c r="D160" s="99" t="s">
        <v>1472</v>
      </c>
      <c r="E160" s="491">
        <v>168.8</v>
      </c>
      <c r="F160" s="20">
        <f t="shared" si="13"/>
        <v>12.614285714285716</v>
      </c>
      <c r="G160" s="19">
        <f t="shared" si="12"/>
        <v>2129.2914285714292</v>
      </c>
      <c r="H160" s="19">
        <f t="shared" si="14"/>
        <v>8741.5930308571442</v>
      </c>
      <c r="I160" s="114" t="s">
        <v>1521</v>
      </c>
      <c r="J160" s="210">
        <f>VLOOKUP(I160,'Reajuste Atual'!$L$19:$M$25,2,FALSE)</f>
        <v>3.1053999999999999</v>
      </c>
      <c r="K160" s="190"/>
      <c r="L160" s="20">
        <v>17.66</v>
      </c>
      <c r="M160" s="765">
        <f t="shared" si="16"/>
        <v>12.614285714285716</v>
      </c>
      <c r="N160" s="765">
        <f t="shared" si="15"/>
        <v>12.843636363636364</v>
      </c>
      <c r="O160" s="765">
        <f t="shared" si="17"/>
        <v>12.614285714285716</v>
      </c>
    </row>
    <row r="161" spans="1:15" s="98" customFormat="1" outlineLevel="1">
      <c r="A161" s="141" t="s">
        <v>3478</v>
      </c>
      <c r="B161" s="114" t="s">
        <v>422</v>
      </c>
      <c r="C161" s="100" t="s">
        <v>1867</v>
      </c>
      <c r="D161" s="181" t="s">
        <v>1468</v>
      </c>
      <c r="E161" s="491">
        <v>88</v>
      </c>
      <c r="F161" s="20">
        <f t="shared" si="13"/>
        <v>148.62142857142857</v>
      </c>
      <c r="G161" s="19">
        <f t="shared" si="12"/>
        <v>13078.685714285713</v>
      </c>
      <c r="H161" s="19">
        <f t="shared" si="14"/>
        <v>53693.236331428561</v>
      </c>
      <c r="I161" s="114" t="s">
        <v>1521</v>
      </c>
      <c r="J161" s="210">
        <f>VLOOKUP(I161,'Reajuste Atual'!$L$19:$M$25,2,FALSE)</f>
        <v>3.1053999999999999</v>
      </c>
      <c r="K161" s="190"/>
      <c r="L161" s="20">
        <v>208.07</v>
      </c>
      <c r="M161" s="765">
        <f t="shared" si="16"/>
        <v>148.62142857142857</v>
      </c>
      <c r="N161" s="765">
        <f t="shared" si="15"/>
        <v>151.32363636363635</v>
      </c>
      <c r="O161" s="765">
        <f t="shared" si="17"/>
        <v>148.62142857142857</v>
      </c>
    </row>
    <row r="162" spans="1:15" s="98" customFormat="1" ht="31.5" outlineLevel="1">
      <c r="A162" s="141" t="s">
        <v>3478</v>
      </c>
      <c r="B162" s="114" t="s">
        <v>423</v>
      </c>
      <c r="C162" s="100" t="s">
        <v>1868</v>
      </c>
      <c r="D162" s="181" t="s">
        <v>1468</v>
      </c>
      <c r="E162" s="491">
        <v>48</v>
      </c>
      <c r="F162" s="20">
        <f t="shared" si="13"/>
        <v>81.257142857142867</v>
      </c>
      <c r="G162" s="19">
        <f t="shared" si="12"/>
        <v>3900.3428571428576</v>
      </c>
      <c r="H162" s="19">
        <f t="shared" si="14"/>
        <v>16012.467565714285</v>
      </c>
      <c r="I162" s="114" t="s">
        <v>1521</v>
      </c>
      <c r="J162" s="210">
        <f>VLOOKUP(I162,'Reajuste Atual'!$L$19:$M$25,2,FALSE)</f>
        <v>3.1053999999999999</v>
      </c>
      <c r="K162" s="190"/>
      <c r="L162" s="20">
        <v>113.76</v>
      </c>
      <c r="M162" s="765">
        <f t="shared" si="16"/>
        <v>81.257142857142867</v>
      </c>
      <c r="N162" s="765">
        <f t="shared" si="15"/>
        <v>82.734545454545454</v>
      </c>
      <c r="O162" s="765">
        <f t="shared" si="17"/>
        <v>81.257142857142867</v>
      </c>
    </row>
    <row r="163" spans="1:15" s="98" customFormat="1" ht="31.5" outlineLevel="1">
      <c r="A163" s="141" t="s">
        <v>3478</v>
      </c>
      <c r="B163" s="114" t="s">
        <v>424</v>
      </c>
      <c r="C163" s="100" t="s">
        <v>1869</v>
      </c>
      <c r="D163" s="181" t="s">
        <v>1468</v>
      </c>
      <c r="E163" s="491">
        <v>12</v>
      </c>
      <c r="F163" s="20">
        <f t="shared" si="13"/>
        <v>43.714285714285722</v>
      </c>
      <c r="G163" s="19">
        <f t="shared" si="12"/>
        <v>524.57142857142867</v>
      </c>
      <c r="H163" s="19">
        <f t="shared" si="14"/>
        <v>2153.5755428571429</v>
      </c>
      <c r="I163" s="114" t="s">
        <v>1521</v>
      </c>
      <c r="J163" s="210">
        <f>VLOOKUP(I163,'Reajuste Atual'!$L$19:$M$25,2,FALSE)</f>
        <v>3.1053999999999999</v>
      </c>
      <c r="K163" s="190"/>
      <c r="L163" s="20">
        <v>61.2</v>
      </c>
      <c r="M163" s="765">
        <f t="shared" si="16"/>
        <v>43.714285714285722</v>
      </c>
      <c r="N163" s="765">
        <f t="shared" si="15"/>
        <v>44.509090909090908</v>
      </c>
      <c r="O163" s="765">
        <f t="shared" si="17"/>
        <v>43.714285714285722</v>
      </c>
    </row>
    <row r="164" spans="1:15" s="98" customFormat="1" outlineLevel="1">
      <c r="A164" s="141" t="s">
        <v>3478</v>
      </c>
      <c r="B164" s="114" t="s">
        <v>425</v>
      </c>
      <c r="C164" s="100" t="s">
        <v>1870</v>
      </c>
      <c r="D164" s="181" t="s">
        <v>1468</v>
      </c>
      <c r="E164" s="491">
        <v>24</v>
      </c>
      <c r="F164" s="20">
        <f t="shared" si="13"/>
        <v>37.842857142857142</v>
      </c>
      <c r="G164" s="19">
        <f t="shared" si="12"/>
        <v>908.2285714285714</v>
      </c>
      <c r="H164" s="19">
        <f t="shared" si="14"/>
        <v>3728.6415771428565</v>
      </c>
      <c r="I164" s="114" t="s">
        <v>1521</v>
      </c>
      <c r="J164" s="210">
        <f>VLOOKUP(I164,'Reajuste Atual'!$L$19:$M$25,2,FALSE)</f>
        <v>3.1053999999999999</v>
      </c>
      <c r="K164" s="190"/>
      <c r="L164" s="20">
        <v>52.98</v>
      </c>
      <c r="M164" s="765">
        <f t="shared" si="16"/>
        <v>37.842857142857142</v>
      </c>
      <c r="N164" s="765">
        <f t="shared" si="15"/>
        <v>38.530909090909091</v>
      </c>
      <c r="O164" s="765">
        <f t="shared" si="17"/>
        <v>37.842857142857142</v>
      </c>
    </row>
    <row r="165" spans="1:15" s="98" customFormat="1" outlineLevel="1">
      <c r="A165" s="141" t="s">
        <v>3478</v>
      </c>
      <c r="B165" s="114" t="s">
        <v>426</v>
      </c>
      <c r="C165" s="100" t="s">
        <v>1871</v>
      </c>
      <c r="D165" s="181" t="s">
        <v>1468</v>
      </c>
      <c r="E165" s="491">
        <v>4</v>
      </c>
      <c r="F165" s="20">
        <f t="shared" si="13"/>
        <v>428.88571428571436</v>
      </c>
      <c r="G165" s="19">
        <f t="shared" si="12"/>
        <v>1715.5428571428574</v>
      </c>
      <c r="H165" s="19">
        <f t="shared" si="14"/>
        <v>7042.9896457142859</v>
      </c>
      <c r="I165" s="114" t="s">
        <v>1521</v>
      </c>
      <c r="J165" s="210">
        <f>VLOOKUP(I165,'Reajuste Atual'!$L$19:$M$25,2,FALSE)</f>
        <v>3.1053999999999999</v>
      </c>
      <c r="K165" s="190"/>
      <c r="L165" s="20">
        <v>600.44000000000005</v>
      </c>
      <c r="M165" s="765">
        <f t="shared" si="16"/>
        <v>428.88571428571436</v>
      </c>
      <c r="N165" s="765">
        <f t="shared" si="15"/>
        <v>436.68363636363642</v>
      </c>
      <c r="O165" s="765">
        <f t="shared" si="17"/>
        <v>428.88571428571436</v>
      </c>
    </row>
    <row r="166" spans="1:15" s="98" customFormat="1" outlineLevel="1">
      <c r="A166" s="141" t="s">
        <v>3478</v>
      </c>
      <c r="B166" s="114" t="s">
        <v>427</v>
      </c>
      <c r="C166" s="100" t="s">
        <v>1872</v>
      </c>
      <c r="D166" s="181" t="s">
        <v>1468</v>
      </c>
      <c r="E166" s="491">
        <v>12</v>
      </c>
      <c r="F166" s="20">
        <f t="shared" si="13"/>
        <v>27.750000000000004</v>
      </c>
      <c r="G166" s="19">
        <f t="shared" si="12"/>
        <v>333.00000000000006</v>
      </c>
      <c r="H166" s="19">
        <f t="shared" si="14"/>
        <v>1367.0982000000001</v>
      </c>
      <c r="I166" s="114" t="s">
        <v>1521</v>
      </c>
      <c r="J166" s="210">
        <f>VLOOKUP(I166,'Reajuste Atual'!$L$19:$M$25,2,FALSE)</f>
        <v>3.1053999999999999</v>
      </c>
      <c r="K166" s="190"/>
      <c r="L166" s="20">
        <v>38.85</v>
      </c>
      <c r="M166" s="765">
        <f t="shared" si="16"/>
        <v>27.750000000000004</v>
      </c>
      <c r="N166" s="765">
        <f t="shared" si="15"/>
        <v>28.254545454545454</v>
      </c>
      <c r="O166" s="765">
        <f t="shared" si="17"/>
        <v>27.750000000000004</v>
      </c>
    </row>
    <row r="167" spans="1:15" s="98" customFormat="1" outlineLevel="1">
      <c r="A167" s="141" t="s">
        <v>3478</v>
      </c>
      <c r="B167" s="114" t="s">
        <v>428</v>
      </c>
      <c r="C167" s="100" t="s">
        <v>1873</v>
      </c>
      <c r="D167" s="181" t="s">
        <v>1468</v>
      </c>
      <c r="E167" s="491">
        <v>4</v>
      </c>
      <c r="F167" s="20">
        <f t="shared" si="13"/>
        <v>22.700000000000003</v>
      </c>
      <c r="G167" s="19">
        <f t="shared" si="12"/>
        <v>90.800000000000011</v>
      </c>
      <c r="H167" s="19">
        <f t="shared" si="14"/>
        <v>372.77032000000003</v>
      </c>
      <c r="I167" s="114" t="s">
        <v>1521</v>
      </c>
      <c r="J167" s="210">
        <f>VLOOKUP(I167,'Reajuste Atual'!$L$19:$M$25,2,FALSE)</f>
        <v>3.1053999999999999</v>
      </c>
      <c r="K167" s="190"/>
      <c r="L167" s="20">
        <v>31.78</v>
      </c>
      <c r="M167" s="765">
        <f t="shared" si="16"/>
        <v>22.700000000000003</v>
      </c>
      <c r="N167" s="765">
        <f t="shared" si="15"/>
        <v>23.112727272727273</v>
      </c>
      <c r="O167" s="765">
        <f t="shared" si="17"/>
        <v>22.700000000000003</v>
      </c>
    </row>
    <row r="168" spans="1:15" s="98" customFormat="1" outlineLevel="1">
      <c r="A168" s="141" t="s">
        <v>3478</v>
      </c>
      <c r="B168" s="114" t="s">
        <v>429</v>
      </c>
      <c r="C168" s="100" t="s">
        <v>1874</v>
      </c>
      <c r="D168" s="181" t="s">
        <v>1468</v>
      </c>
      <c r="E168" s="491">
        <v>8</v>
      </c>
      <c r="F168" s="20">
        <f t="shared" si="13"/>
        <v>20.178571428571431</v>
      </c>
      <c r="G168" s="19">
        <f t="shared" si="12"/>
        <v>161.42857142857144</v>
      </c>
      <c r="H168" s="19">
        <f t="shared" si="14"/>
        <v>662.72885714285712</v>
      </c>
      <c r="I168" s="114" t="s">
        <v>1521</v>
      </c>
      <c r="J168" s="210">
        <f>VLOOKUP(I168,'Reajuste Atual'!$L$19:$M$25,2,FALSE)</f>
        <v>3.1053999999999999</v>
      </c>
      <c r="K168" s="190"/>
      <c r="L168" s="20">
        <v>28.25</v>
      </c>
      <c r="M168" s="765">
        <f t="shared" si="16"/>
        <v>20.178571428571431</v>
      </c>
      <c r="N168" s="765">
        <f t="shared" si="15"/>
        <v>20.545454545454547</v>
      </c>
      <c r="O168" s="765">
        <f t="shared" si="17"/>
        <v>20.178571428571431</v>
      </c>
    </row>
    <row r="169" spans="1:15" s="98" customFormat="1" outlineLevel="1">
      <c r="A169" s="141" t="s">
        <v>3478</v>
      </c>
      <c r="B169" s="114" t="s">
        <v>430</v>
      </c>
      <c r="C169" s="100" t="s">
        <v>1875</v>
      </c>
      <c r="D169" s="181" t="s">
        <v>1468</v>
      </c>
      <c r="E169" s="491">
        <v>4</v>
      </c>
      <c r="F169" s="20">
        <f t="shared" si="13"/>
        <v>1.5571428571428574</v>
      </c>
      <c r="G169" s="19">
        <f t="shared" si="12"/>
        <v>6.2285714285714295</v>
      </c>
      <c r="H169" s="19">
        <f t="shared" si="14"/>
        <v>25.570777142857143</v>
      </c>
      <c r="I169" s="114" t="s">
        <v>1521</v>
      </c>
      <c r="J169" s="210">
        <f>VLOOKUP(I169,'Reajuste Atual'!$L$19:$M$25,2,FALSE)</f>
        <v>3.1053999999999999</v>
      </c>
      <c r="K169" s="190"/>
      <c r="L169" s="20">
        <v>2.1800000000000002</v>
      </c>
      <c r="M169" s="765">
        <f t="shared" si="16"/>
        <v>1.5571428571428574</v>
      </c>
      <c r="N169" s="765">
        <f t="shared" si="15"/>
        <v>1.5854545454545457</v>
      </c>
      <c r="O169" s="765">
        <f t="shared" si="17"/>
        <v>1.5571428571428574</v>
      </c>
    </row>
    <row r="170" spans="1:15" s="98" customFormat="1" outlineLevel="1">
      <c r="A170" s="141" t="s">
        <v>3478</v>
      </c>
      <c r="B170" s="114" t="s">
        <v>431</v>
      </c>
      <c r="C170" s="100" t="s">
        <v>1876</v>
      </c>
      <c r="D170" s="181" t="s">
        <v>1468</v>
      </c>
      <c r="E170" s="491">
        <v>4</v>
      </c>
      <c r="F170" s="20">
        <f t="shared" si="13"/>
        <v>8.0642857142857149</v>
      </c>
      <c r="G170" s="19">
        <f t="shared" si="12"/>
        <v>32.25714285714286</v>
      </c>
      <c r="H170" s="19">
        <f t="shared" si="14"/>
        <v>132.42847428571429</v>
      </c>
      <c r="I170" s="114" t="s">
        <v>1521</v>
      </c>
      <c r="J170" s="210">
        <f>VLOOKUP(I170,'Reajuste Atual'!$L$19:$M$25,2,FALSE)</f>
        <v>3.1053999999999999</v>
      </c>
      <c r="K170" s="190"/>
      <c r="L170" s="20">
        <v>11.29</v>
      </c>
      <c r="M170" s="765">
        <f t="shared" si="16"/>
        <v>8.0642857142857149</v>
      </c>
      <c r="N170" s="765">
        <f t="shared" si="15"/>
        <v>8.2109090909090909</v>
      </c>
      <c r="O170" s="765">
        <f t="shared" si="17"/>
        <v>8.0642857142857149</v>
      </c>
    </row>
    <row r="171" spans="1:15" s="98" customFormat="1" outlineLevel="1">
      <c r="A171" s="141" t="s">
        <v>3478</v>
      </c>
      <c r="B171" s="114" t="s">
        <v>432</v>
      </c>
      <c r="C171" s="100" t="s">
        <v>1877</v>
      </c>
      <c r="D171" s="181" t="s">
        <v>1468</v>
      </c>
      <c r="E171" s="491">
        <v>4</v>
      </c>
      <c r="F171" s="20">
        <f t="shared" si="13"/>
        <v>0.6</v>
      </c>
      <c r="G171" s="19">
        <f t="shared" si="12"/>
        <v>2.4</v>
      </c>
      <c r="H171" s="19">
        <f t="shared" si="14"/>
        <v>9.8529599999999977</v>
      </c>
      <c r="I171" s="114" t="s">
        <v>1521</v>
      </c>
      <c r="J171" s="210">
        <f>VLOOKUP(I171,'Reajuste Atual'!$L$19:$M$25,2,FALSE)</f>
        <v>3.1053999999999999</v>
      </c>
      <c r="K171" s="190"/>
      <c r="L171" s="20">
        <v>0.84</v>
      </c>
      <c r="M171" s="765">
        <f t="shared" si="16"/>
        <v>0.6</v>
      </c>
      <c r="N171" s="765">
        <f t="shared" si="15"/>
        <v>0.61090909090909085</v>
      </c>
      <c r="O171" s="765">
        <f t="shared" si="17"/>
        <v>0.6</v>
      </c>
    </row>
    <row r="172" spans="1:15" s="98" customFormat="1" outlineLevel="1">
      <c r="A172" s="141" t="s">
        <v>3478</v>
      </c>
      <c r="B172" s="114" t="s">
        <v>433</v>
      </c>
      <c r="C172" s="100" t="s">
        <v>1878</v>
      </c>
      <c r="D172" s="181" t="s">
        <v>1468</v>
      </c>
      <c r="E172" s="491">
        <v>4</v>
      </c>
      <c r="F172" s="20">
        <f t="shared" si="13"/>
        <v>20.178571428571431</v>
      </c>
      <c r="G172" s="19">
        <f t="shared" si="12"/>
        <v>80.714285714285722</v>
      </c>
      <c r="H172" s="19">
        <f t="shared" si="14"/>
        <v>331.36442857142856</v>
      </c>
      <c r="I172" s="114" t="s">
        <v>1521</v>
      </c>
      <c r="J172" s="210">
        <f>VLOOKUP(I172,'Reajuste Atual'!$L$19:$M$25,2,FALSE)</f>
        <v>3.1053999999999999</v>
      </c>
      <c r="K172" s="190"/>
      <c r="L172" s="20">
        <v>28.25</v>
      </c>
      <c r="M172" s="765">
        <f t="shared" si="16"/>
        <v>20.178571428571431</v>
      </c>
      <c r="N172" s="765">
        <f t="shared" si="15"/>
        <v>20.545454545454547</v>
      </c>
      <c r="O172" s="765">
        <f t="shared" si="17"/>
        <v>20.178571428571431</v>
      </c>
    </row>
    <row r="173" spans="1:15" s="98" customFormat="1" outlineLevel="1">
      <c r="A173" s="141" t="s">
        <v>3478</v>
      </c>
      <c r="B173" s="114" t="s">
        <v>434</v>
      </c>
      <c r="C173" s="100" t="s">
        <v>1879</v>
      </c>
      <c r="D173" s="181" t="s">
        <v>1468</v>
      </c>
      <c r="E173" s="491">
        <v>4</v>
      </c>
      <c r="F173" s="20">
        <f t="shared" si="13"/>
        <v>337.83571428571435</v>
      </c>
      <c r="G173" s="19">
        <f t="shared" si="12"/>
        <v>1351.3428571428574</v>
      </c>
      <c r="H173" s="19">
        <f t="shared" si="14"/>
        <v>5547.8029657142861</v>
      </c>
      <c r="I173" s="114" t="s">
        <v>1521</v>
      </c>
      <c r="J173" s="210">
        <f>VLOOKUP(I173,'Reajuste Atual'!$L$19:$M$25,2,FALSE)</f>
        <v>3.1053999999999999</v>
      </c>
      <c r="K173" s="190"/>
      <c r="L173" s="20">
        <v>472.97</v>
      </c>
      <c r="M173" s="765">
        <f t="shared" si="16"/>
        <v>337.83571428571435</v>
      </c>
      <c r="N173" s="765">
        <f t="shared" si="15"/>
        <v>343.97818181818184</v>
      </c>
      <c r="O173" s="765">
        <f t="shared" si="17"/>
        <v>337.83571428571435</v>
      </c>
    </row>
    <row r="174" spans="1:15" s="98" customFormat="1" outlineLevel="1">
      <c r="A174" s="141" t="s">
        <v>3478</v>
      </c>
      <c r="B174" s="114" t="s">
        <v>435</v>
      </c>
      <c r="C174" s="100" t="s">
        <v>1880</v>
      </c>
      <c r="D174" s="181" t="s">
        <v>1468</v>
      </c>
      <c r="E174" s="491">
        <v>4</v>
      </c>
      <c r="F174" s="20">
        <f t="shared" si="13"/>
        <v>0.46428571428571436</v>
      </c>
      <c r="G174" s="19">
        <f t="shared" si="12"/>
        <v>1.8571428571428574</v>
      </c>
      <c r="H174" s="19">
        <f t="shared" si="14"/>
        <v>7.624314285714286</v>
      </c>
      <c r="I174" s="114" t="s">
        <v>1521</v>
      </c>
      <c r="J174" s="210">
        <f>VLOOKUP(I174,'Reajuste Atual'!$L$19:$M$25,2,FALSE)</f>
        <v>3.1053999999999999</v>
      </c>
      <c r="K174" s="190"/>
      <c r="L174" s="20">
        <v>0.65</v>
      </c>
      <c r="M174" s="765">
        <f t="shared" si="16"/>
        <v>0.46428571428571436</v>
      </c>
      <c r="N174" s="765">
        <f t="shared" si="15"/>
        <v>0.47272727272727272</v>
      </c>
      <c r="O174" s="765">
        <f t="shared" si="17"/>
        <v>0.46428571428571436</v>
      </c>
    </row>
    <row r="175" spans="1:15" s="98" customFormat="1" ht="31.5" outlineLevel="1">
      <c r="A175" s="141" t="s">
        <v>3478</v>
      </c>
      <c r="B175" s="114" t="s">
        <v>436</v>
      </c>
      <c r="C175" s="100" t="s">
        <v>1881</v>
      </c>
      <c r="D175" s="181" t="s">
        <v>1468</v>
      </c>
      <c r="E175" s="491">
        <v>8</v>
      </c>
      <c r="F175" s="20">
        <f t="shared" si="13"/>
        <v>315.35714285714289</v>
      </c>
      <c r="G175" s="19">
        <f t="shared" si="12"/>
        <v>2522.8571428571431</v>
      </c>
      <c r="H175" s="19">
        <f t="shared" si="14"/>
        <v>10357.337714285713</v>
      </c>
      <c r="I175" s="114" t="s">
        <v>1521</v>
      </c>
      <c r="J175" s="210">
        <f>VLOOKUP(I175,'Reajuste Atual'!$L$19:$M$25,2,FALSE)</f>
        <v>3.1053999999999999</v>
      </c>
      <c r="K175" s="190"/>
      <c r="L175" s="20">
        <v>441.5</v>
      </c>
      <c r="M175" s="765">
        <f t="shared" si="16"/>
        <v>315.35714285714289</v>
      </c>
      <c r="N175" s="765">
        <f t="shared" si="15"/>
        <v>321.09090909090907</v>
      </c>
      <c r="O175" s="765">
        <f t="shared" si="17"/>
        <v>315.35714285714289</v>
      </c>
    </row>
    <row r="176" spans="1:15" s="98" customFormat="1" outlineLevel="1">
      <c r="A176" s="141" t="s">
        <v>3478</v>
      </c>
      <c r="B176" s="114" t="s">
        <v>437</v>
      </c>
      <c r="C176" s="100" t="s">
        <v>1882</v>
      </c>
      <c r="D176" s="181" t="s">
        <v>1468</v>
      </c>
      <c r="E176" s="491">
        <v>8</v>
      </c>
      <c r="F176" s="20">
        <f t="shared" si="13"/>
        <v>227.05714285714288</v>
      </c>
      <c r="G176" s="19">
        <f t="shared" si="12"/>
        <v>1816.457142857143</v>
      </c>
      <c r="H176" s="19">
        <f t="shared" si="14"/>
        <v>7457.2831542857139</v>
      </c>
      <c r="I176" s="114" t="s">
        <v>1521</v>
      </c>
      <c r="J176" s="210">
        <f>VLOOKUP(I176,'Reajuste Atual'!$L$19:$M$25,2,FALSE)</f>
        <v>3.1053999999999999</v>
      </c>
      <c r="K176" s="190"/>
      <c r="L176" s="20">
        <v>317.88</v>
      </c>
      <c r="M176" s="765">
        <f t="shared" si="16"/>
        <v>227.05714285714288</v>
      </c>
      <c r="N176" s="765">
        <f t="shared" si="15"/>
        <v>231.18545454545455</v>
      </c>
      <c r="O176" s="765">
        <f t="shared" si="17"/>
        <v>227.05714285714288</v>
      </c>
    </row>
    <row r="177" spans="1:15" s="98" customFormat="1" outlineLevel="1">
      <c r="A177" s="141" t="s">
        <v>3478</v>
      </c>
      <c r="B177" s="114" t="s">
        <v>438</v>
      </c>
      <c r="C177" s="100" t="s">
        <v>1883</v>
      </c>
      <c r="D177" s="181" t="s">
        <v>1468</v>
      </c>
      <c r="E177" s="491">
        <v>4</v>
      </c>
      <c r="F177" s="20">
        <f t="shared" si="13"/>
        <v>74.092857142857156</v>
      </c>
      <c r="G177" s="19">
        <f t="shared" si="12"/>
        <v>296.37142857142862</v>
      </c>
      <c r="H177" s="19">
        <f t="shared" si="14"/>
        <v>1216.723262857143</v>
      </c>
      <c r="I177" s="114" t="s">
        <v>1521</v>
      </c>
      <c r="J177" s="210">
        <f>VLOOKUP(I177,'Reajuste Atual'!$L$19:$M$25,2,FALSE)</f>
        <v>3.1053999999999999</v>
      </c>
      <c r="K177" s="190"/>
      <c r="L177" s="20">
        <v>103.73</v>
      </c>
      <c r="M177" s="765">
        <f t="shared" si="16"/>
        <v>74.092857142857156</v>
      </c>
      <c r="N177" s="765">
        <f t="shared" si="15"/>
        <v>75.44</v>
      </c>
      <c r="O177" s="765">
        <f t="shared" si="17"/>
        <v>74.092857142857156</v>
      </c>
    </row>
    <row r="178" spans="1:15" s="98" customFormat="1" outlineLevel="1">
      <c r="A178" s="141" t="s">
        <v>3478</v>
      </c>
      <c r="B178" s="114" t="s">
        <v>439</v>
      </c>
      <c r="C178" s="100" t="s">
        <v>1884</v>
      </c>
      <c r="D178" s="181" t="s">
        <v>1468</v>
      </c>
      <c r="E178" s="491">
        <v>28</v>
      </c>
      <c r="F178" s="20">
        <f t="shared" si="13"/>
        <v>44.900000000000006</v>
      </c>
      <c r="G178" s="19">
        <f t="shared" si="12"/>
        <v>1257.2000000000003</v>
      </c>
      <c r="H178" s="19">
        <f t="shared" si="14"/>
        <v>5161.3088800000005</v>
      </c>
      <c r="I178" s="114" t="s">
        <v>1521</v>
      </c>
      <c r="J178" s="210">
        <f>VLOOKUP(I178,'Reajuste Atual'!$L$19:$M$25,2,FALSE)</f>
        <v>3.1053999999999999</v>
      </c>
      <c r="K178" s="190"/>
      <c r="L178" s="20">
        <v>62.86</v>
      </c>
      <c r="M178" s="765">
        <f t="shared" si="16"/>
        <v>44.900000000000006</v>
      </c>
      <c r="N178" s="765">
        <f t="shared" si="15"/>
        <v>45.716363636363639</v>
      </c>
      <c r="O178" s="765">
        <f t="shared" si="17"/>
        <v>44.900000000000006</v>
      </c>
    </row>
    <row r="179" spans="1:15" s="98" customFormat="1" outlineLevel="1">
      <c r="A179" s="141" t="s">
        <v>3478</v>
      </c>
      <c r="B179" s="114" t="s">
        <v>440</v>
      </c>
      <c r="C179" s="100" t="s">
        <v>1885</v>
      </c>
      <c r="D179" s="181" t="s">
        <v>1468</v>
      </c>
      <c r="E179" s="491">
        <v>12</v>
      </c>
      <c r="F179" s="20">
        <f t="shared" si="13"/>
        <v>557.5214285714286</v>
      </c>
      <c r="G179" s="19">
        <f t="shared" si="12"/>
        <v>6690.2571428571428</v>
      </c>
      <c r="H179" s="19">
        <f t="shared" si="14"/>
        <v>27466.181674285712</v>
      </c>
      <c r="I179" s="114" t="s">
        <v>1521</v>
      </c>
      <c r="J179" s="210">
        <f>VLOOKUP(I179,'Reajuste Atual'!$L$19:$M$25,2,FALSE)</f>
        <v>3.1053999999999999</v>
      </c>
      <c r="K179" s="190"/>
      <c r="L179" s="20">
        <v>780.53</v>
      </c>
      <c r="M179" s="765">
        <f t="shared" si="16"/>
        <v>557.5214285714286</v>
      </c>
      <c r="N179" s="765">
        <f t="shared" si="15"/>
        <v>567.65818181818179</v>
      </c>
      <c r="O179" s="765">
        <f t="shared" si="17"/>
        <v>557.5214285714286</v>
      </c>
    </row>
    <row r="180" spans="1:15" s="98" customFormat="1" outlineLevel="1">
      <c r="A180" s="141" t="s">
        <v>3478</v>
      </c>
      <c r="B180" s="114" t="s">
        <v>441</v>
      </c>
      <c r="C180" s="100" t="s">
        <v>1886</v>
      </c>
      <c r="D180" s="22" t="s">
        <v>1480</v>
      </c>
      <c r="E180" s="491">
        <v>24</v>
      </c>
      <c r="F180" s="20">
        <f t="shared" si="13"/>
        <v>119.16428571428573</v>
      </c>
      <c r="G180" s="19">
        <f t="shared" si="12"/>
        <v>2859.9428571428575</v>
      </c>
      <c r="H180" s="19">
        <f t="shared" si="14"/>
        <v>11741.209405714286</v>
      </c>
      <c r="I180" s="114" t="s">
        <v>1521</v>
      </c>
      <c r="J180" s="210">
        <f>VLOOKUP(I180,'Reajuste Atual'!$L$19:$M$25,2,FALSE)</f>
        <v>3.1053999999999999</v>
      </c>
      <c r="K180" s="190"/>
      <c r="L180" s="20">
        <v>166.83</v>
      </c>
      <c r="M180" s="765">
        <f t="shared" si="16"/>
        <v>119.16428571428573</v>
      </c>
      <c r="N180" s="765">
        <f t="shared" si="15"/>
        <v>121.3309090909091</v>
      </c>
      <c r="O180" s="765">
        <f t="shared" si="17"/>
        <v>119.16428571428573</v>
      </c>
    </row>
    <row r="181" spans="1:15" s="98" customFormat="1" outlineLevel="1">
      <c r="A181" s="141" t="s">
        <v>3478</v>
      </c>
      <c r="B181" s="114" t="s">
        <v>442</v>
      </c>
      <c r="C181" s="100" t="s">
        <v>1887</v>
      </c>
      <c r="D181" s="99" t="s">
        <v>1480</v>
      </c>
      <c r="E181" s="491">
        <v>12</v>
      </c>
      <c r="F181" s="20">
        <f t="shared" si="13"/>
        <v>55</v>
      </c>
      <c r="G181" s="19">
        <f t="shared" si="12"/>
        <v>660</v>
      </c>
      <c r="H181" s="19">
        <f t="shared" si="14"/>
        <v>2709.5639999999999</v>
      </c>
      <c r="I181" s="114" t="s">
        <v>1521</v>
      </c>
      <c r="J181" s="210">
        <f>VLOOKUP(I181,'Reajuste Atual'!$L$19:$M$25,2,FALSE)</f>
        <v>3.1053999999999999</v>
      </c>
      <c r="K181" s="190"/>
      <c r="L181" s="20">
        <v>77</v>
      </c>
      <c r="M181" s="765">
        <f t="shared" si="16"/>
        <v>55</v>
      </c>
      <c r="N181" s="765">
        <f t="shared" si="15"/>
        <v>56</v>
      </c>
      <c r="O181" s="765">
        <f t="shared" si="17"/>
        <v>55</v>
      </c>
    </row>
    <row r="182" spans="1:15" s="98" customFormat="1" outlineLevel="1">
      <c r="A182" s="141" t="s">
        <v>3478</v>
      </c>
      <c r="B182" s="114" t="s">
        <v>443</v>
      </c>
      <c r="C182" s="100" t="s">
        <v>1888</v>
      </c>
      <c r="D182" s="99" t="s">
        <v>1480</v>
      </c>
      <c r="E182" s="491">
        <v>12</v>
      </c>
      <c r="F182" s="20">
        <f t="shared" si="13"/>
        <v>68.735714285714295</v>
      </c>
      <c r="G182" s="19">
        <f t="shared" si="12"/>
        <v>824.82857142857154</v>
      </c>
      <c r="H182" s="19">
        <f t="shared" si="14"/>
        <v>3386.2512171428571</v>
      </c>
      <c r="I182" s="114" t="s">
        <v>1521</v>
      </c>
      <c r="J182" s="210">
        <f>VLOOKUP(I182,'Reajuste Atual'!$L$19:$M$25,2,FALSE)</f>
        <v>3.1053999999999999</v>
      </c>
      <c r="K182" s="190"/>
      <c r="L182" s="20">
        <v>96.23</v>
      </c>
      <c r="M182" s="765">
        <f t="shared" si="16"/>
        <v>68.735714285714295</v>
      </c>
      <c r="N182" s="765">
        <f t="shared" si="15"/>
        <v>69.985454545454544</v>
      </c>
      <c r="O182" s="765">
        <f t="shared" si="17"/>
        <v>68.735714285714295</v>
      </c>
    </row>
    <row r="183" spans="1:15" s="98" customFormat="1" outlineLevel="1">
      <c r="A183" s="141" t="s">
        <v>3478</v>
      </c>
      <c r="B183" s="114" t="s">
        <v>444</v>
      </c>
      <c r="C183" s="100" t="s">
        <v>1889</v>
      </c>
      <c r="D183" s="99" t="s">
        <v>1480</v>
      </c>
      <c r="E183" s="491">
        <v>4</v>
      </c>
      <c r="F183" s="20">
        <f t="shared" si="13"/>
        <v>274.96428571428572</v>
      </c>
      <c r="G183" s="19">
        <f t="shared" si="12"/>
        <v>1099.8571428571429</v>
      </c>
      <c r="H183" s="19">
        <f t="shared" si="14"/>
        <v>4515.3535142857136</v>
      </c>
      <c r="I183" s="114" t="s">
        <v>1521</v>
      </c>
      <c r="J183" s="210">
        <f>VLOOKUP(I183,'Reajuste Atual'!$L$19:$M$25,2,FALSE)</f>
        <v>3.1053999999999999</v>
      </c>
      <c r="K183" s="190"/>
      <c r="L183" s="20">
        <v>384.95</v>
      </c>
      <c r="M183" s="765">
        <f t="shared" si="16"/>
        <v>274.96428571428572</v>
      </c>
      <c r="N183" s="765">
        <f t="shared" si="15"/>
        <v>279.96363636363634</v>
      </c>
      <c r="O183" s="765">
        <f t="shared" si="17"/>
        <v>274.96428571428572</v>
      </c>
    </row>
    <row r="184" spans="1:15" s="98" customFormat="1" outlineLevel="1">
      <c r="A184" s="141" t="s">
        <v>3478</v>
      </c>
      <c r="B184" s="114" t="s">
        <v>445</v>
      </c>
      <c r="C184" s="100" t="s">
        <v>1890</v>
      </c>
      <c r="D184" s="99" t="s">
        <v>1480</v>
      </c>
      <c r="E184" s="491">
        <v>4</v>
      </c>
      <c r="F184" s="20">
        <f t="shared" si="13"/>
        <v>8783.5571428571438</v>
      </c>
      <c r="G184" s="19">
        <f t="shared" si="12"/>
        <v>35134.228571428575</v>
      </c>
      <c r="H184" s="19">
        <f t="shared" si="14"/>
        <v>144240.06197714285</v>
      </c>
      <c r="I184" s="114" t="s">
        <v>1521</v>
      </c>
      <c r="J184" s="210">
        <f>VLOOKUP(I184,'Reajuste Atual'!$L$19:$M$25,2,FALSE)</f>
        <v>3.1053999999999999</v>
      </c>
      <c r="K184" s="190"/>
      <c r="L184" s="20">
        <v>12296.98</v>
      </c>
      <c r="M184" s="765">
        <f t="shared" si="16"/>
        <v>8783.5571428571438</v>
      </c>
      <c r="N184" s="765">
        <f t="shared" si="15"/>
        <v>8943.2581818181807</v>
      </c>
      <c r="O184" s="765">
        <f t="shared" si="17"/>
        <v>8783.5571428571438</v>
      </c>
    </row>
    <row r="185" spans="1:15" s="98" customFormat="1" outlineLevel="1">
      <c r="A185" s="141" t="s">
        <v>3478</v>
      </c>
      <c r="B185" s="114" t="s">
        <v>446</v>
      </c>
      <c r="C185" s="100" t="s">
        <v>1891</v>
      </c>
      <c r="D185" s="99" t="s">
        <v>1480</v>
      </c>
      <c r="E185" s="850">
        <v>0</v>
      </c>
      <c r="F185" s="20">
        <f t="shared" si="13"/>
        <v>3220.6142857142859</v>
      </c>
      <c r="G185" s="19">
        <f t="shared" si="12"/>
        <v>0</v>
      </c>
      <c r="H185" s="19">
        <f t="shared" si="14"/>
        <v>0</v>
      </c>
      <c r="I185" s="114" t="s">
        <v>1521</v>
      </c>
      <c r="J185" s="210">
        <f>VLOOKUP(I185,'Reajuste Atual'!$L$19:$M$25,2,FALSE)</f>
        <v>3.1053999999999999</v>
      </c>
      <c r="K185" s="190"/>
      <c r="L185" s="20">
        <v>4508.8599999999997</v>
      </c>
      <c r="M185" s="765">
        <f t="shared" si="16"/>
        <v>3220.6142857142859</v>
      </c>
      <c r="N185" s="765">
        <f t="shared" si="15"/>
        <v>3279.1709090909089</v>
      </c>
      <c r="O185" s="765">
        <f t="shared" si="17"/>
        <v>3220.6142857142859</v>
      </c>
    </row>
    <row r="186" spans="1:15" s="98" customFormat="1" outlineLevel="1">
      <c r="A186" s="141" t="s">
        <v>3478</v>
      </c>
      <c r="B186" s="114" t="s">
        <v>447</v>
      </c>
      <c r="C186" s="100" t="s">
        <v>1892</v>
      </c>
      <c r="D186" s="99" t="s">
        <v>1480</v>
      </c>
      <c r="E186" s="491">
        <v>8</v>
      </c>
      <c r="F186" s="20">
        <f t="shared" si="13"/>
        <v>3630.5500000000006</v>
      </c>
      <c r="G186" s="19">
        <f t="shared" si="12"/>
        <v>29044.400000000005</v>
      </c>
      <c r="H186" s="19">
        <f t="shared" si="14"/>
        <v>119238.87976000001</v>
      </c>
      <c r="I186" s="114" t="s">
        <v>1521</v>
      </c>
      <c r="J186" s="210">
        <f>VLOOKUP(I186,'Reajuste Atual'!$L$19:$M$25,2,FALSE)</f>
        <v>3.1053999999999999</v>
      </c>
      <c r="K186" s="190"/>
      <c r="L186" s="20">
        <v>5082.7700000000004</v>
      </c>
      <c r="M186" s="765">
        <f t="shared" si="16"/>
        <v>3630.5500000000006</v>
      </c>
      <c r="N186" s="765">
        <f t="shared" si="15"/>
        <v>3696.5600000000004</v>
      </c>
      <c r="O186" s="765">
        <f t="shared" si="17"/>
        <v>3630.5500000000006</v>
      </c>
    </row>
    <row r="187" spans="1:15" s="98" customFormat="1" outlineLevel="1">
      <c r="A187" s="141" t="s">
        <v>3478</v>
      </c>
      <c r="B187" s="114" t="s">
        <v>448</v>
      </c>
      <c r="C187" s="100" t="s">
        <v>1893</v>
      </c>
      <c r="D187" s="99" t="s">
        <v>1480</v>
      </c>
      <c r="E187" s="491">
        <v>16</v>
      </c>
      <c r="F187" s="20">
        <f t="shared" si="13"/>
        <v>91.664285714285725</v>
      </c>
      <c r="G187" s="19">
        <f t="shared" si="12"/>
        <v>1466.6285714285716</v>
      </c>
      <c r="H187" s="19">
        <f t="shared" si="14"/>
        <v>6021.0969371428573</v>
      </c>
      <c r="I187" s="114" t="s">
        <v>1521</v>
      </c>
      <c r="J187" s="210">
        <f>VLOOKUP(I187,'Reajuste Atual'!$L$19:$M$25,2,FALSE)</f>
        <v>3.1053999999999999</v>
      </c>
      <c r="K187" s="190"/>
      <c r="L187" s="20">
        <v>128.33000000000001</v>
      </c>
      <c r="M187" s="765">
        <f t="shared" si="16"/>
        <v>91.664285714285725</v>
      </c>
      <c r="N187" s="765">
        <f t="shared" si="15"/>
        <v>93.330909090909103</v>
      </c>
      <c r="O187" s="765">
        <f t="shared" si="17"/>
        <v>91.664285714285725</v>
      </c>
    </row>
    <row r="188" spans="1:15" s="98" customFormat="1" outlineLevel="1">
      <c r="A188" s="141" t="s">
        <v>3478</v>
      </c>
      <c r="B188" s="114" t="s">
        <v>449</v>
      </c>
      <c r="C188" s="100" t="s">
        <v>1894</v>
      </c>
      <c r="D188" s="99" t="s">
        <v>1480</v>
      </c>
      <c r="E188" s="491">
        <v>48</v>
      </c>
      <c r="F188" s="20">
        <f t="shared" si="13"/>
        <v>55</v>
      </c>
      <c r="G188" s="19">
        <f t="shared" si="12"/>
        <v>2640</v>
      </c>
      <c r="H188" s="19">
        <f t="shared" si="14"/>
        <v>10838.255999999999</v>
      </c>
      <c r="I188" s="114" t="s">
        <v>1521</v>
      </c>
      <c r="J188" s="210">
        <f>VLOOKUP(I188,'Reajuste Atual'!$L$19:$M$25,2,FALSE)</f>
        <v>3.1053999999999999</v>
      </c>
      <c r="K188" s="190"/>
      <c r="L188" s="20">
        <v>77</v>
      </c>
      <c r="M188" s="765">
        <f t="shared" si="16"/>
        <v>55</v>
      </c>
      <c r="N188" s="765">
        <f t="shared" si="15"/>
        <v>56</v>
      </c>
      <c r="O188" s="765">
        <f t="shared" si="17"/>
        <v>55</v>
      </c>
    </row>
    <row r="189" spans="1:15" s="98" customFormat="1" ht="31.5" outlineLevel="1">
      <c r="A189" s="141" t="s">
        <v>3478</v>
      </c>
      <c r="B189" s="114" t="s">
        <v>450</v>
      </c>
      <c r="C189" s="100" t="s">
        <v>1895</v>
      </c>
      <c r="D189" s="99" t="s">
        <v>1480</v>
      </c>
      <c r="E189" s="491">
        <v>36</v>
      </c>
      <c r="F189" s="20">
        <f t="shared" si="13"/>
        <v>119.16428571428573</v>
      </c>
      <c r="G189" s="19">
        <f t="shared" si="12"/>
        <v>4289.9142857142861</v>
      </c>
      <c r="H189" s="19">
        <f t="shared" si="14"/>
        <v>17611.814108571427</v>
      </c>
      <c r="I189" s="114" t="s">
        <v>1521</v>
      </c>
      <c r="J189" s="210">
        <f>VLOOKUP(I189,'Reajuste Atual'!$L$19:$M$25,2,FALSE)</f>
        <v>3.1053999999999999</v>
      </c>
      <c r="K189" s="190"/>
      <c r="L189" s="20">
        <v>166.83</v>
      </c>
      <c r="M189" s="765">
        <f t="shared" si="16"/>
        <v>119.16428571428573</v>
      </c>
      <c r="N189" s="765">
        <f t="shared" si="15"/>
        <v>121.3309090909091</v>
      </c>
      <c r="O189" s="765">
        <f t="shared" si="17"/>
        <v>119.16428571428573</v>
      </c>
    </row>
    <row r="190" spans="1:15" s="98" customFormat="1" ht="31.5" outlineLevel="1">
      <c r="A190" s="141" t="s">
        <v>3478</v>
      </c>
      <c r="B190" s="114" t="s">
        <v>451</v>
      </c>
      <c r="C190" s="100" t="s">
        <v>1896</v>
      </c>
      <c r="D190" s="99" t="s">
        <v>1480</v>
      </c>
      <c r="E190" s="491">
        <v>8</v>
      </c>
      <c r="F190" s="20">
        <f t="shared" si="13"/>
        <v>146.64285714285717</v>
      </c>
      <c r="G190" s="19">
        <f t="shared" si="12"/>
        <v>1173.1428571428573</v>
      </c>
      <c r="H190" s="19">
        <f t="shared" si="14"/>
        <v>4816.2206857142855</v>
      </c>
      <c r="I190" s="114" t="s">
        <v>1521</v>
      </c>
      <c r="J190" s="210">
        <f>VLOOKUP(I190,'Reajuste Atual'!$L$19:$M$25,2,FALSE)</f>
        <v>3.1053999999999999</v>
      </c>
      <c r="K190" s="190"/>
      <c r="L190" s="20">
        <v>205.3</v>
      </c>
      <c r="M190" s="765">
        <f t="shared" si="16"/>
        <v>146.64285714285717</v>
      </c>
      <c r="N190" s="765">
        <f t="shared" si="15"/>
        <v>149.30909090909091</v>
      </c>
      <c r="O190" s="765">
        <f t="shared" si="17"/>
        <v>146.64285714285717</v>
      </c>
    </row>
    <row r="191" spans="1:15" s="98" customFormat="1" ht="31.5" outlineLevel="1">
      <c r="A191" s="141" t="s">
        <v>3478</v>
      </c>
      <c r="B191" s="114" t="s">
        <v>452</v>
      </c>
      <c r="C191" s="100" t="s">
        <v>1897</v>
      </c>
      <c r="D191" s="99" t="s">
        <v>1480</v>
      </c>
      <c r="E191" s="491">
        <v>4</v>
      </c>
      <c r="F191" s="20">
        <f t="shared" si="13"/>
        <v>146.64285714285717</v>
      </c>
      <c r="G191" s="19">
        <f t="shared" si="12"/>
        <v>586.57142857142867</v>
      </c>
      <c r="H191" s="19">
        <f t="shared" si="14"/>
        <v>2408.1103428571428</v>
      </c>
      <c r="I191" s="114" t="s">
        <v>1521</v>
      </c>
      <c r="J191" s="210">
        <f>VLOOKUP(I191,'Reajuste Atual'!$L$19:$M$25,2,FALSE)</f>
        <v>3.1053999999999999</v>
      </c>
      <c r="K191" s="190"/>
      <c r="L191" s="20">
        <v>205.3</v>
      </c>
      <c r="M191" s="765">
        <f t="shared" si="16"/>
        <v>146.64285714285717</v>
      </c>
      <c r="N191" s="765">
        <f t="shared" si="15"/>
        <v>149.30909090909091</v>
      </c>
      <c r="O191" s="765">
        <f t="shared" si="17"/>
        <v>146.64285714285717</v>
      </c>
    </row>
    <row r="192" spans="1:15" s="98" customFormat="1" outlineLevel="1">
      <c r="A192" s="141" t="s">
        <v>3478</v>
      </c>
      <c r="B192" s="114" t="s">
        <v>453</v>
      </c>
      <c r="C192" s="100" t="s">
        <v>1898</v>
      </c>
      <c r="D192" s="99" t="s">
        <v>1480</v>
      </c>
      <c r="E192" s="491">
        <v>10.56</v>
      </c>
      <c r="F192" s="20">
        <f t="shared" si="13"/>
        <v>72.892857142857139</v>
      </c>
      <c r="G192" s="19">
        <f t="shared" si="12"/>
        <v>769.74857142857138</v>
      </c>
      <c r="H192" s="19">
        <f t="shared" si="14"/>
        <v>3160.1257851428568</v>
      </c>
      <c r="I192" s="114" t="s">
        <v>1521</v>
      </c>
      <c r="J192" s="210">
        <f>VLOOKUP(I192,'Reajuste Atual'!$L$19:$M$25,2,FALSE)</f>
        <v>3.1053999999999999</v>
      </c>
      <c r="K192" s="190"/>
      <c r="L192" s="20">
        <v>102.05</v>
      </c>
      <c r="M192" s="765">
        <f t="shared" si="16"/>
        <v>72.892857142857139</v>
      </c>
      <c r="N192" s="765">
        <f t="shared" si="15"/>
        <v>74.218181818181819</v>
      </c>
      <c r="O192" s="765">
        <f t="shared" si="17"/>
        <v>72.892857142857139</v>
      </c>
    </row>
    <row r="193" spans="1:15" s="98" customFormat="1" outlineLevel="1">
      <c r="A193" s="141" t="s">
        <v>3478</v>
      </c>
      <c r="B193" s="114" t="s">
        <v>454</v>
      </c>
      <c r="C193" s="100" t="s">
        <v>1595</v>
      </c>
      <c r="D193" s="99" t="s">
        <v>1472</v>
      </c>
      <c r="E193" s="491">
        <v>40</v>
      </c>
      <c r="F193" s="20">
        <f t="shared" si="13"/>
        <v>5.4928571428571438</v>
      </c>
      <c r="G193" s="19">
        <f t="shared" si="12"/>
        <v>219.71428571428575</v>
      </c>
      <c r="H193" s="19">
        <f t="shared" si="14"/>
        <v>902.01502857142862</v>
      </c>
      <c r="I193" s="114" t="s">
        <v>1521</v>
      </c>
      <c r="J193" s="210">
        <f>VLOOKUP(I193,'Reajuste Atual'!$L$19:$M$25,2,FALSE)</f>
        <v>3.1053999999999999</v>
      </c>
      <c r="K193" s="190"/>
      <c r="L193" s="20">
        <v>7.69</v>
      </c>
      <c r="M193" s="765">
        <f t="shared" si="16"/>
        <v>5.4928571428571438</v>
      </c>
      <c r="N193" s="765">
        <f t="shared" si="15"/>
        <v>5.5927272727272728</v>
      </c>
      <c r="O193" s="765">
        <f t="shared" si="17"/>
        <v>5.4928571428571438</v>
      </c>
    </row>
    <row r="194" spans="1:15" s="98" customFormat="1" outlineLevel="1">
      <c r="A194" s="141" t="s">
        <v>3478</v>
      </c>
      <c r="B194" s="114" t="s">
        <v>455</v>
      </c>
      <c r="C194" s="100" t="s">
        <v>1596</v>
      </c>
      <c r="D194" s="99" t="s">
        <v>1472</v>
      </c>
      <c r="E194" s="491">
        <v>272</v>
      </c>
      <c r="F194" s="20">
        <f t="shared" si="13"/>
        <v>2.7500000000000004</v>
      </c>
      <c r="G194" s="19">
        <f t="shared" si="12"/>
        <v>748.00000000000011</v>
      </c>
      <c r="H194" s="19">
        <f t="shared" si="14"/>
        <v>3070.8391999999999</v>
      </c>
      <c r="I194" s="114" t="s">
        <v>1521</v>
      </c>
      <c r="J194" s="210">
        <f>VLOOKUP(I194,'Reajuste Atual'!$L$19:$M$25,2,FALSE)</f>
        <v>3.1053999999999999</v>
      </c>
      <c r="K194" s="190"/>
      <c r="L194" s="20">
        <v>3.85</v>
      </c>
      <c r="M194" s="765">
        <f t="shared" si="16"/>
        <v>2.7500000000000004</v>
      </c>
      <c r="N194" s="765">
        <f t="shared" si="15"/>
        <v>2.8000000000000003</v>
      </c>
      <c r="O194" s="765">
        <f t="shared" si="17"/>
        <v>2.7500000000000004</v>
      </c>
    </row>
    <row r="195" spans="1:15" s="98" customFormat="1" outlineLevel="1">
      <c r="A195" s="141" t="s">
        <v>3478</v>
      </c>
      <c r="B195" s="114" t="s">
        <v>456</v>
      </c>
      <c r="C195" s="100" t="s">
        <v>1899</v>
      </c>
      <c r="D195" s="99" t="s">
        <v>1472</v>
      </c>
      <c r="E195" s="491">
        <v>320</v>
      </c>
      <c r="F195" s="20">
        <f t="shared" si="13"/>
        <v>1.8071428571428572</v>
      </c>
      <c r="G195" s="19">
        <f t="shared" si="12"/>
        <v>578.28571428571433</v>
      </c>
      <c r="H195" s="19">
        <f t="shared" si="14"/>
        <v>2374.0941714285714</v>
      </c>
      <c r="I195" s="114" t="s">
        <v>1521</v>
      </c>
      <c r="J195" s="210">
        <f>VLOOKUP(I195,'Reajuste Atual'!$L$19:$M$25,2,FALSE)</f>
        <v>3.1053999999999999</v>
      </c>
      <c r="K195" s="190"/>
      <c r="L195" s="20">
        <v>2.5299999999999998</v>
      </c>
      <c r="M195" s="765">
        <f t="shared" si="16"/>
        <v>1.8071428571428572</v>
      </c>
      <c r="N195" s="765">
        <f t="shared" si="15"/>
        <v>1.8399999999999999</v>
      </c>
      <c r="O195" s="765">
        <f t="shared" si="17"/>
        <v>1.8071428571428572</v>
      </c>
    </row>
    <row r="196" spans="1:15" s="98" customFormat="1" outlineLevel="1">
      <c r="A196" s="141" t="s">
        <v>3478</v>
      </c>
      <c r="B196" s="114" t="s">
        <v>457</v>
      </c>
      <c r="C196" s="100" t="s">
        <v>1900</v>
      </c>
      <c r="D196" s="99" t="s">
        <v>1480</v>
      </c>
      <c r="E196" s="491">
        <v>16</v>
      </c>
      <c r="F196" s="20">
        <f t="shared" si="13"/>
        <v>114.57142857142858</v>
      </c>
      <c r="G196" s="19">
        <f t="shared" si="12"/>
        <v>1833.1428571428573</v>
      </c>
      <c r="H196" s="19">
        <f t="shared" si="14"/>
        <v>7525.7846857142858</v>
      </c>
      <c r="I196" s="114" t="s">
        <v>1521</v>
      </c>
      <c r="J196" s="210">
        <f>VLOOKUP(I196,'Reajuste Atual'!$L$19:$M$25,2,FALSE)</f>
        <v>3.1053999999999999</v>
      </c>
      <c r="K196" s="190"/>
      <c r="L196" s="20">
        <v>160.4</v>
      </c>
      <c r="M196" s="765">
        <f t="shared" si="16"/>
        <v>114.57142857142858</v>
      </c>
      <c r="N196" s="765">
        <f t="shared" si="15"/>
        <v>116.65454545454546</v>
      </c>
      <c r="O196" s="765">
        <f t="shared" si="17"/>
        <v>114.57142857142858</v>
      </c>
    </row>
    <row r="197" spans="1:15" s="98" customFormat="1" outlineLevel="1">
      <c r="A197" s="141" t="s">
        <v>3478</v>
      </c>
      <c r="B197" s="114" t="s">
        <v>458</v>
      </c>
      <c r="C197" s="100" t="s">
        <v>1901</v>
      </c>
      <c r="D197" s="99" t="s">
        <v>1480</v>
      </c>
      <c r="E197" s="491">
        <v>16</v>
      </c>
      <c r="F197" s="20">
        <f t="shared" si="13"/>
        <v>22.907142857142858</v>
      </c>
      <c r="G197" s="19">
        <f t="shared" si="12"/>
        <v>366.51428571428573</v>
      </c>
      <c r="H197" s="19">
        <f t="shared" si="14"/>
        <v>1504.6877485714285</v>
      </c>
      <c r="I197" s="114" t="s">
        <v>1521</v>
      </c>
      <c r="J197" s="210">
        <f>VLOOKUP(I197,'Reajuste Atual'!$L$19:$M$25,2,FALSE)</f>
        <v>3.1053999999999999</v>
      </c>
      <c r="K197" s="190"/>
      <c r="L197" s="20">
        <v>32.07</v>
      </c>
      <c r="M197" s="765">
        <f t="shared" si="16"/>
        <v>22.907142857142858</v>
      </c>
      <c r="N197" s="765">
        <f t="shared" si="15"/>
        <v>23.323636363636364</v>
      </c>
      <c r="O197" s="765">
        <f t="shared" si="17"/>
        <v>22.907142857142858</v>
      </c>
    </row>
    <row r="198" spans="1:15" s="98" customFormat="1" outlineLevel="1">
      <c r="A198" s="141" t="s">
        <v>3478</v>
      </c>
      <c r="B198" s="114" t="s">
        <v>459</v>
      </c>
      <c r="C198" s="100" t="s">
        <v>1902</v>
      </c>
      <c r="D198" s="99" t="s">
        <v>1480</v>
      </c>
      <c r="E198" s="491">
        <v>4</v>
      </c>
      <c r="F198" s="20">
        <f t="shared" si="13"/>
        <v>4.121428571428571</v>
      </c>
      <c r="G198" s="19">
        <f t="shared" si="12"/>
        <v>16.485714285714284</v>
      </c>
      <c r="H198" s="19">
        <f t="shared" si="14"/>
        <v>67.680451428571416</v>
      </c>
      <c r="I198" s="114" t="s">
        <v>1521</v>
      </c>
      <c r="J198" s="210">
        <f>VLOOKUP(I198,'Reajuste Atual'!$L$19:$M$25,2,FALSE)</f>
        <v>3.1053999999999999</v>
      </c>
      <c r="K198" s="190"/>
      <c r="L198" s="20">
        <v>5.77</v>
      </c>
      <c r="M198" s="765">
        <f t="shared" si="16"/>
        <v>4.121428571428571</v>
      </c>
      <c r="N198" s="765">
        <f t="shared" si="15"/>
        <v>4.1963636363636363</v>
      </c>
      <c r="O198" s="765">
        <f t="shared" si="17"/>
        <v>4.121428571428571</v>
      </c>
    </row>
    <row r="199" spans="1:15" s="98" customFormat="1" outlineLevel="1">
      <c r="A199" s="141" t="s">
        <v>3478</v>
      </c>
      <c r="B199" s="114" t="s">
        <v>460</v>
      </c>
      <c r="C199" s="100" t="s">
        <v>1903</v>
      </c>
      <c r="D199" s="99" t="s">
        <v>1480</v>
      </c>
      <c r="E199" s="491">
        <v>8</v>
      </c>
      <c r="F199" s="20">
        <f t="shared" si="13"/>
        <v>9.1714285714285726</v>
      </c>
      <c r="G199" s="19">
        <f t="shared" si="12"/>
        <v>73.371428571428581</v>
      </c>
      <c r="H199" s="19">
        <f t="shared" si="14"/>
        <v>301.21906285714283</v>
      </c>
      <c r="I199" s="114" t="s">
        <v>1521</v>
      </c>
      <c r="J199" s="210">
        <f>VLOOKUP(I199,'Reajuste Atual'!$L$19:$M$25,2,FALSE)</f>
        <v>3.1053999999999999</v>
      </c>
      <c r="K199" s="190"/>
      <c r="L199" s="20">
        <v>12.84</v>
      </c>
      <c r="M199" s="765">
        <f t="shared" si="16"/>
        <v>9.1714285714285726</v>
      </c>
      <c r="N199" s="765">
        <f t="shared" si="15"/>
        <v>9.3381818181818179</v>
      </c>
      <c r="O199" s="765">
        <f t="shared" si="17"/>
        <v>9.1714285714285726</v>
      </c>
    </row>
    <row r="200" spans="1:15" s="98" customFormat="1" ht="31.5" outlineLevel="1">
      <c r="A200" s="141" t="s">
        <v>3478</v>
      </c>
      <c r="B200" s="114" t="s">
        <v>461</v>
      </c>
      <c r="C200" s="100" t="s">
        <v>1904</v>
      </c>
      <c r="D200" s="99" t="s">
        <v>1480</v>
      </c>
      <c r="E200" s="491">
        <v>4</v>
      </c>
      <c r="F200" s="20">
        <f t="shared" si="13"/>
        <v>137.47142857142859</v>
      </c>
      <c r="G200" s="19">
        <f t="shared" si="12"/>
        <v>549.88571428571436</v>
      </c>
      <c r="H200" s="19">
        <f t="shared" si="14"/>
        <v>2257.5008114285715</v>
      </c>
      <c r="I200" s="114" t="s">
        <v>1521</v>
      </c>
      <c r="J200" s="210">
        <f>VLOOKUP(I200,'Reajuste Atual'!$L$19:$M$25,2,FALSE)</f>
        <v>3.1053999999999999</v>
      </c>
      <c r="K200" s="190"/>
      <c r="L200" s="20">
        <v>192.46</v>
      </c>
      <c r="M200" s="765">
        <f t="shared" si="16"/>
        <v>137.47142857142859</v>
      </c>
      <c r="N200" s="765">
        <f t="shared" si="15"/>
        <v>139.97090909090909</v>
      </c>
      <c r="O200" s="765">
        <f t="shared" si="17"/>
        <v>137.47142857142859</v>
      </c>
    </row>
    <row r="201" spans="1:15" s="98" customFormat="1" outlineLevel="1">
      <c r="A201" s="141" t="s">
        <v>3478</v>
      </c>
      <c r="B201" s="114" t="s">
        <v>462</v>
      </c>
      <c r="C201" s="100" t="s">
        <v>1905</v>
      </c>
      <c r="D201" s="99" t="s">
        <v>1480</v>
      </c>
      <c r="E201" s="491">
        <v>8</v>
      </c>
      <c r="F201" s="20">
        <f t="shared" si="13"/>
        <v>13.735714285714288</v>
      </c>
      <c r="G201" s="19">
        <f t="shared" si="12"/>
        <v>109.8857142857143</v>
      </c>
      <c r="H201" s="19">
        <f t="shared" si="14"/>
        <v>451.12481142857143</v>
      </c>
      <c r="I201" s="114" t="s">
        <v>1521</v>
      </c>
      <c r="J201" s="210">
        <f>VLOOKUP(I201,'Reajuste Atual'!$L$19:$M$25,2,FALSE)</f>
        <v>3.1053999999999999</v>
      </c>
      <c r="K201" s="190"/>
      <c r="L201" s="20">
        <v>19.23</v>
      </c>
      <c r="M201" s="765">
        <f t="shared" si="16"/>
        <v>13.735714285714288</v>
      </c>
      <c r="N201" s="765">
        <f t="shared" si="15"/>
        <v>13.985454545454546</v>
      </c>
      <c r="O201" s="765">
        <f t="shared" si="17"/>
        <v>13.735714285714288</v>
      </c>
    </row>
    <row r="202" spans="1:15" s="98" customFormat="1" ht="47.25" outlineLevel="1">
      <c r="A202" s="141" t="s">
        <v>3478</v>
      </c>
      <c r="B202" s="114" t="s">
        <v>463</v>
      </c>
      <c r="C202" s="100" t="s">
        <v>1906</v>
      </c>
      <c r="D202" s="99" t="s">
        <v>1480</v>
      </c>
      <c r="E202" s="491">
        <v>32</v>
      </c>
      <c r="F202" s="20">
        <f t="shared" si="13"/>
        <v>119.16428571428573</v>
      </c>
      <c r="G202" s="19">
        <f t="shared" si="12"/>
        <v>3813.2571428571432</v>
      </c>
      <c r="H202" s="19">
        <f t="shared" si="14"/>
        <v>15654.945874285713</v>
      </c>
      <c r="I202" s="114" t="s">
        <v>1521</v>
      </c>
      <c r="J202" s="210">
        <f>VLOOKUP(I202,'Reajuste Atual'!$L$19:$M$25,2,FALSE)</f>
        <v>3.1053999999999999</v>
      </c>
      <c r="K202" s="190"/>
      <c r="L202" s="20">
        <v>166.83</v>
      </c>
      <c r="M202" s="765">
        <f t="shared" si="16"/>
        <v>119.16428571428573</v>
      </c>
      <c r="N202" s="765">
        <f t="shared" si="15"/>
        <v>121.3309090909091</v>
      </c>
      <c r="O202" s="765">
        <f t="shared" si="17"/>
        <v>119.16428571428573</v>
      </c>
    </row>
    <row r="203" spans="1:15" s="98" customFormat="1" ht="31.5" outlineLevel="1">
      <c r="A203" s="141" t="s">
        <v>3478</v>
      </c>
      <c r="B203" s="114" t="s">
        <v>464</v>
      </c>
      <c r="C203" s="100" t="s">
        <v>1907</v>
      </c>
      <c r="D203" s="99" t="s">
        <v>1480</v>
      </c>
      <c r="E203" s="491">
        <v>20</v>
      </c>
      <c r="F203" s="20">
        <f t="shared" si="13"/>
        <v>82.492857142857147</v>
      </c>
      <c r="G203" s="19">
        <f t="shared" si="12"/>
        <v>1649.8571428571429</v>
      </c>
      <c r="H203" s="19">
        <f t="shared" si="14"/>
        <v>6773.3235142857138</v>
      </c>
      <c r="I203" s="114" t="s">
        <v>1521</v>
      </c>
      <c r="J203" s="210">
        <f>VLOOKUP(I203,'Reajuste Atual'!$L$19:$M$25,2,FALSE)</f>
        <v>3.1053999999999999</v>
      </c>
      <c r="K203" s="190"/>
      <c r="L203" s="20">
        <v>115.49</v>
      </c>
      <c r="M203" s="765">
        <f t="shared" si="16"/>
        <v>82.492857142857147</v>
      </c>
      <c r="N203" s="765">
        <f t="shared" si="15"/>
        <v>83.992727272727265</v>
      </c>
      <c r="O203" s="765">
        <f t="shared" si="17"/>
        <v>82.492857142857147</v>
      </c>
    </row>
    <row r="204" spans="1:15" s="98" customFormat="1" ht="47.25" outlineLevel="1">
      <c r="A204" s="141" t="s">
        <v>3478</v>
      </c>
      <c r="B204" s="114" t="s">
        <v>465</v>
      </c>
      <c r="C204" s="100" t="s">
        <v>1908</v>
      </c>
      <c r="D204" s="99" t="s">
        <v>1480</v>
      </c>
      <c r="E204" s="491">
        <v>84</v>
      </c>
      <c r="F204" s="20">
        <f t="shared" si="13"/>
        <v>137.47142857142859</v>
      </c>
      <c r="G204" s="19">
        <f t="shared" si="12"/>
        <v>11547.600000000002</v>
      </c>
      <c r="H204" s="19">
        <f t="shared" si="14"/>
        <v>47407.517040000006</v>
      </c>
      <c r="I204" s="114" t="s">
        <v>1521</v>
      </c>
      <c r="J204" s="210">
        <f>VLOOKUP(I204,'Reajuste Atual'!$L$19:$M$25,2,FALSE)</f>
        <v>3.1053999999999999</v>
      </c>
      <c r="K204" s="190"/>
      <c r="L204" s="20">
        <v>192.46</v>
      </c>
      <c r="M204" s="765">
        <f t="shared" si="16"/>
        <v>137.47142857142859</v>
      </c>
      <c r="N204" s="765">
        <f t="shared" si="15"/>
        <v>139.97090909090909</v>
      </c>
      <c r="O204" s="765">
        <f t="shared" si="17"/>
        <v>137.47142857142859</v>
      </c>
    </row>
    <row r="205" spans="1:15" s="98" customFormat="1" outlineLevel="1">
      <c r="A205" s="141" t="s">
        <v>3478</v>
      </c>
      <c r="B205" s="114" t="s">
        <v>466</v>
      </c>
      <c r="C205" s="100" t="s">
        <v>1909</v>
      </c>
      <c r="D205" s="99" t="s">
        <v>1480</v>
      </c>
      <c r="E205" s="491">
        <v>208</v>
      </c>
      <c r="F205" s="20">
        <f t="shared" si="13"/>
        <v>3.3000000000000003</v>
      </c>
      <c r="G205" s="19">
        <f t="shared" si="12"/>
        <v>686.40000000000009</v>
      </c>
      <c r="H205" s="19">
        <f t="shared" si="14"/>
        <v>2817.9465599999999</v>
      </c>
      <c r="I205" s="114" t="s">
        <v>1521</v>
      </c>
      <c r="J205" s="210">
        <f>VLOOKUP(I205,'Reajuste Atual'!$L$19:$M$25,2,FALSE)</f>
        <v>3.1053999999999999</v>
      </c>
      <c r="K205" s="190"/>
      <c r="L205" s="20">
        <v>4.62</v>
      </c>
      <c r="M205" s="765">
        <f t="shared" si="16"/>
        <v>3.3000000000000003</v>
      </c>
      <c r="N205" s="765">
        <f t="shared" si="15"/>
        <v>3.36</v>
      </c>
      <c r="O205" s="765">
        <f t="shared" si="17"/>
        <v>3.3000000000000003</v>
      </c>
    </row>
    <row r="206" spans="1:15" s="98" customFormat="1" outlineLevel="1">
      <c r="A206" s="141" t="s">
        <v>3478</v>
      </c>
      <c r="B206" s="114" t="s">
        <v>467</v>
      </c>
      <c r="C206" s="100" t="s">
        <v>1910</v>
      </c>
      <c r="D206" s="99" t="s">
        <v>1480</v>
      </c>
      <c r="E206" s="491">
        <v>132</v>
      </c>
      <c r="F206" s="20">
        <f t="shared" si="13"/>
        <v>4.121428571428571</v>
      </c>
      <c r="G206" s="19">
        <f t="shared" si="12"/>
        <v>544.02857142857135</v>
      </c>
      <c r="H206" s="19">
        <f t="shared" si="14"/>
        <v>2233.4548971428567</v>
      </c>
      <c r="I206" s="114" t="s">
        <v>1521</v>
      </c>
      <c r="J206" s="210">
        <f>VLOOKUP(I206,'Reajuste Atual'!$L$19:$M$25,2,FALSE)</f>
        <v>3.1053999999999999</v>
      </c>
      <c r="K206" s="190"/>
      <c r="L206" s="20">
        <v>5.77</v>
      </c>
      <c r="M206" s="765">
        <f t="shared" si="16"/>
        <v>4.121428571428571</v>
      </c>
      <c r="N206" s="765">
        <f t="shared" si="15"/>
        <v>4.1963636363636363</v>
      </c>
      <c r="O206" s="765">
        <f t="shared" si="17"/>
        <v>4.121428571428571</v>
      </c>
    </row>
    <row r="207" spans="1:15" s="98" customFormat="1" outlineLevel="1">
      <c r="A207" s="141" t="s">
        <v>3478</v>
      </c>
      <c r="B207" s="114" t="s">
        <v>468</v>
      </c>
      <c r="C207" s="100" t="s">
        <v>1608</v>
      </c>
      <c r="D207" s="99" t="s">
        <v>1472</v>
      </c>
      <c r="E207" s="491">
        <v>400</v>
      </c>
      <c r="F207" s="20">
        <f t="shared" si="13"/>
        <v>0.30714285714285716</v>
      </c>
      <c r="G207" s="19">
        <f t="shared" si="12"/>
        <v>122.85714285714286</v>
      </c>
      <c r="H207" s="19">
        <f t="shared" si="14"/>
        <v>504.37771428571426</v>
      </c>
      <c r="I207" s="114" t="s">
        <v>1521</v>
      </c>
      <c r="J207" s="210">
        <f>VLOOKUP(I207,'Reajuste Atual'!$L$19:$M$25,2,FALSE)</f>
        <v>3.1053999999999999</v>
      </c>
      <c r="K207" s="190"/>
      <c r="L207" s="20">
        <v>0.43</v>
      </c>
      <c r="M207" s="765">
        <f t="shared" si="16"/>
        <v>0.30714285714285716</v>
      </c>
      <c r="N207" s="765">
        <f t="shared" si="15"/>
        <v>0.31272727272727274</v>
      </c>
      <c r="O207" s="765">
        <f t="shared" si="17"/>
        <v>0.30714285714285716</v>
      </c>
    </row>
    <row r="208" spans="1:15" s="98" customFormat="1" outlineLevel="1">
      <c r="A208" s="141" t="s">
        <v>3478</v>
      </c>
      <c r="B208" s="114" t="s">
        <v>469</v>
      </c>
      <c r="C208" s="100" t="s">
        <v>1911</v>
      </c>
      <c r="D208" s="99" t="s">
        <v>1472</v>
      </c>
      <c r="E208" s="491">
        <v>1120</v>
      </c>
      <c r="F208" s="20">
        <f t="shared" si="13"/>
        <v>0.46428571428571436</v>
      </c>
      <c r="G208" s="19">
        <f t="shared" si="12"/>
        <v>520.00000000000011</v>
      </c>
      <c r="H208" s="19">
        <f t="shared" si="14"/>
        <v>2134.808</v>
      </c>
      <c r="I208" s="114" t="s">
        <v>1521</v>
      </c>
      <c r="J208" s="210">
        <f>VLOOKUP(I208,'Reajuste Atual'!$L$19:$M$25,2,FALSE)</f>
        <v>3.1053999999999999</v>
      </c>
      <c r="K208" s="190"/>
      <c r="L208" s="20">
        <v>0.65</v>
      </c>
      <c r="M208" s="765">
        <f t="shared" si="16"/>
        <v>0.46428571428571436</v>
      </c>
      <c r="N208" s="765">
        <f t="shared" si="15"/>
        <v>0.47272727272727272</v>
      </c>
      <c r="O208" s="765">
        <f t="shared" si="17"/>
        <v>0.46428571428571436</v>
      </c>
    </row>
    <row r="209" spans="1:15" s="98" customFormat="1" outlineLevel="1">
      <c r="A209" s="141" t="s">
        <v>3478</v>
      </c>
      <c r="B209" s="114" t="s">
        <v>470</v>
      </c>
      <c r="C209" s="100" t="s">
        <v>1912</v>
      </c>
      <c r="D209" s="99" t="s">
        <v>1472</v>
      </c>
      <c r="E209" s="491">
        <v>960</v>
      </c>
      <c r="F209" s="20">
        <f t="shared" si="13"/>
        <v>0.7142857142857143</v>
      </c>
      <c r="G209" s="19">
        <f t="shared" si="12"/>
        <v>685.71428571428578</v>
      </c>
      <c r="H209" s="19">
        <f t="shared" si="14"/>
        <v>2815.1314285714284</v>
      </c>
      <c r="I209" s="114" t="s">
        <v>1521</v>
      </c>
      <c r="J209" s="210">
        <f>VLOOKUP(I209,'Reajuste Atual'!$L$19:$M$25,2,FALSE)</f>
        <v>3.1053999999999999</v>
      </c>
      <c r="K209" s="190"/>
      <c r="L209" s="20">
        <v>1</v>
      </c>
      <c r="M209" s="765">
        <f t="shared" si="16"/>
        <v>0.7142857142857143</v>
      </c>
      <c r="N209" s="765">
        <f t="shared" si="15"/>
        <v>0.72727272727272729</v>
      </c>
      <c r="O209" s="765">
        <f t="shared" si="17"/>
        <v>0.7142857142857143</v>
      </c>
    </row>
    <row r="210" spans="1:15" s="98" customFormat="1" outlineLevel="1">
      <c r="A210" s="141" t="s">
        <v>3478</v>
      </c>
      <c r="B210" s="114" t="s">
        <v>471</v>
      </c>
      <c r="C210" s="100" t="s">
        <v>1913</v>
      </c>
      <c r="D210" s="99" t="s">
        <v>1472</v>
      </c>
      <c r="E210" s="491">
        <v>1400</v>
      </c>
      <c r="F210" s="20">
        <f t="shared" si="13"/>
        <v>0.22142857142857145</v>
      </c>
      <c r="G210" s="19">
        <f t="shared" si="12"/>
        <v>310</v>
      </c>
      <c r="H210" s="19">
        <f t="shared" si="14"/>
        <v>1272.6739999999998</v>
      </c>
      <c r="I210" s="114" t="s">
        <v>1521</v>
      </c>
      <c r="J210" s="210">
        <f>VLOOKUP(I210,'Reajuste Atual'!$L$19:$M$25,2,FALSE)</f>
        <v>3.1053999999999999</v>
      </c>
      <c r="K210" s="190"/>
      <c r="L210" s="20">
        <v>0.31</v>
      </c>
      <c r="M210" s="765">
        <f t="shared" si="16"/>
        <v>0.22142857142857145</v>
      </c>
      <c r="N210" s="765">
        <f t="shared" si="15"/>
        <v>0.22545454545454546</v>
      </c>
      <c r="O210" s="765">
        <f t="shared" si="17"/>
        <v>0.22142857142857145</v>
      </c>
    </row>
    <row r="211" spans="1:15" s="98" customFormat="1" ht="47.25" outlineLevel="1">
      <c r="A211" s="141" t="s">
        <v>3478</v>
      </c>
      <c r="B211" s="114" t="s">
        <v>472</v>
      </c>
      <c r="C211" s="100" t="s">
        <v>1914</v>
      </c>
      <c r="D211" s="99" t="s">
        <v>1480</v>
      </c>
      <c r="E211" s="491">
        <v>4</v>
      </c>
      <c r="F211" s="20">
        <f t="shared" si="13"/>
        <v>1099.8285714285714</v>
      </c>
      <c r="G211" s="19">
        <f t="shared" si="12"/>
        <v>4399.3142857142857</v>
      </c>
      <c r="H211" s="19">
        <f t="shared" si="14"/>
        <v>18060.944868571427</v>
      </c>
      <c r="I211" s="114" t="s">
        <v>1521</v>
      </c>
      <c r="J211" s="210">
        <f>VLOOKUP(I211,'Reajuste Atual'!$L$19:$M$25,2,FALSE)</f>
        <v>3.1053999999999999</v>
      </c>
      <c r="K211" s="190"/>
      <c r="L211" s="20">
        <v>1539.76</v>
      </c>
      <c r="M211" s="765">
        <f t="shared" si="16"/>
        <v>1099.8285714285714</v>
      </c>
      <c r="N211" s="765">
        <f t="shared" si="15"/>
        <v>1119.8254545454545</v>
      </c>
      <c r="O211" s="765">
        <f t="shared" si="17"/>
        <v>1099.8285714285714</v>
      </c>
    </row>
    <row r="212" spans="1:15" s="98" customFormat="1" ht="31.5" outlineLevel="1">
      <c r="A212" s="141" t="s">
        <v>3478</v>
      </c>
      <c r="B212" s="114" t="s">
        <v>473</v>
      </c>
      <c r="C212" s="100" t="s">
        <v>1915</v>
      </c>
      <c r="D212" s="99" t="s">
        <v>1480</v>
      </c>
      <c r="E212" s="491">
        <v>4</v>
      </c>
      <c r="F212" s="20">
        <f t="shared" si="13"/>
        <v>394.09285714285716</v>
      </c>
      <c r="G212" s="19">
        <f t="shared" si="12"/>
        <v>1576.3714285714286</v>
      </c>
      <c r="H212" s="19">
        <f t="shared" si="14"/>
        <v>6471.6352628571422</v>
      </c>
      <c r="I212" s="114" t="s">
        <v>1521</v>
      </c>
      <c r="J212" s="210">
        <f>VLOOKUP(I212,'Reajuste Atual'!$L$19:$M$25,2,FALSE)</f>
        <v>3.1053999999999999</v>
      </c>
      <c r="K212" s="190"/>
      <c r="L212" s="20">
        <v>551.73</v>
      </c>
      <c r="M212" s="765">
        <f t="shared" si="16"/>
        <v>394.09285714285716</v>
      </c>
      <c r="N212" s="765">
        <f t="shared" si="15"/>
        <v>401.25818181818181</v>
      </c>
      <c r="O212" s="765">
        <f t="shared" si="17"/>
        <v>394.09285714285716</v>
      </c>
    </row>
    <row r="213" spans="1:15" s="98" customFormat="1" ht="31.5" outlineLevel="1">
      <c r="A213" s="141" t="s">
        <v>3478</v>
      </c>
      <c r="B213" s="114" t="s">
        <v>474</v>
      </c>
      <c r="C213" s="100" t="s">
        <v>2823</v>
      </c>
      <c r="D213" s="99" t="s">
        <v>1480</v>
      </c>
      <c r="E213" s="491">
        <v>32</v>
      </c>
      <c r="F213" s="20">
        <f t="shared" si="13"/>
        <v>55</v>
      </c>
      <c r="G213" s="19">
        <f t="shared" si="12"/>
        <v>1760</v>
      </c>
      <c r="H213" s="19">
        <f t="shared" si="14"/>
        <v>7225.503999999999</v>
      </c>
      <c r="I213" s="114" t="s">
        <v>1521</v>
      </c>
      <c r="J213" s="210">
        <f>VLOOKUP(I213,'Reajuste Atual'!$L$19:$M$25,2,FALSE)</f>
        <v>3.1053999999999999</v>
      </c>
      <c r="K213" s="190"/>
      <c r="L213" s="20">
        <v>77</v>
      </c>
      <c r="M213" s="765">
        <f t="shared" si="16"/>
        <v>55</v>
      </c>
      <c r="N213" s="765">
        <f t="shared" si="15"/>
        <v>56</v>
      </c>
      <c r="O213" s="765">
        <f t="shared" si="17"/>
        <v>55</v>
      </c>
    </row>
    <row r="214" spans="1:15" s="98" customFormat="1" outlineLevel="1">
      <c r="A214" s="141" t="s">
        <v>3478</v>
      </c>
      <c r="B214" s="114" t="s">
        <v>475</v>
      </c>
      <c r="C214" s="100" t="s">
        <v>1916</v>
      </c>
      <c r="D214" s="99" t="s">
        <v>1480</v>
      </c>
      <c r="E214" s="491">
        <v>116</v>
      </c>
      <c r="F214" s="20">
        <f t="shared" si="13"/>
        <v>32.064285714285717</v>
      </c>
      <c r="G214" s="19">
        <f t="shared" si="12"/>
        <v>3719.457142857143</v>
      </c>
      <c r="H214" s="19">
        <f t="shared" si="14"/>
        <v>15269.859354285712</v>
      </c>
      <c r="I214" s="114" t="s">
        <v>1521</v>
      </c>
      <c r="J214" s="210">
        <f>VLOOKUP(I214,'Reajuste Atual'!$L$19:$M$25,2,FALSE)</f>
        <v>3.1053999999999999</v>
      </c>
      <c r="K214" s="190"/>
      <c r="L214" s="20">
        <v>44.89</v>
      </c>
      <c r="M214" s="765">
        <f t="shared" si="16"/>
        <v>32.064285714285717</v>
      </c>
      <c r="N214" s="765">
        <f t="shared" si="15"/>
        <v>32.647272727272728</v>
      </c>
      <c r="O214" s="765">
        <f t="shared" si="17"/>
        <v>32.064285714285717</v>
      </c>
    </row>
    <row r="215" spans="1:15" s="98" customFormat="1" outlineLevel="1">
      <c r="A215" s="141" t="s">
        <v>3478</v>
      </c>
      <c r="B215" s="114" t="s">
        <v>476</v>
      </c>
      <c r="C215" s="100" t="s">
        <v>1917</v>
      </c>
      <c r="D215" s="99" t="s">
        <v>1480</v>
      </c>
      <c r="E215" s="491">
        <v>16</v>
      </c>
      <c r="F215" s="20">
        <f t="shared" si="13"/>
        <v>13.735714285714288</v>
      </c>
      <c r="G215" s="19">
        <f t="shared" si="12"/>
        <v>219.7714285714286</v>
      </c>
      <c r="H215" s="19">
        <f t="shared" si="14"/>
        <v>902.24962285714287</v>
      </c>
      <c r="I215" s="114" t="s">
        <v>1521</v>
      </c>
      <c r="J215" s="210">
        <f>VLOOKUP(I215,'Reajuste Atual'!$L$19:$M$25,2,FALSE)</f>
        <v>3.1053999999999999</v>
      </c>
      <c r="K215" s="190"/>
      <c r="L215" s="20">
        <v>19.23</v>
      </c>
      <c r="M215" s="765">
        <f t="shared" si="16"/>
        <v>13.735714285714288</v>
      </c>
      <c r="N215" s="765">
        <f t="shared" si="15"/>
        <v>13.985454545454546</v>
      </c>
      <c r="O215" s="765">
        <f t="shared" si="17"/>
        <v>13.735714285714288</v>
      </c>
    </row>
    <row r="216" spans="1:15" s="98" customFormat="1" outlineLevel="1">
      <c r="A216" s="141" t="s">
        <v>3478</v>
      </c>
      <c r="B216" s="114" t="s">
        <v>477</v>
      </c>
      <c r="C216" s="100" t="s">
        <v>1918</v>
      </c>
      <c r="D216" s="99" t="s">
        <v>1480</v>
      </c>
      <c r="E216" s="491">
        <v>12</v>
      </c>
      <c r="F216" s="20">
        <f t="shared" si="13"/>
        <v>41.228571428571428</v>
      </c>
      <c r="G216" s="19">
        <f t="shared" si="12"/>
        <v>494.74285714285713</v>
      </c>
      <c r="H216" s="19">
        <f t="shared" si="14"/>
        <v>2031.1173257142855</v>
      </c>
      <c r="I216" s="114" t="s">
        <v>1521</v>
      </c>
      <c r="J216" s="210">
        <f>VLOOKUP(I216,'Reajuste Atual'!$L$19:$M$25,2,FALSE)</f>
        <v>3.1053999999999999</v>
      </c>
      <c r="K216" s="190"/>
      <c r="L216" s="20">
        <v>57.72</v>
      </c>
      <c r="M216" s="765">
        <f t="shared" si="16"/>
        <v>41.228571428571428</v>
      </c>
      <c r="N216" s="765">
        <f t="shared" si="15"/>
        <v>41.978181818181817</v>
      </c>
      <c r="O216" s="765">
        <f t="shared" si="17"/>
        <v>41.228571428571428</v>
      </c>
    </row>
    <row r="217" spans="1:15" s="98" customFormat="1" ht="31.5" outlineLevel="1">
      <c r="A217" s="141" t="s">
        <v>3478</v>
      </c>
      <c r="B217" s="114" t="s">
        <v>478</v>
      </c>
      <c r="C217" s="100" t="s">
        <v>1919</v>
      </c>
      <c r="D217" s="99" t="s">
        <v>1480</v>
      </c>
      <c r="E217" s="491">
        <v>20</v>
      </c>
      <c r="F217" s="20">
        <f t="shared" si="13"/>
        <v>320.7928571428572</v>
      </c>
      <c r="G217" s="19">
        <f t="shared" ref="G217:G280" si="18">E217*F217</f>
        <v>6415.857142857144</v>
      </c>
      <c r="H217" s="19">
        <f t="shared" si="14"/>
        <v>26339.659914285716</v>
      </c>
      <c r="I217" s="114" t="s">
        <v>1521</v>
      </c>
      <c r="J217" s="210">
        <f>VLOOKUP(I217,'Reajuste Atual'!$L$19:$M$25,2,FALSE)</f>
        <v>3.1053999999999999</v>
      </c>
      <c r="K217" s="190"/>
      <c r="L217" s="20">
        <v>449.11</v>
      </c>
      <c r="M217" s="765">
        <f t="shared" si="16"/>
        <v>320.7928571428572</v>
      </c>
      <c r="N217" s="765">
        <f t="shared" si="15"/>
        <v>326.62545454545455</v>
      </c>
      <c r="O217" s="765">
        <f t="shared" si="17"/>
        <v>320.7928571428572</v>
      </c>
    </row>
    <row r="218" spans="1:15" s="98" customFormat="1" outlineLevel="1">
      <c r="A218" s="141" t="s">
        <v>3478</v>
      </c>
      <c r="B218" s="114" t="s">
        <v>479</v>
      </c>
      <c r="C218" s="100" t="s">
        <v>1920</v>
      </c>
      <c r="D218" s="99" t="s">
        <v>1480</v>
      </c>
      <c r="E218" s="491">
        <v>224</v>
      </c>
      <c r="F218" s="20">
        <f t="shared" ref="F218:F281" si="19">O218</f>
        <v>3.3000000000000003</v>
      </c>
      <c r="G218" s="19">
        <f t="shared" si="18"/>
        <v>739.2</v>
      </c>
      <c r="H218" s="19">
        <f t="shared" ref="H218:H281" si="20">G218*(1+J218)</f>
        <v>3034.7116799999999</v>
      </c>
      <c r="I218" s="114" t="s">
        <v>1521</v>
      </c>
      <c r="J218" s="210">
        <f>VLOOKUP(I218,'Reajuste Atual'!$L$19:$M$25,2,FALSE)</f>
        <v>3.1053999999999999</v>
      </c>
      <c r="K218" s="190"/>
      <c r="L218" s="20">
        <v>4.62</v>
      </c>
      <c r="M218" s="765">
        <f t="shared" si="16"/>
        <v>3.3000000000000003</v>
      </c>
      <c r="N218" s="765">
        <f t="shared" ref="N218:N281" si="21">L218/($N$23+1)</f>
        <v>3.36</v>
      </c>
      <c r="O218" s="765">
        <f t="shared" si="17"/>
        <v>3.3000000000000003</v>
      </c>
    </row>
    <row r="219" spans="1:15" s="98" customFormat="1" outlineLevel="1">
      <c r="A219" s="141" t="s">
        <v>3478</v>
      </c>
      <c r="B219" s="114" t="s">
        <v>480</v>
      </c>
      <c r="C219" s="100" t="s">
        <v>1921</v>
      </c>
      <c r="D219" s="99" t="s">
        <v>1480</v>
      </c>
      <c r="E219" s="491">
        <v>12</v>
      </c>
      <c r="F219" s="20">
        <f t="shared" si="19"/>
        <v>19.7</v>
      </c>
      <c r="G219" s="19">
        <f t="shared" si="18"/>
        <v>236.39999999999998</v>
      </c>
      <c r="H219" s="19">
        <f t="shared" si="20"/>
        <v>970.5165599999998</v>
      </c>
      <c r="I219" s="114" t="s">
        <v>1521</v>
      </c>
      <c r="J219" s="210">
        <f>VLOOKUP(I219,'Reajuste Atual'!$L$19:$M$25,2,FALSE)</f>
        <v>3.1053999999999999</v>
      </c>
      <c r="K219" s="190"/>
      <c r="L219" s="20">
        <v>27.58</v>
      </c>
      <c r="M219" s="765">
        <f t="shared" ref="M219:M282" si="22">L219/($M$23+1)</f>
        <v>19.7</v>
      </c>
      <c r="N219" s="765">
        <f t="shared" si="21"/>
        <v>20.058181818181819</v>
      </c>
      <c r="O219" s="765">
        <f t="shared" si="17"/>
        <v>19.7</v>
      </c>
    </row>
    <row r="220" spans="1:15" s="98" customFormat="1" outlineLevel="1">
      <c r="A220" s="141" t="s">
        <v>3478</v>
      </c>
      <c r="B220" s="114" t="s">
        <v>481</v>
      </c>
      <c r="C220" s="100" t="s">
        <v>1922</v>
      </c>
      <c r="D220" s="99" t="s">
        <v>1480</v>
      </c>
      <c r="E220" s="491">
        <v>40</v>
      </c>
      <c r="F220" s="20">
        <f t="shared" si="19"/>
        <v>5.0428571428571427</v>
      </c>
      <c r="G220" s="19">
        <f t="shared" si="18"/>
        <v>201.71428571428572</v>
      </c>
      <c r="H220" s="19">
        <f t="shared" si="20"/>
        <v>828.1178285714285</v>
      </c>
      <c r="I220" s="114" t="s">
        <v>1521</v>
      </c>
      <c r="J220" s="210">
        <f>VLOOKUP(I220,'Reajuste Atual'!$L$19:$M$25,2,FALSE)</f>
        <v>3.1053999999999999</v>
      </c>
      <c r="K220" s="190"/>
      <c r="L220" s="20">
        <v>7.06</v>
      </c>
      <c r="M220" s="765">
        <f t="shared" si="22"/>
        <v>5.0428571428571427</v>
      </c>
      <c r="N220" s="765">
        <f t="shared" si="21"/>
        <v>5.1345454545454539</v>
      </c>
      <c r="O220" s="765">
        <f t="shared" ref="O220:O283" si="23">IF(A220="S",M220,N220)</f>
        <v>5.0428571428571427</v>
      </c>
    </row>
    <row r="221" spans="1:15" s="98" customFormat="1" outlineLevel="1">
      <c r="A221" s="141" t="s">
        <v>3478</v>
      </c>
      <c r="B221" s="114" t="s">
        <v>482</v>
      </c>
      <c r="C221" s="100" t="s">
        <v>1923</v>
      </c>
      <c r="D221" s="99" t="s">
        <v>1480</v>
      </c>
      <c r="E221" s="491">
        <v>16</v>
      </c>
      <c r="F221" s="20">
        <f t="shared" si="19"/>
        <v>5.0428571428571427</v>
      </c>
      <c r="G221" s="19">
        <f t="shared" si="18"/>
        <v>80.685714285714283</v>
      </c>
      <c r="H221" s="19">
        <f t="shared" si="20"/>
        <v>331.24713142857138</v>
      </c>
      <c r="I221" s="114" t="s">
        <v>1521</v>
      </c>
      <c r="J221" s="210">
        <f>VLOOKUP(I221,'Reajuste Atual'!$L$19:$M$25,2,FALSE)</f>
        <v>3.1053999999999999</v>
      </c>
      <c r="K221" s="190"/>
      <c r="L221" s="20">
        <v>7.06</v>
      </c>
      <c r="M221" s="765">
        <f t="shared" si="22"/>
        <v>5.0428571428571427</v>
      </c>
      <c r="N221" s="765">
        <f t="shared" si="21"/>
        <v>5.1345454545454539</v>
      </c>
      <c r="O221" s="765">
        <f t="shared" si="23"/>
        <v>5.0428571428571427</v>
      </c>
    </row>
    <row r="222" spans="1:15" s="98" customFormat="1" outlineLevel="1">
      <c r="A222" s="141" t="s">
        <v>3478</v>
      </c>
      <c r="B222" s="114" t="s">
        <v>483</v>
      </c>
      <c r="C222" s="100" t="s">
        <v>1924</v>
      </c>
      <c r="D222" s="99" t="s">
        <v>1480</v>
      </c>
      <c r="E222" s="491">
        <v>28</v>
      </c>
      <c r="F222" s="20">
        <f t="shared" si="19"/>
        <v>5.0428571428571427</v>
      </c>
      <c r="G222" s="19">
        <f t="shared" si="18"/>
        <v>141.19999999999999</v>
      </c>
      <c r="H222" s="19">
        <f t="shared" si="20"/>
        <v>579.68247999999983</v>
      </c>
      <c r="I222" s="114" t="s">
        <v>1521</v>
      </c>
      <c r="J222" s="210">
        <f>VLOOKUP(I222,'Reajuste Atual'!$L$19:$M$25,2,FALSE)</f>
        <v>3.1053999999999999</v>
      </c>
      <c r="K222" s="190"/>
      <c r="L222" s="20">
        <v>7.06</v>
      </c>
      <c r="M222" s="765">
        <f t="shared" si="22"/>
        <v>5.0428571428571427</v>
      </c>
      <c r="N222" s="765">
        <f t="shared" si="21"/>
        <v>5.1345454545454539</v>
      </c>
      <c r="O222" s="765">
        <f t="shared" si="23"/>
        <v>5.0428571428571427</v>
      </c>
    </row>
    <row r="223" spans="1:15" s="98" customFormat="1" outlineLevel="1">
      <c r="A223" s="141" t="s">
        <v>3478</v>
      </c>
      <c r="B223" s="114" t="s">
        <v>484</v>
      </c>
      <c r="C223" s="100" t="s">
        <v>1925</v>
      </c>
      <c r="D223" s="99" t="s">
        <v>1480</v>
      </c>
      <c r="E223" s="491">
        <v>16</v>
      </c>
      <c r="F223" s="20">
        <f t="shared" si="19"/>
        <v>5.0428571428571427</v>
      </c>
      <c r="G223" s="19">
        <f t="shared" si="18"/>
        <v>80.685714285714283</v>
      </c>
      <c r="H223" s="19">
        <f t="shared" si="20"/>
        <v>331.24713142857138</v>
      </c>
      <c r="I223" s="114" t="s">
        <v>1521</v>
      </c>
      <c r="J223" s="210">
        <f>VLOOKUP(I223,'Reajuste Atual'!$L$19:$M$25,2,FALSE)</f>
        <v>3.1053999999999999</v>
      </c>
      <c r="K223" s="190"/>
      <c r="L223" s="20">
        <v>7.06</v>
      </c>
      <c r="M223" s="765">
        <f t="shared" si="22"/>
        <v>5.0428571428571427</v>
      </c>
      <c r="N223" s="765">
        <f t="shared" si="21"/>
        <v>5.1345454545454539</v>
      </c>
      <c r="O223" s="765">
        <f t="shared" si="23"/>
        <v>5.0428571428571427</v>
      </c>
    </row>
    <row r="224" spans="1:15" s="98" customFormat="1" ht="31.5" outlineLevel="1">
      <c r="A224" s="141" t="s">
        <v>3478</v>
      </c>
      <c r="B224" s="114" t="s">
        <v>485</v>
      </c>
      <c r="C224" s="100" t="s">
        <v>1926</v>
      </c>
      <c r="D224" s="99" t="s">
        <v>1480</v>
      </c>
      <c r="E224" s="491">
        <v>96</v>
      </c>
      <c r="F224" s="20">
        <f t="shared" si="19"/>
        <v>10.985714285714288</v>
      </c>
      <c r="G224" s="19">
        <f t="shared" si="18"/>
        <v>1054.6285714285716</v>
      </c>
      <c r="H224" s="19">
        <f t="shared" si="20"/>
        <v>4329.6721371428575</v>
      </c>
      <c r="I224" s="114" t="s">
        <v>1521</v>
      </c>
      <c r="J224" s="210">
        <f>VLOOKUP(I224,'Reajuste Atual'!$L$19:$M$25,2,FALSE)</f>
        <v>3.1053999999999999</v>
      </c>
      <c r="K224" s="190"/>
      <c r="L224" s="20">
        <v>15.38</v>
      </c>
      <c r="M224" s="765">
        <f t="shared" si="22"/>
        <v>10.985714285714288</v>
      </c>
      <c r="N224" s="765">
        <f t="shared" si="21"/>
        <v>11.185454545454546</v>
      </c>
      <c r="O224" s="765">
        <f t="shared" si="23"/>
        <v>10.985714285714288</v>
      </c>
    </row>
    <row r="225" spans="1:15" s="98" customFormat="1" ht="31.5" outlineLevel="1">
      <c r="A225" s="141" t="s">
        <v>3478</v>
      </c>
      <c r="B225" s="114" t="s">
        <v>486</v>
      </c>
      <c r="C225" s="100" t="s">
        <v>1927</v>
      </c>
      <c r="D225" s="99" t="s">
        <v>1480</v>
      </c>
      <c r="E225" s="491">
        <v>40</v>
      </c>
      <c r="F225" s="20">
        <f t="shared" si="19"/>
        <v>10.985714285714288</v>
      </c>
      <c r="G225" s="19">
        <f t="shared" si="18"/>
        <v>439.4285714285715</v>
      </c>
      <c r="H225" s="19">
        <f t="shared" si="20"/>
        <v>1804.0300571428572</v>
      </c>
      <c r="I225" s="114" t="s">
        <v>1521</v>
      </c>
      <c r="J225" s="210">
        <f>VLOOKUP(I225,'Reajuste Atual'!$L$19:$M$25,2,FALSE)</f>
        <v>3.1053999999999999</v>
      </c>
      <c r="K225" s="190"/>
      <c r="L225" s="20">
        <v>15.38</v>
      </c>
      <c r="M225" s="765">
        <f t="shared" si="22"/>
        <v>10.985714285714288</v>
      </c>
      <c r="N225" s="765">
        <f t="shared" si="21"/>
        <v>11.185454545454546</v>
      </c>
      <c r="O225" s="765">
        <f t="shared" si="23"/>
        <v>10.985714285714288</v>
      </c>
    </row>
    <row r="226" spans="1:15" s="98" customFormat="1" ht="31.5" outlineLevel="1">
      <c r="A226" s="141" t="s">
        <v>3478</v>
      </c>
      <c r="B226" s="114" t="s">
        <v>487</v>
      </c>
      <c r="C226" s="100" t="s">
        <v>1928</v>
      </c>
      <c r="D226" s="99" t="s">
        <v>1480</v>
      </c>
      <c r="E226" s="491">
        <v>4</v>
      </c>
      <c r="F226" s="20">
        <f t="shared" si="19"/>
        <v>10.985714285714288</v>
      </c>
      <c r="G226" s="19">
        <f t="shared" si="18"/>
        <v>43.94285714285715</v>
      </c>
      <c r="H226" s="19">
        <f t="shared" si="20"/>
        <v>180.40300571428571</v>
      </c>
      <c r="I226" s="114" t="s">
        <v>1521</v>
      </c>
      <c r="J226" s="210">
        <f>VLOOKUP(I226,'Reajuste Atual'!$L$19:$M$25,2,FALSE)</f>
        <v>3.1053999999999999</v>
      </c>
      <c r="K226" s="190"/>
      <c r="L226" s="20">
        <v>15.38</v>
      </c>
      <c r="M226" s="765">
        <f t="shared" si="22"/>
        <v>10.985714285714288</v>
      </c>
      <c r="N226" s="765">
        <f t="shared" si="21"/>
        <v>11.185454545454546</v>
      </c>
      <c r="O226" s="765">
        <f t="shared" si="23"/>
        <v>10.985714285714288</v>
      </c>
    </row>
    <row r="227" spans="1:15" s="98" customFormat="1" ht="31.5" outlineLevel="1">
      <c r="A227" s="141" t="s">
        <v>3478</v>
      </c>
      <c r="B227" s="114" t="s">
        <v>488</v>
      </c>
      <c r="C227" s="100" t="s">
        <v>1929</v>
      </c>
      <c r="D227" s="99" t="s">
        <v>1480</v>
      </c>
      <c r="E227" s="491">
        <v>8</v>
      </c>
      <c r="F227" s="20">
        <f t="shared" si="19"/>
        <v>10.985714285714288</v>
      </c>
      <c r="G227" s="19">
        <f t="shared" si="18"/>
        <v>87.8857142857143</v>
      </c>
      <c r="H227" s="19">
        <f t="shared" si="20"/>
        <v>360.80601142857142</v>
      </c>
      <c r="I227" s="114" t="s">
        <v>1521</v>
      </c>
      <c r="J227" s="210">
        <f>VLOOKUP(I227,'Reajuste Atual'!$L$19:$M$25,2,FALSE)</f>
        <v>3.1053999999999999</v>
      </c>
      <c r="K227" s="190"/>
      <c r="L227" s="20">
        <v>15.38</v>
      </c>
      <c r="M227" s="765">
        <f t="shared" si="22"/>
        <v>10.985714285714288</v>
      </c>
      <c r="N227" s="765">
        <f t="shared" si="21"/>
        <v>11.185454545454546</v>
      </c>
      <c r="O227" s="765">
        <f t="shared" si="23"/>
        <v>10.985714285714288</v>
      </c>
    </row>
    <row r="228" spans="1:15" s="98" customFormat="1" ht="31.5" outlineLevel="1">
      <c r="A228" s="141" t="s">
        <v>3478</v>
      </c>
      <c r="B228" s="114" t="s">
        <v>489</v>
      </c>
      <c r="C228" s="100" t="s">
        <v>1930</v>
      </c>
      <c r="D228" s="99" t="s">
        <v>1480</v>
      </c>
      <c r="E228" s="491">
        <v>8</v>
      </c>
      <c r="F228" s="20">
        <f t="shared" si="19"/>
        <v>13.735714285714288</v>
      </c>
      <c r="G228" s="19">
        <f t="shared" si="18"/>
        <v>109.8857142857143</v>
      </c>
      <c r="H228" s="19">
        <f t="shared" si="20"/>
        <v>451.12481142857143</v>
      </c>
      <c r="I228" s="114" t="s">
        <v>1521</v>
      </c>
      <c r="J228" s="210">
        <f>VLOOKUP(I228,'Reajuste Atual'!$L$19:$M$25,2,FALSE)</f>
        <v>3.1053999999999999</v>
      </c>
      <c r="K228" s="190"/>
      <c r="L228" s="20">
        <v>19.23</v>
      </c>
      <c r="M228" s="765">
        <f t="shared" si="22"/>
        <v>13.735714285714288</v>
      </c>
      <c r="N228" s="765">
        <f t="shared" si="21"/>
        <v>13.985454545454546</v>
      </c>
      <c r="O228" s="765">
        <f t="shared" si="23"/>
        <v>13.735714285714288</v>
      </c>
    </row>
    <row r="229" spans="1:15" s="98" customFormat="1" outlineLevel="1">
      <c r="A229" s="141" t="s">
        <v>3478</v>
      </c>
      <c r="B229" s="114" t="s">
        <v>490</v>
      </c>
      <c r="C229" s="100" t="s">
        <v>1931</v>
      </c>
      <c r="D229" s="99" t="s">
        <v>1480</v>
      </c>
      <c r="E229" s="491">
        <v>12</v>
      </c>
      <c r="F229" s="20">
        <f t="shared" si="19"/>
        <v>32.064285714285717</v>
      </c>
      <c r="G229" s="19">
        <f t="shared" si="18"/>
        <v>384.7714285714286</v>
      </c>
      <c r="H229" s="19">
        <f t="shared" si="20"/>
        <v>1579.6406228571427</v>
      </c>
      <c r="I229" s="114" t="s">
        <v>1521</v>
      </c>
      <c r="J229" s="210">
        <f>VLOOKUP(I229,'Reajuste Atual'!$L$19:$M$25,2,FALSE)</f>
        <v>3.1053999999999999</v>
      </c>
      <c r="K229" s="190"/>
      <c r="L229" s="20">
        <v>44.89</v>
      </c>
      <c r="M229" s="765">
        <f t="shared" si="22"/>
        <v>32.064285714285717</v>
      </c>
      <c r="N229" s="765">
        <f t="shared" si="21"/>
        <v>32.647272727272728</v>
      </c>
      <c r="O229" s="765">
        <f t="shared" si="23"/>
        <v>32.064285714285717</v>
      </c>
    </row>
    <row r="230" spans="1:15" s="98" customFormat="1" outlineLevel="1">
      <c r="A230" s="141" t="s">
        <v>3478</v>
      </c>
      <c r="B230" s="114" t="s">
        <v>491</v>
      </c>
      <c r="C230" s="100" t="s">
        <v>1932</v>
      </c>
      <c r="D230" s="99" t="s">
        <v>1480</v>
      </c>
      <c r="E230" s="20">
        <v>12</v>
      </c>
      <c r="F230" s="20">
        <f t="shared" si="19"/>
        <v>22.907142857142858</v>
      </c>
      <c r="G230" s="19">
        <f t="shared" si="18"/>
        <v>274.8857142857143</v>
      </c>
      <c r="H230" s="19">
        <f t="shared" si="20"/>
        <v>1128.5158114285714</v>
      </c>
      <c r="I230" s="114" t="s">
        <v>1521</v>
      </c>
      <c r="J230" s="210">
        <f>VLOOKUP(I230,'Reajuste Atual'!$L$19:$M$25,2,FALSE)</f>
        <v>3.1053999999999999</v>
      </c>
      <c r="K230" s="190"/>
      <c r="L230" s="20">
        <v>32.07</v>
      </c>
      <c r="M230" s="765">
        <f t="shared" si="22"/>
        <v>22.907142857142858</v>
      </c>
      <c r="N230" s="765">
        <f t="shared" si="21"/>
        <v>23.323636363636364</v>
      </c>
      <c r="O230" s="765">
        <f t="shared" si="23"/>
        <v>22.907142857142858</v>
      </c>
    </row>
    <row r="231" spans="1:15" s="98" customFormat="1" outlineLevel="1">
      <c r="A231" s="141" t="s">
        <v>3478</v>
      </c>
      <c r="B231" s="114" t="s">
        <v>492</v>
      </c>
      <c r="C231" s="100" t="s">
        <v>1933</v>
      </c>
      <c r="D231" s="99" t="s">
        <v>1480</v>
      </c>
      <c r="E231" s="20">
        <v>28</v>
      </c>
      <c r="F231" s="20">
        <f t="shared" si="19"/>
        <v>1.3714285714285714</v>
      </c>
      <c r="G231" s="19">
        <f t="shared" si="18"/>
        <v>38.4</v>
      </c>
      <c r="H231" s="19">
        <f t="shared" si="20"/>
        <v>157.64735999999996</v>
      </c>
      <c r="I231" s="114" t="s">
        <v>1521</v>
      </c>
      <c r="J231" s="210">
        <f>VLOOKUP(I231,'Reajuste Atual'!$L$19:$M$25,2,FALSE)</f>
        <v>3.1053999999999999</v>
      </c>
      <c r="K231" s="190"/>
      <c r="L231" s="20">
        <v>1.92</v>
      </c>
      <c r="M231" s="765">
        <f t="shared" si="22"/>
        <v>1.3714285714285714</v>
      </c>
      <c r="N231" s="765">
        <f t="shared" si="21"/>
        <v>1.3963636363636363</v>
      </c>
      <c r="O231" s="765">
        <f t="shared" si="23"/>
        <v>1.3714285714285714</v>
      </c>
    </row>
    <row r="232" spans="1:15" s="98" customFormat="1" outlineLevel="1">
      <c r="A232" s="141" t="s">
        <v>3478</v>
      </c>
      <c r="B232" s="114" t="s">
        <v>493</v>
      </c>
      <c r="C232" s="100" t="s">
        <v>1934</v>
      </c>
      <c r="D232" s="99" t="s">
        <v>1480</v>
      </c>
      <c r="E232" s="20">
        <v>12</v>
      </c>
      <c r="F232" s="20">
        <f t="shared" si="19"/>
        <v>3.6785714285714293</v>
      </c>
      <c r="G232" s="19">
        <f t="shared" si="18"/>
        <v>44.142857142857153</v>
      </c>
      <c r="H232" s="19">
        <f t="shared" si="20"/>
        <v>181.22408571428574</v>
      </c>
      <c r="I232" s="114" t="s">
        <v>1521</v>
      </c>
      <c r="J232" s="210">
        <f>VLOOKUP(I232,'Reajuste Atual'!$L$19:$M$25,2,FALSE)</f>
        <v>3.1053999999999999</v>
      </c>
      <c r="K232" s="190"/>
      <c r="L232" s="20">
        <v>5.15</v>
      </c>
      <c r="M232" s="765">
        <f t="shared" si="22"/>
        <v>3.6785714285714293</v>
      </c>
      <c r="N232" s="765">
        <f t="shared" si="21"/>
        <v>3.7454545454545456</v>
      </c>
      <c r="O232" s="765">
        <f t="shared" si="23"/>
        <v>3.6785714285714293</v>
      </c>
    </row>
    <row r="233" spans="1:15" s="98" customFormat="1" outlineLevel="1">
      <c r="A233" s="141" t="s">
        <v>3478</v>
      </c>
      <c r="B233" s="114" t="s">
        <v>494</v>
      </c>
      <c r="C233" s="100" t="s">
        <v>1607</v>
      </c>
      <c r="D233" s="99" t="s">
        <v>1472</v>
      </c>
      <c r="E233" s="20">
        <v>1720</v>
      </c>
      <c r="F233" s="20">
        <f t="shared" si="19"/>
        <v>0.22142857142857145</v>
      </c>
      <c r="G233" s="19">
        <f t="shared" si="18"/>
        <v>380.85714285714289</v>
      </c>
      <c r="H233" s="19">
        <f t="shared" si="20"/>
        <v>1563.5709142857143</v>
      </c>
      <c r="I233" s="114" t="s">
        <v>1521</v>
      </c>
      <c r="J233" s="210">
        <f>VLOOKUP(I233,'Reajuste Atual'!$L$19:$M$25,2,FALSE)</f>
        <v>3.1053999999999999</v>
      </c>
      <c r="K233" s="190"/>
      <c r="L233" s="20">
        <v>0.31</v>
      </c>
      <c r="M233" s="765">
        <f t="shared" si="22"/>
        <v>0.22142857142857145</v>
      </c>
      <c r="N233" s="765">
        <f t="shared" si="21"/>
        <v>0.22545454545454546</v>
      </c>
      <c r="O233" s="765">
        <f t="shared" si="23"/>
        <v>0.22142857142857145</v>
      </c>
    </row>
    <row r="234" spans="1:15" s="98" customFormat="1" outlineLevel="1">
      <c r="A234" s="141" t="s">
        <v>3478</v>
      </c>
      <c r="B234" s="114" t="s">
        <v>495</v>
      </c>
      <c r="C234" s="100" t="s">
        <v>1935</v>
      </c>
      <c r="D234" s="99" t="s">
        <v>1473</v>
      </c>
      <c r="E234" s="20">
        <v>4</v>
      </c>
      <c r="F234" s="20">
        <f t="shared" si="19"/>
        <v>26350.664285714287</v>
      </c>
      <c r="G234" s="19">
        <f t="shared" si="18"/>
        <v>105402.65714285715</v>
      </c>
      <c r="H234" s="19">
        <f t="shared" si="20"/>
        <v>432720.06863428571</v>
      </c>
      <c r="I234" s="114" t="s">
        <v>1521</v>
      </c>
      <c r="J234" s="210">
        <f>VLOOKUP(I234,'Reajuste Atual'!$L$19:$M$25,2,FALSE)</f>
        <v>3.1053999999999999</v>
      </c>
      <c r="K234" s="190"/>
      <c r="L234" s="20">
        <v>36890.93</v>
      </c>
      <c r="M234" s="765">
        <f t="shared" si="22"/>
        <v>26350.664285714287</v>
      </c>
      <c r="N234" s="765">
        <f t="shared" si="21"/>
        <v>26829.767272727273</v>
      </c>
      <c r="O234" s="765">
        <f t="shared" si="23"/>
        <v>26350.664285714287</v>
      </c>
    </row>
    <row r="235" spans="1:15" s="98" customFormat="1" outlineLevel="1">
      <c r="A235" s="141" t="s">
        <v>3478</v>
      </c>
      <c r="B235" s="114" t="s">
        <v>496</v>
      </c>
      <c r="C235" s="100" t="s">
        <v>1936</v>
      </c>
      <c r="D235" s="99" t="s">
        <v>1480</v>
      </c>
      <c r="E235" s="20">
        <v>4</v>
      </c>
      <c r="F235" s="20">
        <f t="shared" si="19"/>
        <v>2459.3857142857141</v>
      </c>
      <c r="G235" s="19">
        <f t="shared" si="18"/>
        <v>9837.5428571428565</v>
      </c>
      <c r="H235" s="19">
        <f t="shared" si="20"/>
        <v>40387.048445714281</v>
      </c>
      <c r="I235" s="114" t="s">
        <v>1521</v>
      </c>
      <c r="J235" s="210">
        <f>VLOOKUP(I235,'Reajuste Atual'!$L$19:$M$25,2,FALSE)</f>
        <v>3.1053999999999999</v>
      </c>
      <c r="K235" s="190"/>
      <c r="L235" s="20">
        <v>3443.14</v>
      </c>
      <c r="M235" s="765">
        <f t="shared" si="22"/>
        <v>2459.3857142857141</v>
      </c>
      <c r="N235" s="765">
        <f t="shared" si="21"/>
        <v>2504.1018181818181</v>
      </c>
      <c r="O235" s="765">
        <f t="shared" si="23"/>
        <v>2459.3857142857141</v>
      </c>
    </row>
    <row r="236" spans="1:15" s="98" customFormat="1" outlineLevel="1">
      <c r="A236" s="141" t="s">
        <v>3478</v>
      </c>
      <c r="B236" s="114" t="s">
        <v>497</v>
      </c>
      <c r="C236" s="100" t="s">
        <v>1937</v>
      </c>
      <c r="D236" s="99" t="s">
        <v>1480</v>
      </c>
      <c r="E236" s="246">
        <v>0</v>
      </c>
      <c r="F236" s="20">
        <f t="shared" si="19"/>
        <v>687.40000000000009</v>
      </c>
      <c r="G236" s="19">
        <f t="shared" si="18"/>
        <v>0</v>
      </c>
      <c r="H236" s="19">
        <f t="shared" si="20"/>
        <v>0</v>
      </c>
      <c r="I236" s="114" t="s">
        <v>1521</v>
      </c>
      <c r="J236" s="210">
        <f>VLOOKUP(I236,'Reajuste Atual'!$L$19:$M$25,2,FALSE)</f>
        <v>3.1053999999999999</v>
      </c>
      <c r="K236" s="190"/>
      <c r="L236" s="20">
        <v>962.36</v>
      </c>
      <c r="M236" s="765">
        <f t="shared" si="22"/>
        <v>687.40000000000009</v>
      </c>
      <c r="N236" s="765">
        <f t="shared" si="21"/>
        <v>699.8981818181818</v>
      </c>
      <c r="O236" s="765">
        <f t="shared" si="23"/>
        <v>687.40000000000009</v>
      </c>
    </row>
    <row r="237" spans="1:15" s="98" customFormat="1" ht="31.5" outlineLevel="1">
      <c r="A237" s="141" t="s">
        <v>3478</v>
      </c>
      <c r="B237" s="114" t="s">
        <v>498</v>
      </c>
      <c r="C237" s="100" t="s">
        <v>1938</v>
      </c>
      <c r="D237" s="99" t="s">
        <v>1480</v>
      </c>
      <c r="E237" s="20">
        <v>16</v>
      </c>
      <c r="F237" s="20">
        <f t="shared" si="19"/>
        <v>4391.7785714285719</v>
      </c>
      <c r="G237" s="19">
        <f t="shared" si="18"/>
        <v>70268.457142857151</v>
      </c>
      <c r="H237" s="19">
        <f t="shared" si="20"/>
        <v>288480.12395428569</v>
      </c>
      <c r="I237" s="114" t="s">
        <v>1521</v>
      </c>
      <c r="J237" s="210">
        <f>VLOOKUP(I237,'Reajuste Atual'!$L$19:$M$25,2,FALSE)</f>
        <v>3.1053999999999999</v>
      </c>
      <c r="K237" s="190"/>
      <c r="L237" s="20">
        <v>6148.49</v>
      </c>
      <c r="M237" s="765">
        <f t="shared" si="22"/>
        <v>4391.7785714285719</v>
      </c>
      <c r="N237" s="765">
        <f t="shared" si="21"/>
        <v>4471.6290909090903</v>
      </c>
      <c r="O237" s="765">
        <f t="shared" si="23"/>
        <v>4391.7785714285719</v>
      </c>
    </row>
    <row r="238" spans="1:15" s="98" customFormat="1" ht="31.5" outlineLevel="1">
      <c r="A238" s="141" t="s">
        <v>3478</v>
      </c>
      <c r="B238" s="114" t="s">
        <v>499</v>
      </c>
      <c r="C238" s="100" t="s">
        <v>1939</v>
      </c>
      <c r="D238" s="99" t="s">
        <v>1480</v>
      </c>
      <c r="E238" s="246">
        <v>0</v>
      </c>
      <c r="F238" s="20">
        <f t="shared" si="19"/>
        <v>3689.0785714285716</v>
      </c>
      <c r="G238" s="19">
        <f t="shared" si="18"/>
        <v>0</v>
      </c>
      <c r="H238" s="19">
        <f t="shared" si="20"/>
        <v>0</v>
      </c>
      <c r="I238" s="114" t="s">
        <v>1521</v>
      </c>
      <c r="J238" s="210">
        <f>VLOOKUP(I238,'Reajuste Atual'!$L$19:$M$25,2,FALSE)</f>
        <v>3.1053999999999999</v>
      </c>
      <c r="K238" s="190"/>
      <c r="L238" s="20">
        <v>5164.71</v>
      </c>
      <c r="M238" s="765">
        <f t="shared" si="22"/>
        <v>3689.0785714285716</v>
      </c>
      <c r="N238" s="765">
        <f t="shared" si="21"/>
        <v>3756.1527272727271</v>
      </c>
      <c r="O238" s="765">
        <f t="shared" si="23"/>
        <v>3689.0785714285716</v>
      </c>
    </row>
    <row r="239" spans="1:15" s="98" customFormat="1" ht="31.5" outlineLevel="1">
      <c r="A239" s="141" t="s">
        <v>3478</v>
      </c>
      <c r="B239" s="114" t="s">
        <v>500</v>
      </c>
      <c r="C239" s="100" t="s">
        <v>1940</v>
      </c>
      <c r="D239" s="99" t="s">
        <v>1480</v>
      </c>
      <c r="E239" s="246">
        <v>0</v>
      </c>
      <c r="F239" s="20">
        <f t="shared" si="19"/>
        <v>3689.0785714285716</v>
      </c>
      <c r="G239" s="19">
        <f t="shared" si="18"/>
        <v>0</v>
      </c>
      <c r="H239" s="19">
        <f t="shared" si="20"/>
        <v>0</v>
      </c>
      <c r="I239" s="114" t="s">
        <v>1521</v>
      </c>
      <c r="J239" s="210">
        <f>VLOOKUP(I239,'Reajuste Atual'!$L$19:$M$25,2,FALSE)</f>
        <v>3.1053999999999999</v>
      </c>
      <c r="K239" s="190"/>
      <c r="L239" s="20">
        <v>5164.71</v>
      </c>
      <c r="M239" s="765">
        <f t="shared" si="22"/>
        <v>3689.0785714285716</v>
      </c>
      <c r="N239" s="765">
        <f t="shared" si="21"/>
        <v>3756.1527272727271</v>
      </c>
      <c r="O239" s="765">
        <f t="shared" si="23"/>
        <v>3689.0785714285716</v>
      </c>
    </row>
    <row r="240" spans="1:15" s="98" customFormat="1" outlineLevel="1">
      <c r="A240" s="141" t="s">
        <v>3478</v>
      </c>
      <c r="B240" s="114" t="s">
        <v>501</v>
      </c>
      <c r="C240" s="100" t="s">
        <v>1941</v>
      </c>
      <c r="D240" s="99" t="s">
        <v>1480</v>
      </c>
      <c r="E240" s="246">
        <v>0</v>
      </c>
      <c r="F240" s="20">
        <f t="shared" si="19"/>
        <v>12296.957142857145</v>
      </c>
      <c r="G240" s="19">
        <f t="shared" si="18"/>
        <v>0</v>
      </c>
      <c r="H240" s="19">
        <f t="shared" si="20"/>
        <v>0</v>
      </c>
      <c r="I240" s="114" t="s">
        <v>1521</v>
      </c>
      <c r="J240" s="210">
        <f>VLOOKUP(I240,'Reajuste Atual'!$L$19:$M$25,2,FALSE)</f>
        <v>3.1053999999999999</v>
      </c>
      <c r="K240" s="190"/>
      <c r="L240" s="20">
        <v>17215.740000000002</v>
      </c>
      <c r="M240" s="765">
        <f t="shared" si="22"/>
        <v>12296.957142857145</v>
      </c>
      <c r="N240" s="765">
        <f t="shared" si="21"/>
        <v>12520.538181818183</v>
      </c>
      <c r="O240" s="765">
        <f t="shared" si="23"/>
        <v>12296.957142857145</v>
      </c>
    </row>
    <row r="241" spans="1:15" s="98" customFormat="1" ht="31.5" outlineLevel="1">
      <c r="A241" s="141" t="s">
        <v>3478</v>
      </c>
      <c r="B241" s="114" t="s">
        <v>502</v>
      </c>
      <c r="C241" s="100" t="s">
        <v>1942</v>
      </c>
      <c r="D241" s="99" t="s">
        <v>1480</v>
      </c>
      <c r="E241" s="20">
        <v>4</v>
      </c>
      <c r="F241" s="20">
        <f t="shared" si="19"/>
        <v>2459.3857142857141</v>
      </c>
      <c r="G241" s="19">
        <f t="shared" si="18"/>
        <v>9837.5428571428565</v>
      </c>
      <c r="H241" s="19">
        <f t="shared" si="20"/>
        <v>40387.048445714281</v>
      </c>
      <c r="I241" s="114" t="s">
        <v>1521</v>
      </c>
      <c r="J241" s="210">
        <f>VLOOKUP(I241,'Reajuste Atual'!$L$19:$M$25,2,FALSE)</f>
        <v>3.1053999999999999</v>
      </c>
      <c r="K241" s="190"/>
      <c r="L241" s="20">
        <v>3443.14</v>
      </c>
      <c r="M241" s="765">
        <f t="shared" si="22"/>
        <v>2459.3857142857141</v>
      </c>
      <c r="N241" s="765">
        <f t="shared" si="21"/>
        <v>2504.1018181818181</v>
      </c>
      <c r="O241" s="765">
        <f t="shared" si="23"/>
        <v>2459.3857142857141</v>
      </c>
    </row>
    <row r="242" spans="1:15" s="98" customFormat="1" ht="31.5" outlineLevel="1">
      <c r="A242" s="141" t="s">
        <v>3478</v>
      </c>
      <c r="B242" s="114" t="s">
        <v>503</v>
      </c>
      <c r="C242" s="100" t="s">
        <v>1943</v>
      </c>
      <c r="D242" s="99" t="s">
        <v>1480</v>
      </c>
      <c r="E242" s="20">
        <v>76</v>
      </c>
      <c r="F242" s="20">
        <f t="shared" si="19"/>
        <v>164.96428571428572</v>
      </c>
      <c r="G242" s="19">
        <f t="shared" si="18"/>
        <v>12537.285714285716</v>
      </c>
      <c r="H242" s="19">
        <f t="shared" si="20"/>
        <v>51470.572771428568</v>
      </c>
      <c r="I242" s="114" t="s">
        <v>1521</v>
      </c>
      <c r="J242" s="210">
        <f>VLOOKUP(I242,'Reajuste Atual'!$L$19:$M$25,2,FALSE)</f>
        <v>3.1053999999999999</v>
      </c>
      <c r="K242" s="190"/>
      <c r="L242" s="20">
        <v>230.95</v>
      </c>
      <c r="M242" s="765">
        <f t="shared" si="22"/>
        <v>164.96428571428572</v>
      </c>
      <c r="N242" s="765">
        <f t="shared" si="21"/>
        <v>167.96363636363637</v>
      </c>
      <c r="O242" s="765">
        <f t="shared" si="23"/>
        <v>164.96428571428572</v>
      </c>
    </row>
    <row r="243" spans="1:15" s="98" customFormat="1" ht="31.5" outlineLevel="1">
      <c r="A243" s="141" t="s">
        <v>3478</v>
      </c>
      <c r="B243" s="114" t="s">
        <v>504</v>
      </c>
      <c r="C243" s="100" t="s">
        <v>1944</v>
      </c>
      <c r="D243" s="99" t="s">
        <v>1480</v>
      </c>
      <c r="E243" s="20">
        <v>56</v>
      </c>
      <c r="F243" s="20">
        <f t="shared" si="19"/>
        <v>210.79285714285717</v>
      </c>
      <c r="G243" s="19">
        <f t="shared" si="18"/>
        <v>11804.400000000001</v>
      </c>
      <c r="H243" s="19">
        <f t="shared" si="20"/>
        <v>48461.783759999998</v>
      </c>
      <c r="I243" s="114" t="s">
        <v>1521</v>
      </c>
      <c r="J243" s="210">
        <f>VLOOKUP(I243,'Reajuste Atual'!$L$19:$M$25,2,FALSE)</f>
        <v>3.1053999999999999</v>
      </c>
      <c r="K243" s="190"/>
      <c r="L243" s="20">
        <v>295.11</v>
      </c>
      <c r="M243" s="765">
        <f t="shared" si="22"/>
        <v>210.79285714285717</v>
      </c>
      <c r="N243" s="765">
        <f t="shared" si="21"/>
        <v>214.62545454545455</v>
      </c>
      <c r="O243" s="765">
        <f t="shared" si="23"/>
        <v>210.79285714285717</v>
      </c>
    </row>
    <row r="244" spans="1:15" s="98" customFormat="1" ht="31.5" outlineLevel="1">
      <c r="A244" s="141" t="s">
        <v>3478</v>
      </c>
      <c r="B244" s="114" t="s">
        <v>505</v>
      </c>
      <c r="C244" s="100" t="s">
        <v>1945</v>
      </c>
      <c r="D244" s="99" t="s">
        <v>1480</v>
      </c>
      <c r="E244" s="20">
        <v>8</v>
      </c>
      <c r="F244" s="20">
        <f t="shared" si="19"/>
        <v>256.6357142857143</v>
      </c>
      <c r="G244" s="19">
        <f t="shared" si="18"/>
        <v>2053.0857142857144</v>
      </c>
      <c r="H244" s="19">
        <f t="shared" si="20"/>
        <v>8428.7380914285714</v>
      </c>
      <c r="I244" s="114" t="s">
        <v>1521</v>
      </c>
      <c r="J244" s="210">
        <f>VLOOKUP(I244,'Reajuste Atual'!$L$19:$M$25,2,FALSE)</f>
        <v>3.1053999999999999</v>
      </c>
      <c r="K244" s="190"/>
      <c r="L244" s="20">
        <v>359.29</v>
      </c>
      <c r="M244" s="765">
        <f t="shared" si="22"/>
        <v>256.6357142857143</v>
      </c>
      <c r="N244" s="765">
        <f t="shared" si="21"/>
        <v>261.30181818181819</v>
      </c>
      <c r="O244" s="765">
        <f t="shared" si="23"/>
        <v>256.6357142857143</v>
      </c>
    </row>
    <row r="245" spans="1:15" s="98" customFormat="1" ht="31.5" outlineLevel="1">
      <c r="A245" s="141" t="s">
        <v>3478</v>
      </c>
      <c r="B245" s="114" t="s">
        <v>506</v>
      </c>
      <c r="C245" s="100" t="s">
        <v>1946</v>
      </c>
      <c r="D245" s="99" t="s">
        <v>1480</v>
      </c>
      <c r="E245" s="20">
        <v>52</v>
      </c>
      <c r="F245" s="20">
        <f t="shared" si="19"/>
        <v>302.46428571428572</v>
      </c>
      <c r="G245" s="19">
        <f t="shared" si="18"/>
        <v>15728.142857142857</v>
      </c>
      <c r="H245" s="19">
        <f t="shared" si="20"/>
        <v>64570.317685714275</v>
      </c>
      <c r="I245" s="114" t="s">
        <v>1521</v>
      </c>
      <c r="J245" s="210">
        <f>VLOOKUP(I245,'Reajuste Atual'!$L$19:$M$25,2,FALSE)</f>
        <v>3.1053999999999999</v>
      </c>
      <c r="K245" s="190"/>
      <c r="L245" s="20">
        <v>423.45</v>
      </c>
      <c r="M245" s="765">
        <f t="shared" si="22"/>
        <v>302.46428571428572</v>
      </c>
      <c r="N245" s="765">
        <f t="shared" si="21"/>
        <v>307.96363636363634</v>
      </c>
      <c r="O245" s="765">
        <f t="shared" si="23"/>
        <v>302.46428571428572</v>
      </c>
    </row>
    <row r="246" spans="1:15" s="98" customFormat="1" ht="31.5" outlineLevel="1">
      <c r="A246" s="141" t="s">
        <v>3478</v>
      </c>
      <c r="B246" s="114" t="s">
        <v>507</v>
      </c>
      <c r="C246" s="100" t="s">
        <v>1947</v>
      </c>
      <c r="D246" s="99" t="s">
        <v>1480</v>
      </c>
      <c r="E246" s="20">
        <v>328</v>
      </c>
      <c r="F246" s="20">
        <f t="shared" si="19"/>
        <v>34.807142857142857</v>
      </c>
      <c r="G246" s="19">
        <f t="shared" si="18"/>
        <v>11416.742857142857</v>
      </c>
      <c r="H246" s="19">
        <f t="shared" si="20"/>
        <v>46870.296125714282</v>
      </c>
      <c r="I246" s="114" t="s">
        <v>1521</v>
      </c>
      <c r="J246" s="210">
        <f>VLOOKUP(I246,'Reajuste Atual'!$L$19:$M$25,2,FALSE)</f>
        <v>3.1053999999999999</v>
      </c>
      <c r="K246" s="190"/>
      <c r="L246" s="20">
        <v>48.73</v>
      </c>
      <c r="M246" s="765">
        <f t="shared" si="22"/>
        <v>34.807142857142857</v>
      </c>
      <c r="N246" s="765">
        <f t="shared" si="21"/>
        <v>35.44</v>
      </c>
      <c r="O246" s="765">
        <f t="shared" si="23"/>
        <v>34.807142857142857</v>
      </c>
    </row>
    <row r="247" spans="1:15" s="98" customFormat="1" outlineLevel="1">
      <c r="A247" s="141" t="s">
        <v>3478</v>
      </c>
      <c r="B247" s="114" t="s">
        <v>508</v>
      </c>
      <c r="C247" s="100" t="s">
        <v>1948</v>
      </c>
      <c r="D247" s="99" t="s">
        <v>1480</v>
      </c>
      <c r="E247" s="20">
        <v>48</v>
      </c>
      <c r="F247" s="20">
        <f t="shared" si="19"/>
        <v>320.7928571428572</v>
      </c>
      <c r="G247" s="19">
        <f t="shared" si="18"/>
        <v>15398.057142857146</v>
      </c>
      <c r="H247" s="19">
        <f t="shared" si="20"/>
        <v>63215.183794285716</v>
      </c>
      <c r="I247" s="114" t="s">
        <v>1521</v>
      </c>
      <c r="J247" s="210">
        <f>VLOOKUP(I247,'Reajuste Atual'!$L$19:$M$25,2,FALSE)</f>
        <v>3.1053999999999999</v>
      </c>
      <c r="K247" s="190"/>
      <c r="L247" s="20">
        <v>449.11</v>
      </c>
      <c r="M247" s="765">
        <f t="shared" si="22"/>
        <v>320.7928571428572</v>
      </c>
      <c r="N247" s="765">
        <f t="shared" si="21"/>
        <v>326.62545454545455</v>
      </c>
      <c r="O247" s="765">
        <f t="shared" si="23"/>
        <v>320.7928571428572</v>
      </c>
    </row>
    <row r="248" spans="1:15" s="98" customFormat="1" outlineLevel="1">
      <c r="A248" s="141" t="s">
        <v>3478</v>
      </c>
      <c r="B248" s="114" t="s">
        <v>509</v>
      </c>
      <c r="C248" s="100" t="s">
        <v>1949</v>
      </c>
      <c r="D248" s="99" t="s">
        <v>1480</v>
      </c>
      <c r="E248" s="20">
        <v>128</v>
      </c>
      <c r="F248" s="20">
        <f t="shared" si="19"/>
        <v>21.071428571428573</v>
      </c>
      <c r="G248" s="19">
        <f t="shared" si="18"/>
        <v>2697.1428571428573</v>
      </c>
      <c r="H248" s="19">
        <f t="shared" si="20"/>
        <v>11072.850285714285</v>
      </c>
      <c r="I248" s="114" t="s">
        <v>1521</v>
      </c>
      <c r="J248" s="210">
        <f>VLOOKUP(I248,'Reajuste Atual'!$L$19:$M$25,2,FALSE)</f>
        <v>3.1053999999999999</v>
      </c>
      <c r="K248" s="190"/>
      <c r="L248" s="20">
        <v>29.5</v>
      </c>
      <c r="M248" s="765">
        <f t="shared" si="22"/>
        <v>21.071428571428573</v>
      </c>
      <c r="N248" s="765">
        <f t="shared" si="21"/>
        <v>21.454545454545453</v>
      </c>
      <c r="O248" s="765">
        <f t="shared" si="23"/>
        <v>21.071428571428573</v>
      </c>
    </row>
    <row r="249" spans="1:15" s="98" customFormat="1" outlineLevel="1">
      <c r="A249" s="141" t="s">
        <v>3478</v>
      </c>
      <c r="B249" s="114" t="s">
        <v>510</v>
      </c>
      <c r="C249" s="100" t="s">
        <v>1950</v>
      </c>
      <c r="D249" s="99" t="s">
        <v>1480</v>
      </c>
      <c r="E249" s="20">
        <v>424</v>
      </c>
      <c r="F249" s="20">
        <f t="shared" si="19"/>
        <v>9.1714285714285726</v>
      </c>
      <c r="G249" s="19">
        <f t="shared" si="18"/>
        <v>3888.6857142857148</v>
      </c>
      <c r="H249" s="19">
        <f t="shared" si="20"/>
        <v>15964.610331428572</v>
      </c>
      <c r="I249" s="114" t="s">
        <v>1521</v>
      </c>
      <c r="J249" s="210">
        <f>VLOOKUP(I249,'Reajuste Atual'!$L$19:$M$25,2,FALSE)</f>
        <v>3.1053999999999999</v>
      </c>
      <c r="K249" s="190"/>
      <c r="L249" s="20">
        <v>12.84</v>
      </c>
      <c r="M249" s="765">
        <f t="shared" si="22"/>
        <v>9.1714285714285726</v>
      </c>
      <c r="N249" s="765">
        <f t="shared" si="21"/>
        <v>9.3381818181818179</v>
      </c>
      <c r="O249" s="765">
        <f t="shared" si="23"/>
        <v>9.1714285714285726</v>
      </c>
    </row>
    <row r="250" spans="1:15" s="98" customFormat="1" outlineLevel="1">
      <c r="A250" s="141" t="s">
        <v>3478</v>
      </c>
      <c r="B250" s="114" t="s">
        <v>511</v>
      </c>
      <c r="C250" s="100" t="s">
        <v>1951</v>
      </c>
      <c r="D250" s="99" t="s">
        <v>1480</v>
      </c>
      <c r="E250" s="20">
        <v>560</v>
      </c>
      <c r="F250" s="20">
        <f t="shared" si="19"/>
        <v>3.1857142857142859</v>
      </c>
      <c r="G250" s="19">
        <f t="shared" si="18"/>
        <v>1784.0000000000002</v>
      </c>
      <c r="H250" s="19">
        <f t="shared" si="20"/>
        <v>7324.0335999999998</v>
      </c>
      <c r="I250" s="114" t="s">
        <v>1521</v>
      </c>
      <c r="J250" s="210">
        <f>VLOOKUP(I250,'Reajuste Atual'!$L$19:$M$25,2,FALSE)</f>
        <v>3.1053999999999999</v>
      </c>
      <c r="K250" s="190"/>
      <c r="L250" s="20">
        <v>4.46</v>
      </c>
      <c r="M250" s="765">
        <f t="shared" si="22"/>
        <v>3.1857142857142859</v>
      </c>
      <c r="N250" s="765">
        <f t="shared" si="21"/>
        <v>3.2436363636363637</v>
      </c>
      <c r="O250" s="765">
        <f t="shared" si="23"/>
        <v>3.1857142857142859</v>
      </c>
    </row>
    <row r="251" spans="1:15" s="98" customFormat="1" outlineLevel="1">
      <c r="A251" s="141" t="s">
        <v>3478</v>
      </c>
      <c r="B251" s="114" t="s">
        <v>512</v>
      </c>
      <c r="C251" s="100" t="s">
        <v>1952</v>
      </c>
      <c r="D251" s="99" t="s">
        <v>1480</v>
      </c>
      <c r="E251" s="20">
        <v>12</v>
      </c>
      <c r="F251" s="20">
        <f t="shared" si="19"/>
        <v>18.328571428571429</v>
      </c>
      <c r="G251" s="19">
        <f t="shared" si="18"/>
        <v>219.94285714285715</v>
      </c>
      <c r="H251" s="19">
        <f t="shared" si="20"/>
        <v>902.95340571428562</v>
      </c>
      <c r="I251" s="114" t="s">
        <v>1521</v>
      </c>
      <c r="J251" s="210">
        <f>VLOOKUP(I251,'Reajuste Atual'!$L$19:$M$25,2,FALSE)</f>
        <v>3.1053999999999999</v>
      </c>
      <c r="K251" s="190"/>
      <c r="L251" s="20">
        <v>25.66</v>
      </c>
      <c r="M251" s="765">
        <f t="shared" si="22"/>
        <v>18.328571428571429</v>
      </c>
      <c r="N251" s="765">
        <f t="shared" si="21"/>
        <v>18.66181818181818</v>
      </c>
      <c r="O251" s="765">
        <f t="shared" si="23"/>
        <v>18.328571428571429</v>
      </c>
    </row>
    <row r="252" spans="1:15" s="98" customFormat="1" outlineLevel="1">
      <c r="A252" s="141" t="s">
        <v>3478</v>
      </c>
      <c r="B252" s="114" t="s">
        <v>513</v>
      </c>
      <c r="C252" s="100" t="s">
        <v>1953</v>
      </c>
      <c r="D252" s="99" t="s">
        <v>1480</v>
      </c>
      <c r="E252" s="20">
        <v>72</v>
      </c>
      <c r="F252" s="20">
        <f t="shared" si="19"/>
        <v>15.578571428571429</v>
      </c>
      <c r="G252" s="19">
        <f t="shared" si="18"/>
        <v>1121.6571428571428</v>
      </c>
      <c r="H252" s="19">
        <f t="shared" si="20"/>
        <v>4604.8512342857139</v>
      </c>
      <c r="I252" s="114" t="s">
        <v>1521</v>
      </c>
      <c r="J252" s="210">
        <f>VLOOKUP(I252,'Reajuste Atual'!$L$19:$M$25,2,FALSE)</f>
        <v>3.1053999999999999</v>
      </c>
      <c r="K252" s="190"/>
      <c r="L252" s="20">
        <v>21.81</v>
      </c>
      <c r="M252" s="765">
        <f t="shared" si="22"/>
        <v>15.578571428571429</v>
      </c>
      <c r="N252" s="765">
        <f t="shared" si="21"/>
        <v>15.861818181818181</v>
      </c>
      <c r="O252" s="765">
        <f t="shared" si="23"/>
        <v>15.578571428571429</v>
      </c>
    </row>
    <row r="253" spans="1:15" s="98" customFormat="1" outlineLevel="1">
      <c r="A253" s="141" t="s">
        <v>3478</v>
      </c>
      <c r="B253" s="114" t="s">
        <v>514</v>
      </c>
      <c r="C253" s="100" t="s">
        <v>1954</v>
      </c>
      <c r="D253" s="99" t="s">
        <v>1480</v>
      </c>
      <c r="E253" s="20">
        <v>60</v>
      </c>
      <c r="F253" s="20">
        <f t="shared" si="19"/>
        <v>12.364285714285714</v>
      </c>
      <c r="G253" s="19">
        <f t="shared" si="18"/>
        <v>741.85714285714289</v>
      </c>
      <c r="H253" s="19">
        <f t="shared" si="20"/>
        <v>3045.6203142857139</v>
      </c>
      <c r="I253" s="114" t="s">
        <v>1521</v>
      </c>
      <c r="J253" s="210">
        <f>VLOOKUP(I253,'Reajuste Atual'!$L$19:$M$25,2,FALSE)</f>
        <v>3.1053999999999999</v>
      </c>
      <c r="K253" s="190"/>
      <c r="L253" s="20">
        <v>17.309999999999999</v>
      </c>
      <c r="M253" s="765">
        <f t="shared" si="22"/>
        <v>12.364285714285714</v>
      </c>
      <c r="N253" s="765">
        <f t="shared" si="21"/>
        <v>12.589090909090908</v>
      </c>
      <c r="O253" s="765">
        <f t="shared" si="23"/>
        <v>12.364285714285714</v>
      </c>
    </row>
    <row r="254" spans="1:15" s="98" customFormat="1" outlineLevel="1">
      <c r="A254" s="141" t="s">
        <v>3478</v>
      </c>
      <c r="B254" s="114" t="s">
        <v>515</v>
      </c>
      <c r="C254" s="100" t="s">
        <v>1955</v>
      </c>
      <c r="D254" s="99" t="s">
        <v>1480</v>
      </c>
      <c r="E254" s="20">
        <v>36</v>
      </c>
      <c r="F254" s="20">
        <f t="shared" si="19"/>
        <v>8.2285714285714295</v>
      </c>
      <c r="G254" s="19">
        <f t="shared" si="18"/>
        <v>296.22857142857146</v>
      </c>
      <c r="H254" s="19">
        <f t="shared" si="20"/>
        <v>1216.136777142857</v>
      </c>
      <c r="I254" s="114" t="s">
        <v>1521</v>
      </c>
      <c r="J254" s="210">
        <f>VLOOKUP(I254,'Reajuste Atual'!$L$19:$M$25,2,FALSE)</f>
        <v>3.1053999999999999</v>
      </c>
      <c r="K254" s="190"/>
      <c r="L254" s="20">
        <v>11.52</v>
      </c>
      <c r="M254" s="765">
        <f t="shared" si="22"/>
        <v>8.2285714285714295</v>
      </c>
      <c r="N254" s="765">
        <f t="shared" si="21"/>
        <v>8.3781818181818171</v>
      </c>
      <c r="O254" s="765">
        <f t="shared" si="23"/>
        <v>8.2285714285714295</v>
      </c>
    </row>
    <row r="255" spans="1:15" s="98" customFormat="1" outlineLevel="1">
      <c r="A255" s="141" t="s">
        <v>3478</v>
      </c>
      <c r="B255" s="114" t="s">
        <v>516</v>
      </c>
      <c r="C255" s="100" t="s">
        <v>1609</v>
      </c>
      <c r="D255" s="99" t="s">
        <v>1480</v>
      </c>
      <c r="E255" s="20">
        <v>28</v>
      </c>
      <c r="F255" s="20">
        <f t="shared" si="19"/>
        <v>6.9571428571428573</v>
      </c>
      <c r="G255" s="19">
        <f t="shared" si="18"/>
        <v>194.8</v>
      </c>
      <c r="H255" s="19">
        <f t="shared" si="20"/>
        <v>799.73191999999995</v>
      </c>
      <c r="I255" s="114" t="s">
        <v>1521</v>
      </c>
      <c r="J255" s="210">
        <f>VLOOKUP(I255,'Reajuste Atual'!$L$19:$M$25,2,FALSE)</f>
        <v>3.1053999999999999</v>
      </c>
      <c r="K255" s="190"/>
      <c r="L255" s="20">
        <v>9.74</v>
      </c>
      <c r="M255" s="765">
        <f t="shared" si="22"/>
        <v>6.9571428571428573</v>
      </c>
      <c r="N255" s="765">
        <f t="shared" si="21"/>
        <v>7.083636363636364</v>
      </c>
      <c r="O255" s="765">
        <f t="shared" si="23"/>
        <v>6.9571428571428573</v>
      </c>
    </row>
    <row r="256" spans="1:15" s="98" customFormat="1" outlineLevel="1">
      <c r="A256" s="141" t="s">
        <v>3478</v>
      </c>
      <c r="B256" s="114" t="s">
        <v>517</v>
      </c>
      <c r="C256" s="100" t="s">
        <v>1956</v>
      </c>
      <c r="D256" s="99" t="s">
        <v>1480</v>
      </c>
      <c r="E256" s="20">
        <v>192</v>
      </c>
      <c r="F256" s="20">
        <f t="shared" si="19"/>
        <v>4.121428571428571</v>
      </c>
      <c r="G256" s="19">
        <f t="shared" si="18"/>
        <v>791.31428571428569</v>
      </c>
      <c r="H256" s="19">
        <f t="shared" si="20"/>
        <v>3248.661668571428</v>
      </c>
      <c r="I256" s="114" t="s">
        <v>1521</v>
      </c>
      <c r="J256" s="210">
        <f>VLOOKUP(I256,'Reajuste Atual'!$L$19:$M$25,2,FALSE)</f>
        <v>3.1053999999999999</v>
      </c>
      <c r="K256" s="190"/>
      <c r="L256" s="20">
        <v>5.77</v>
      </c>
      <c r="M256" s="765">
        <f t="shared" si="22"/>
        <v>4.121428571428571</v>
      </c>
      <c r="N256" s="765">
        <f t="shared" si="21"/>
        <v>4.1963636363636363</v>
      </c>
      <c r="O256" s="765">
        <f t="shared" si="23"/>
        <v>4.121428571428571</v>
      </c>
    </row>
    <row r="257" spans="1:15" s="98" customFormat="1" outlineLevel="1">
      <c r="A257" s="141" t="s">
        <v>3478</v>
      </c>
      <c r="B257" s="114" t="s">
        <v>518</v>
      </c>
      <c r="C257" s="100" t="s">
        <v>1606</v>
      </c>
      <c r="D257" s="99" t="s">
        <v>1480</v>
      </c>
      <c r="E257" s="20">
        <v>120</v>
      </c>
      <c r="F257" s="20">
        <f t="shared" si="19"/>
        <v>3.3000000000000003</v>
      </c>
      <c r="G257" s="19">
        <f t="shared" si="18"/>
        <v>396.00000000000006</v>
      </c>
      <c r="H257" s="19">
        <f t="shared" si="20"/>
        <v>1625.7384</v>
      </c>
      <c r="I257" s="114" t="s">
        <v>1521</v>
      </c>
      <c r="J257" s="210">
        <f>VLOOKUP(I257,'Reajuste Atual'!$L$19:$M$25,2,FALSE)</f>
        <v>3.1053999999999999</v>
      </c>
      <c r="K257" s="190"/>
      <c r="L257" s="20">
        <v>4.62</v>
      </c>
      <c r="M257" s="765">
        <f t="shared" si="22"/>
        <v>3.3000000000000003</v>
      </c>
      <c r="N257" s="765">
        <f t="shared" si="21"/>
        <v>3.36</v>
      </c>
      <c r="O257" s="765">
        <f t="shared" si="23"/>
        <v>3.3000000000000003</v>
      </c>
    </row>
    <row r="258" spans="1:15" s="98" customFormat="1" outlineLevel="1">
      <c r="A258" s="141" t="s">
        <v>3478</v>
      </c>
      <c r="B258" s="114" t="s">
        <v>519</v>
      </c>
      <c r="C258" s="100" t="s">
        <v>1957</v>
      </c>
      <c r="D258" s="99" t="s">
        <v>1480</v>
      </c>
      <c r="E258" s="20">
        <v>12</v>
      </c>
      <c r="F258" s="20">
        <f t="shared" si="19"/>
        <v>27.492857142857147</v>
      </c>
      <c r="G258" s="19">
        <f t="shared" si="18"/>
        <v>329.91428571428577</v>
      </c>
      <c r="H258" s="19">
        <f t="shared" si="20"/>
        <v>1354.4301085714287</v>
      </c>
      <c r="I258" s="114" t="s">
        <v>1521</v>
      </c>
      <c r="J258" s="210">
        <f>VLOOKUP(I258,'Reajuste Atual'!$L$19:$M$25,2,FALSE)</f>
        <v>3.1053999999999999</v>
      </c>
      <c r="K258" s="190"/>
      <c r="L258" s="20">
        <v>38.49</v>
      </c>
      <c r="M258" s="765">
        <f t="shared" si="22"/>
        <v>27.492857142857147</v>
      </c>
      <c r="N258" s="765">
        <f t="shared" si="21"/>
        <v>27.992727272727276</v>
      </c>
      <c r="O258" s="765">
        <f t="shared" si="23"/>
        <v>27.492857142857147</v>
      </c>
    </row>
    <row r="259" spans="1:15" s="98" customFormat="1" outlineLevel="1">
      <c r="A259" s="141" t="s">
        <v>3478</v>
      </c>
      <c r="B259" s="114" t="s">
        <v>520</v>
      </c>
      <c r="C259" s="100" t="s">
        <v>1922</v>
      </c>
      <c r="D259" s="99" t="s">
        <v>1480</v>
      </c>
      <c r="E259" s="20">
        <v>4</v>
      </c>
      <c r="F259" s="20">
        <f t="shared" si="19"/>
        <v>5.0428571428571427</v>
      </c>
      <c r="G259" s="19">
        <f t="shared" si="18"/>
        <v>20.171428571428571</v>
      </c>
      <c r="H259" s="19">
        <f t="shared" si="20"/>
        <v>82.811782857142845</v>
      </c>
      <c r="I259" s="114" t="s">
        <v>1521</v>
      </c>
      <c r="J259" s="210">
        <f>VLOOKUP(I259,'Reajuste Atual'!$L$19:$M$25,2,FALSE)</f>
        <v>3.1053999999999999</v>
      </c>
      <c r="K259" s="190"/>
      <c r="L259" s="20">
        <v>7.06</v>
      </c>
      <c r="M259" s="765">
        <f t="shared" si="22"/>
        <v>5.0428571428571427</v>
      </c>
      <c r="N259" s="765">
        <f t="shared" si="21"/>
        <v>5.1345454545454539</v>
      </c>
      <c r="O259" s="765">
        <f t="shared" si="23"/>
        <v>5.0428571428571427</v>
      </c>
    </row>
    <row r="260" spans="1:15" s="98" customFormat="1" outlineLevel="1">
      <c r="A260" s="141" t="s">
        <v>3478</v>
      </c>
      <c r="B260" s="114" t="s">
        <v>521</v>
      </c>
      <c r="C260" s="100" t="s">
        <v>1923</v>
      </c>
      <c r="D260" s="99" t="s">
        <v>1480</v>
      </c>
      <c r="E260" s="20">
        <v>8</v>
      </c>
      <c r="F260" s="20">
        <f t="shared" si="19"/>
        <v>5.0428571428571427</v>
      </c>
      <c r="G260" s="19">
        <f t="shared" si="18"/>
        <v>40.342857142857142</v>
      </c>
      <c r="H260" s="19">
        <f t="shared" si="20"/>
        <v>165.62356571428569</v>
      </c>
      <c r="I260" s="114" t="s">
        <v>1521</v>
      </c>
      <c r="J260" s="210">
        <f>VLOOKUP(I260,'Reajuste Atual'!$L$19:$M$25,2,FALSE)</f>
        <v>3.1053999999999999</v>
      </c>
      <c r="K260" s="190"/>
      <c r="L260" s="20">
        <v>7.06</v>
      </c>
      <c r="M260" s="765">
        <f t="shared" si="22"/>
        <v>5.0428571428571427</v>
      </c>
      <c r="N260" s="765">
        <f t="shared" si="21"/>
        <v>5.1345454545454539</v>
      </c>
      <c r="O260" s="765">
        <f t="shared" si="23"/>
        <v>5.0428571428571427</v>
      </c>
    </row>
    <row r="261" spans="1:15" s="98" customFormat="1" outlineLevel="1">
      <c r="A261" s="141" t="s">
        <v>3478</v>
      </c>
      <c r="B261" s="114" t="s">
        <v>522</v>
      </c>
      <c r="C261" s="100" t="s">
        <v>1924</v>
      </c>
      <c r="D261" s="99" t="s">
        <v>1480</v>
      </c>
      <c r="E261" s="20">
        <v>32</v>
      </c>
      <c r="F261" s="20">
        <f t="shared" si="19"/>
        <v>5.0428571428571427</v>
      </c>
      <c r="G261" s="19">
        <f t="shared" si="18"/>
        <v>161.37142857142857</v>
      </c>
      <c r="H261" s="19">
        <f t="shared" si="20"/>
        <v>662.49426285714276</v>
      </c>
      <c r="I261" s="114" t="s">
        <v>1521</v>
      </c>
      <c r="J261" s="210">
        <f>VLOOKUP(I261,'Reajuste Atual'!$L$19:$M$25,2,FALSE)</f>
        <v>3.1053999999999999</v>
      </c>
      <c r="K261" s="190"/>
      <c r="L261" s="20">
        <v>7.06</v>
      </c>
      <c r="M261" s="765">
        <f t="shared" si="22"/>
        <v>5.0428571428571427</v>
      </c>
      <c r="N261" s="765">
        <f t="shared" si="21"/>
        <v>5.1345454545454539</v>
      </c>
      <c r="O261" s="765">
        <f t="shared" si="23"/>
        <v>5.0428571428571427</v>
      </c>
    </row>
    <row r="262" spans="1:15" s="98" customFormat="1" outlineLevel="1">
      <c r="A262" s="141" t="s">
        <v>3478</v>
      </c>
      <c r="B262" s="114" t="s">
        <v>523</v>
      </c>
      <c r="C262" s="100" t="s">
        <v>1925</v>
      </c>
      <c r="D262" s="99" t="s">
        <v>1480</v>
      </c>
      <c r="E262" s="20">
        <v>8</v>
      </c>
      <c r="F262" s="20">
        <f t="shared" si="19"/>
        <v>5.0428571428571427</v>
      </c>
      <c r="G262" s="19">
        <f t="shared" si="18"/>
        <v>40.342857142857142</v>
      </c>
      <c r="H262" s="19">
        <f t="shared" si="20"/>
        <v>165.62356571428569</v>
      </c>
      <c r="I262" s="114" t="s">
        <v>1521</v>
      </c>
      <c r="J262" s="210">
        <f>VLOOKUP(I262,'Reajuste Atual'!$L$19:$M$25,2,FALSE)</f>
        <v>3.1053999999999999</v>
      </c>
      <c r="K262" s="190"/>
      <c r="L262" s="20">
        <v>7.06</v>
      </c>
      <c r="M262" s="765">
        <f t="shared" si="22"/>
        <v>5.0428571428571427</v>
      </c>
      <c r="N262" s="765">
        <f t="shared" si="21"/>
        <v>5.1345454545454539</v>
      </c>
      <c r="O262" s="765">
        <f t="shared" si="23"/>
        <v>5.0428571428571427</v>
      </c>
    </row>
    <row r="263" spans="1:15" s="98" customFormat="1" outlineLevel="1">
      <c r="A263" s="141" t="s">
        <v>3478</v>
      </c>
      <c r="B263" s="114" t="s">
        <v>524</v>
      </c>
      <c r="C263" s="100" t="s">
        <v>1958</v>
      </c>
      <c r="D263" s="99" t="s">
        <v>1480</v>
      </c>
      <c r="E263" s="20">
        <v>8</v>
      </c>
      <c r="F263" s="20">
        <f t="shared" si="19"/>
        <v>5.9642857142857144</v>
      </c>
      <c r="G263" s="19">
        <f t="shared" si="18"/>
        <v>47.714285714285715</v>
      </c>
      <c r="H263" s="19">
        <f t="shared" si="20"/>
        <v>195.88622857142855</v>
      </c>
      <c r="I263" s="114" t="s">
        <v>1521</v>
      </c>
      <c r="J263" s="210">
        <f>VLOOKUP(I263,'Reajuste Atual'!$L$19:$M$25,2,FALSE)</f>
        <v>3.1053999999999999</v>
      </c>
      <c r="K263" s="190"/>
      <c r="L263" s="20">
        <v>8.35</v>
      </c>
      <c r="M263" s="765">
        <f t="shared" si="22"/>
        <v>5.9642857142857144</v>
      </c>
      <c r="N263" s="765">
        <f t="shared" si="21"/>
        <v>6.0727272727272723</v>
      </c>
      <c r="O263" s="765">
        <f t="shared" si="23"/>
        <v>5.9642857142857144</v>
      </c>
    </row>
    <row r="264" spans="1:15" s="98" customFormat="1" outlineLevel="1">
      <c r="A264" s="141" t="s">
        <v>3478</v>
      </c>
      <c r="B264" s="114" t="s">
        <v>525</v>
      </c>
      <c r="C264" s="100" t="s">
        <v>1959</v>
      </c>
      <c r="D264" s="99" t="s">
        <v>1480</v>
      </c>
      <c r="E264" s="20">
        <v>16</v>
      </c>
      <c r="F264" s="20">
        <f t="shared" si="19"/>
        <v>5.9642857142857144</v>
      </c>
      <c r="G264" s="19">
        <f t="shared" si="18"/>
        <v>95.428571428571431</v>
      </c>
      <c r="H264" s="19">
        <f t="shared" si="20"/>
        <v>391.77245714285709</v>
      </c>
      <c r="I264" s="114" t="s">
        <v>1521</v>
      </c>
      <c r="J264" s="210">
        <f>VLOOKUP(I264,'Reajuste Atual'!$L$19:$M$25,2,FALSE)</f>
        <v>3.1053999999999999</v>
      </c>
      <c r="K264" s="190"/>
      <c r="L264" s="20">
        <v>8.35</v>
      </c>
      <c r="M264" s="765">
        <f t="shared" si="22"/>
        <v>5.9642857142857144</v>
      </c>
      <c r="N264" s="765">
        <f t="shared" si="21"/>
        <v>6.0727272727272723</v>
      </c>
      <c r="O264" s="765">
        <f t="shared" si="23"/>
        <v>5.9642857142857144</v>
      </c>
    </row>
    <row r="265" spans="1:15" s="98" customFormat="1" outlineLevel="1">
      <c r="A265" s="141" t="s">
        <v>3478</v>
      </c>
      <c r="B265" s="114" t="s">
        <v>526</v>
      </c>
      <c r="C265" s="100" t="s">
        <v>1960</v>
      </c>
      <c r="D265" s="99" t="s">
        <v>1480</v>
      </c>
      <c r="E265" s="20">
        <v>4</v>
      </c>
      <c r="F265" s="20">
        <f t="shared" si="19"/>
        <v>5.9642857142857144</v>
      </c>
      <c r="G265" s="19">
        <f t="shared" si="18"/>
        <v>23.857142857142858</v>
      </c>
      <c r="H265" s="19">
        <f t="shared" si="20"/>
        <v>97.943114285714273</v>
      </c>
      <c r="I265" s="114" t="s">
        <v>1521</v>
      </c>
      <c r="J265" s="210">
        <f>VLOOKUP(I265,'Reajuste Atual'!$L$19:$M$25,2,FALSE)</f>
        <v>3.1053999999999999</v>
      </c>
      <c r="K265" s="190"/>
      <c r="L265" s="20">
        <v>8.35</v>
      </c>
      <c r="M265" s="765">
        <f t="shared" si="22"/>
        <v>5.9642857142857144</v>
      </c>
      <c r="N265" s="765">
        <f t="shared" si="21"/>
        <v>6.0727272727272723</v>
      </c>
      <c r="O265" s="765">
        <f t="shared" si="23"/>
        <v>5.9642857142857144</v>
      </c>
    </row>
    <row r="266" spans="1:15" s="98" customFormat="1" outlineLevel="1">
      <c r="A266" s="141" t="s">
        <v>3478</v>
      </c>
      <c r="B266" s="114" t="s">
        <v>527</v>
      </c>
      <c r="C266" s="100" t="s">
        <v>1961</v>
      </c>
      <c r="D266" s="99" t="s">
        <v>1480</v>
      </c>
      <c r="E266" s="20">
        <v>4</v>
      </c>
      <c r="F266" s="20">
        <f t="shared" si="19"/>
        <v>5.9642857142857144</v>
      </c>
      <c r="G266" s="19">
        <f t="shared" si="18"/>
        <v>23.857142857142858</v>
      </c>
      <c r="H266" s="19">
        <f t="shared" si="20"/>
        <v>97.943114285714273</v>
      </c>
      <c r="I266" s="114" t="s">
        <v>1521</v>
      </c>
      <c r="J266" s="210">
        <f>VLOOKUP(I266,'Reajuste Atual'!$L$19:$M$25,2,FALSE)</f>
        <v>3.1053999999999999</v>
      </c>
      <c r="K266" s="190"/>
      <c r="L266" s="20">
        <v>8.35</v>
      </c>
      <c r="M266" s="765">
        <f t="shared" si="22"/>
        <v>5.9642857142857144</v>
      </c>
      <c r="N266" s="765">
        <f t="shared" si="21"/>
        <v>6.0727272727272723</v>
      </c>
      <c r="O266" s="765">
        <f t="shared" si="23"/>
        <v>5.9642857142857144</v>
      </c>
    </row>
    <row r="267" spans="1:15" s="98" customFormat="1" ht="31.5" outlineLevel="1">
      <c r="A267" s="141" t="s">
        <v>3478</v>
      </c>
      <c r="B267" s="114" t="s">
        <v>528</v>
      </c>
      <c r="C267" s="100" t="s">
        <v>1962</v>
      </c>
      <c r="D267" s="99" t="s">
        <v>1480</v>
      </c>
      <c r="E267" s="20">
        <v>28</v>
      </c>
      <c r="F267" s="20">
        <f t="shared" si="19"/>
        <v>32.064285714285717</v>
      </c>
      <c r="G267" s="19">
        <f t="shared" si="18"/>
        <v>897.80000000000007</v>
      </c>
      <c r="H267" s="19">
        <f t="shared" si="20"/>
        <v>3685.8281199999997</v>
      </c>
      <c r="I267" s="114" t="s">
        <v>1521</v>
      </c>
      <c r="J267" s="210">
        <f>VLOOKUP(I267,'Reajuste Atual'!$L$19:$M$25,2,FALSE)</f>
        <v>3.1053999999999999</v>
      </c>
      <c r="K267" s="190"/>
      <c r="L267" s="20">
        <v>44.89</v>
      </c>
      <c r="M267" s="765">
        <f t="shared" si="22"/>
        <v>32.064285714285717</v>
      </c>
      <c r="N267" s="765">
        <f t="shared" si="21"/>
        <v>32.647272727272728</v>
      </c>
      <c r="O267" s="765">
        <f t="shared" si="23"/>
        <v>32.064285714285717</v>
      </c>
    </row>
    <row r="268" spans="1:15" s="98" customFormat="1" outlineLevel="1">
      <c r="A268" s="141" t="s">
        <v>3478</v>
      </c>
      <c r="B268" s="114" t="s">
        <v>529</v>
      </c>
      <c r="C268" s="100" t="s">
        <v>1963</v>
      </c>
      <c r="D268" s="99" t="s">
        <v>1480</v>
      </c>
      <c r="E268" s="20">
        <v>28</v>
      </c>
      <c r="F268" s="20">
        <f t="shared" si="19"/>
        <v>22.907142857142858</v>
      </c>
      <c r="G268" s="19">
        <f t="shared" si="18"/>
        <v>641.40000000000009</v>
      </c>
      <c r="H268" s="19">
        <f t="shared" si="20"/>
        <v>2633.2035599999999</v>
      </c>
      <c r="I268" s="114" t="s">
        <v>1521</v>
      </c>
      <c r="J268" s="210">
        <f>VLOOKUP(I268,'Reajuste Atual'!$L$19:$M$25,2,FALSE)</f>
        <v>3.1053999999999999</v>
      </c>
      <c r="K268" s="190"/>
      <c r="L268" s="20">
        <v>32.07</v>
      </c>
      <c r="M268" s="765">
        <f t="shared" si="22"/>
        <v>22.907142857142858</v>
      </c>
      <c r="N268" s="765">
        <f t="shared" si="21"/>
        <v>23.323636363636364</v>
      </c>
      <c r="O268" s="765">
        <f t="shared" si="23"/>
        <v>22.907142857142858</v>
      </c>
    </row>
    <row r="269" spans="1:15" s="98" customFormat="1" ht="31.5" outlineLevel="1">
      <c r="A269" s="141" t="s">
        <v>3478</v>
      </c>
      <c r="B269" s="114" t="s">
        <v>530</v>
      </c>
      <c r="C269" s="100" t="s">
        <v>1964</v>
      </c>
      <c r="D269" s="99" t="s">
        <v>1480</v>
      </c>
      <c r="E269" s="20">
        <v>4</v>
      </c>
      <c r="F269" s="20">
        <f t="shared" si="19"/>
        <v>32.064285714285717</v>
      </c>
      <c r="G269" s="19">
        <f t="shared" si="18"/>
        <v>128.25714285714287</v>
      </c>
      <c r="H269" s="19">
        <f t="shared" si="20"/>
        <v>526.54687428571424</v>
      </c>
      <c r="I269" s="114" t="s">
        <v>1521</v>
      </c>
      <c r="J269" s="210">
        <f>VLOOKUP(I269,'Reajuste Atual'!$L$19:$M$25,2,FALSE)</f>
        <v>3.1053999999999999</v>
      </c>
      <c r="K269" s="190"/>
      <c r="L269" s="20">
        <v>44.89</v>
      </c>
      <c r="M269" s="765">
        <f t="shared" si="22"/>
        <v>32.064285714285717</v>
      </c>
      <c r="N269" s="765">
        <f t="shared" si="21"/>
        <v>32.647272727272728</v>
      </c>
      <c r="O269" s="765">
        <f t="shared" si="23"/>
        <v>32.064285714285717</v>
      </c>
    </row>
    <row r="270" spans="1:15" s="98" customFormat="1" outlineLevel="1">
      <c r="A270" s="141" t="s">
        <v>3478</v>
      </c>
      <c r="B270" s="114" t="s">
        <v>531</v>
      </c>
      <c r="C270" s="100" t="s">
        <v>1965</v>
      </c>
      <c r="D270" s="99" t="s">
        <v>1480</v>
      </c>
      <c r="E270" s="20">
        <v>4</v>
      </c>
      <c r="F270" s="20">
        <f t="shared" si="19"/>
        <v>22.907142857142858</v>
      </c>
      <c r="G270" s="19">
        <f t="shared" si="18"/>
        <v>91.628571428571433</v>
      </c>
      <c r="H270" s="19">
        <f t="shared" si="20"/>
        <v>376.17193714285713</v>
      </c>
      <c r="I270" s="114" t="s">
        <v>1521</v>
      </c>
      <c r="J270" s="210">
        <f>VLOOKUP(I270,'Reajuste Atual'!$L$19:$M$25,2,FALSE)</f>
        <v>3.1053999999999999</v>
      </c>
      <c r="K270" s="190"/>
      <c r="L270" s="20">
        <v>32.07</v>
      </c>
      <c r="M270" s="765">
        <f t="shared" si="22"/>
        <v>22.907142857142858</v>
      </c>
      <c r="N270" s="765">
        <f t="shared" si="21"/>
        <v>23.323636363636364</v>
      </c>
      <c r="O270" s="765">
        <f t="shared" si="23"/>
        <v>22.907142857142858</v>
      </c>
    </row>
    <row r="271" spans="1:15" s="98" customFormat="1" ht="31.5" outlineLevel="1">
      <c r="A271" s="141" t="s">
        <v>3478</v>
      </c>
      <c r="B271" s="114" t="s">
        <v>532</v>
      </c>
      <c r="C271" s="100" t="s">
        <v>1966</v>
      </c>
      <c r="D271" s="99" t="s">
        <v>1480</v>
      </c>
      <c r="E271" s="20">
        <v>8</v>
      </c>
      <c r="F271" s="20">
        <f t="shared" si="19"/>
        <v>297.87142857142857</v>
      </c>
      <c r="G271" s="19">
        <f t="shared" si="18"/>
        <v>2382.9714285714285</v>
      </c>
      <c r="H271" s="19">
        <f t="shared" si="20"/>
        <v>9783.0509028571414</v>
      </c>
      <c r="I271" s="114" t="s">
        <v>1521</v>
      </c>
      <c r="J271" s="210">
        <f>VLOOKUP(I271,'Reajuste Atual'!$L$19:$M$25,2,FALSE)</f>
        <v>3.1053999999999999</v>
      </c>
      <c r="K271" s="190"/>
      <c r="L271" s="20">
        <v>417.02</v>
      </c>
      <c r="M271" s="765">
        <f t="shared" si="22"/>
        <v>297.87142857142857</v>
      </c>
      <c r="N271" s="765">
        <f t="shared" si="21"/>
        <v>303.28727272727269</v>
      </c>
      <c r="O271" s="765">
        <f t="shared" si="23"/>
        <v>297.87142857142857</v>
      </c>
    </row>
    <row r="272" spans="1:15" s="98" customFormat="1" ht="31.5" outlineLevel="1">
      <c r="A272" s="141" t="s">
        <v>3478</v>
      </c>
      <c r="B272" s="114" t="s">
        <v>533</v>
      </c>
      <c r="C272" s="100" t="s">
        <v>1967</v>
      </c>
      <c r="D272" s="99" t="s">
        <v>1480</v>
      </c>
      <c r="E272" s="20">
        <v>4</v>
      </c>
      <c r="F272" s="20">
        <f t="shared" si="19"/>
        <v>256.6357142857143</v>
      </c>
      <c r="G272" s="19">
        <f t="shared" si="18"/>
        <v>1026.5428571428572</v>
      </c>
      <c r="H272" s="19">
        <f t="shared" si="20"/>
        <v>4214.3690457142857</v>
      </c>
      <c r="I272" s="114" t="s">
        <v>1521</v>
      </c>
      <c r="J272" s="210">
        <f>VLOOKUP(I272,'Reajuste Atual'!$L$19:$M$25,2,FALSE)</f>
        <v>3.1053999999999999</v>
      </c>
      <c r="K272" s="190"/>
      <c r="L272" s="20">
        <v>359.29</v>
      </c>
      <c r="M272" s="765">
        <f t="shared" si="22"/>
        <v>256.6357142857143</v>
      </c>
      <c r="N272" s="765">
        <f t="shared" si="21"/>
        <v>261.30181818181819</v>
      </c>
      <c r="O272" s="765">
        <f t="shared" si="23"/>
        <v>256.6357142857143</v>
      </c>
    </row>
    <row r="273" spans="1:15" s="98" customFormat="1" ht="31.5" outlineLevel="1">
      <c r="A273" s="141" t="s">
        <v>3478</v>
      </c>
      <c r="B273" s="114" t="s">
        <v>534</v>
      </c>
      <c r="C273" s="100" t="s">
        <v>1967</v>
      </c>
      <c r="D273" s="99" t="s">
        <v>1480</v>
      </c>
      <c r="E273" s="20">
        <v>4</v>
      </c>
      <c r="F273" s="20">
        <f t="shared" si="19"/>
        <v>348.2928571428572</v>
      </c>
      <c r="G273" s="19">
        <f t="shared" si="18"/>
        <v>1393.1714285714288</v>
      </c>
      <c r="H273" s="19">
        <f t="shared" si="20"/>
        <v>5719.5259828571434</v>
      </c>
      <c r="I273" s="114" t="s">
        <v>1521</v>
      </c>
      <c r="J273" s="210">
        <f>VLOOKUP(I273,'Reajuste Atual'!$L$19:$M$25,2,FALSE)</f>
        <v>3.1053999999999999</v>
      </c>
      <c r="K273" s="190"/>
      <c r="L273" s="20">
        <v>487.61</v>
      </c>
      <c r="M273" s="765">
        <f t="shared" si="22"/>
        <v>348.2928571428572</v>
      </c>
      <c r="N273" s="765">
        <f t="shared" si="21"/>
        <v>354.62545454545455</v>
      </c>
      <c r="O273" s="765">
        <f t="shared" si="23"/>
        <v>348.2928571428572</v>
      </c>
    </row>
    <row r="274" spans="1:15" s="98" customFormat="1" ht="31.5" outlineLevel="1">
      <c r="A274" s="141" t="s">
        <v>3478</v>
      </c>
      <c r="B274" s="114" t="s">
        <v>535</v>
      </c>
      <c r="C274" s="100" t="s">
        <v>1968</v>
      </c>
      <c r="D274" s="99" t="s">
        <v>1480</v>
      </c>
      <c r="E274" s="20">
        <v>4</v>
      </c>
      <c r="F274" s="20">
        <f t="shared" si="19"/>
        <v>183.29285714285717</v>
      </c>
      <c r="G274" s="19">
        <f t="shared" si="18"/>
        <v>733.17142857142869</v>
      </c>
      <c r="H274" s="19">
        <f t="shared" si="20"/>
        <v>3009.9619828571431</v>
      </c>
      <c r="I274" s="114" t="s">
        <v>1521</v>
      </c>
      <c r="J274" s="210">
        <f>VLOOKUP(I274,'Reajuste Atual'!$L$19:$M$25,2,FALSE)</f>
        <v>3.1053999999999999</v>
      </c>
      <c r="K274" s="190"/>
      <c r="L274" s="20">
        <v>256.61</v>
      </c>
      <c r="M274" s="765">
        <f t="shared" si="22"/>
        <v>183.29285714285717</v>
      </c>
      <c r="N274" s="765">
        <f t="shared" si="21"/>
        <v>186.62545454545455</v>
      </c>
      <c r="O274" s="765">
        <f t="shared" si="23"/>
        <v>183.29285714285717</v>
      </c>
    </row>
    <row r="275" spans="1:15" s="98" customFormat="1" ht="31.5" outlineLevel="1">
      <c r="A275" s="141" t="s">
        <v>3478</v>
      </c>
      <c r="B275" s="114" t="s">
        <v>536</v>
      </c>
      <c r="C275" s="100" t="s">
        <v>1969</v>
      </c>
      <c r="D275" s="99" t="s">
        <v>1480</v>
      </c>
      <c r="E275" s="20">
        <v>8</v>
      </c>
      <c r="F275" s="20">
        <f t="shared" si="19"/>
        <v>247.45714285714288</v>
      </c>
      <c r="G275" s="19">
        <f t="shared" si="18"/>
        <v>1979.6571428571431</v>
      </c>
      <c r="H275" s="19">
        <f t="shared" si="20"/>
        <v>8127.2844342857143</v>
      </c>
      <c r="I275" s="114" t="s">
        <v>1521</v>
      </c>
      <c r="J275" s="210">
        <f>VLOOKUP(I275,'Reajuste Atual'!$L$19:$M$25,2,FALSE)</f>
        <v>3.1053999999999999</v>
      </c>
      <c r="K275" s="190"/>
      <c r="L275" s="20">
        <v>346.44</v>
      </c>
      <c r="M275" s="765">
        <f t="shared" si="22"/>
        <v>247.45714285714288</v>
      </c>
      <c r="N275" s="765">
        <f t="shared" si="21"/>
        <v>251.95636363636365</v>
      </c>
      <c r="O275" s="765">
        <f t="shared" si="23"/>
        <v>247.45714285714288</v>
      </c>
    </row>
    <row r="276" spans="1:15" s="98" customFormat="1" ht="31.5" outlineLevel="1">
      <c r="A276" s="141" t="s">
        <v>3478</v>
      </c>
      <c r="B276" s="114" t="s">
        <v>537</v>
      </c>
      <c r="C276" s="100" t="s">
        <v>1970</v>
      </c>
      <c r="D276" s="99" t="s">
        <v>1472</v>
      </c>
      <c r="E276" s="20">
        <v>4680</v>
      </c>
      <c r="F276" s="20">
        <f t="shared" si="19"/>
        <v>12.835714285714285</v>
      </c>
      <c r="G276" s="19">
        <f t="shared" si="18"/>
        <v>60071.142857142855</v>
      </c>
      <c r="H276" s="19">
        <f t="shared" si="20"/>
        <v>246616.06988571424</v>
      </c>
      <c r="I276" s="114" t="s">
        <v>1521</v>
      </c>
      <c r="J276" s="210">
        <f>VLOOKUP(I276,'Reajuste Atual'!$L$19:$M$25,2,FALSE)</f>
        <v>3.1053999999999999</v>
      </c>
      <c r="K276" s="190"/>
      <c r="L276" s="20">
        <v>17.97</v>
      </c>
      <c r="M276" s="765">
        <f t="shared" si="22"/>
        <v>12.835714285714285</v>
      </c>
      <c r="N276" s="765">
        <f t="shared" si="21"/>
        <v>13.069090909090908</v>
      </c>
      <c r="O276" s="765">
        <f t="shared" si="23"/>
        <v>12.835714285714285</v>
      </c>
    </row>
    <row r="277" spans="1:15" s="98" customFormat="1" ht="31.5" outlineLevel="1">
      <c r="A277" s="141" t="s">
        <v>3478</v>
      </c>
      <c r="B277" s="114" t="s">
        <v>538</v>
      </c>
      <c r="C277" s="100" t="s">
        <v>1971</v>
      </c>
      <c r="D277" s="99" t="s">
        <v>1472</v>
      </c>
      <c r="E277" s="20">
        <v>700</v>
      </c>
      <c r="F277" s="20">
        <f t="shared" si="19"/>
        <v>8.2285714285714295</v>
      </c>
      <c r="G277" s="19">
        <f t="shared" si="18"/>
        <v>5760.0000000000009</v>
      </c>
      <c r="H277" s="19">
        <f t="shared" si="20"/>
        <v>23647.103999999999</v>
      </c>
      <c r="I277" s="114" t="s">
        <v>1521</v>
      </c>
      <c r="J277" s="210">
        <f>VLOOKUP(I277,'Reajuste Atual'!$L$19:$M$25,2,FALSE)</f>
        <v>3.1053999999999999</v>
      </c>
      <c r="K277" s="190"/>
      <c r="L277" s="20">
        <v>11.52</v>
      </c>
      <c r="M277" s="765">
        <f t="shared" si="22"/>
        <v>8.2285714285714295</v>
      </c>
      <c r="N277" s="765">
        <f t="shared" si="21"/>
        <v>8.3781818181818171</v>
      </c>
      <c r="O277" s="765">
        <f t="shared" si="23"/>
        <v>8.2285714285714295</v>
      </c>
    </row>
    <row r="278" spans="1:15" s="98" customFormat="1" ht="31.5" outlineLevel="1">
      <c r="A278" s="141" t="s">
        <v>3478</v>
      </c>
      <c r="B278" s="114" t="s">
        <v>539</v>
      </c>
      <c r="C278" s="100" t="s">
        <v>1972</v>
      </c>
      <c r="D278" s="99" t="s">
        <v>1472</v>
      </c>
      <c r="E278" s="20">
        <v>860</v>
      </c>
      <c r="F278" s="20">
        <f t="shared" si="19"/>
        <v>4.7642857142857142</v>
      </c>
      <c r="G278" s="19">
        <f t="shared" si="18"/>
        <v>4097.2857142857147</v>
      </c>
      <c r="H278" s="19">
        <f t="shared" si="20"/>
        <v>16820.99677142857</v>
      </c>
      <c r="I278" s="114" t="s">
        <v>1521</v>
      </c>
      <c r="J278" s="210">
        <f>VLOOKUP(I278,'Reajuste Atual'!$L$19:$M$25,2,FALSE)</f>
        <v>3.1053999999999999</v>
      </c>
      <c r="K278" s="190"/>
      <c r="L278" s="20">
        <v>6.67</v>
      </c>
      <c r="M278" s="765">
        <f t="shared" si="22"/>
        <v>4.7642857142857142</v>
      </c>
      <c r="N278" s="765">
        <f t="shared" si="21"/>
        <v>4.8509090909090906</v>
      </c>
      <c r="O278" s="765">
        <f t="shared" si="23"/>
        <v>4.7642857142857142</v>
      </c>
    </row>
    <row r="279" spans="1:15" s="98" customFormat="1" ht="31.5" outlineLevel="1">
      <c r="A279" s="141" t="s">
        <v>3478</v>
      </c>
      <c r="B279" s="114" t="s">
        <v>540</v>
      </c>
      <c r="C279" s="100" t="s">
        <v>1973</v>
      </c>
      <c r="D279" s="99" t="s">
        <v>1472</v>
      </c>
      <c r="E279" s="20">
        <v>180</v>
      </c>
      <c r="F279" s="20">
        <f t="shared" si="19"/>
        <v>1.2</v>
      </c>
      <c r="G279" s="19">
        <f t="shared" si="18"/>
        <v>216</v>
      </c>
      <c r="H279" s="19">
        <f t="shared" si="20"/>
        <v>886.76639999999986</v>
      </c>
      <c r="I279" s="114" t="s">
        <v>1521</v>
      </c>
      <c r="J279" s="210">
        <f>VLOOKUP(I279,'Reajuste Atual'!$L$19:$M$25,2,FALSE)</f>
        <v>3.1053999999999999</v>
      </c>
      <c r="K279" s="190"/>
      <c r="L279" s="20">
        <v>1.68</v>
      </c>
      <c r="M279" s="765">
        <f t="shared" si="22"/>
        <v>1.2</v>
      </c>
      <c r="N279" s="765">
        <f t="shared" si="21"/>
        <v>1.2218181818181817</v>
      </c>
      <c r="O279" s="765">
        <f t="shared" si="23"/>
        <v>1.2</v>
      </c>
    </row>
    <row r="280" spans="1:15" s="98" customFormat="1" ht="31.5" outlineLevel="1">
      <c r="A280" s="141" t="s">
        <v>3478</v>
      </c>
      <c r="B280" s="114" t="s">
        <v>541</v>
      </c>
      <c r="C280" s="100" t="s">
        <v>1974</v>
      </c>
      <c r="D280" s="99" t="s">
        <v>1472</v>
      </c>
      <c r="E280" s="20">
        <v>2668</v>
      </c>
      <c r="F280" s="20">
        <f t="shared" si="19"/>
        <v>0.30714285714285716</v>
      </c>
      <c r="G280" s="19">
        <f t="shared" si="18"/>
        <v>819.45714285714291</v>
      </c>
      <c r="H280" s="19">
        <f t="shared" si="20"/>
        <v>3364.199354285714</v>
      </c>
      <c r="I280" s="114" t="s">
        <v>1521</v>
      </c>
      <c r="J280" s="210">
        <f>VLOOKUP(I280,'Reajuste Atual'!$L$19:$M$25,2,FALSE)</f>
        <v>3.1053999999999999</v>
      </c>
      <c r="K280" s="190"/>
      <c r="L280" s="20">
        <v>0.43</v>
      </c>
      <c r="M280" s="765">
        <f t="shared" si="22"/>
        <v>0.30714285714285716</v>
      </c>
      <c r="N280" s="765">
        <f t="shared" si="21"/>
        <v>0.31272727272727274</v>
      </c>
      <c r="O280" s="765">
        <f t="shared" si="23"/>
        <v>0.30714285714285716</v>
      </c>
    </row>
    <row r="281" spans="1:15" s="98" customFormat="1" ht="31.5" outlineLevel="1">
      <c r="A281" s="141" t="s">
        <v>3478</v>
      </c>
      <c r="B281" s="114" t="s">
        <v>542</v>
      </c>
      <c r="C281" s="100" t="s">
        <v>1975</v>
      </c>
      <c r="D281" s="99" t="s">
        <v>1472</v>
      </c>
      <c r="E281" s="20">
        <v>3592</v>
      </c>
      <c r="F281" s="20">
        <f t="shared" si="19"/>
        <v>0.22142857142857145</v>
      </c>
      <c r="G281" s="19">
        <f t="shared" ref="G281:G333" si="24">E281*F281</f>
        <v>795.37142857142862</v>
      </c>
      <c r="H281" s="19">
        <f t="shared" si="20"/>
        <v>3265.3178628571427</v>
      </c>
      <c r="I281" s="114" t="s">
        <v>1521</v>
      </c>
      <c r="J281" s="210">
        <f>VLOOKUP(I281,'Reajuste Atual'!$L$19:$M$25,2,FALSE)</f>
        <v>3.1053999999999999</v>
      </c>
      <c r="K281" s="190"/>
      <c r="L281" s="20">
        <v>0.31</v>
      </c>
      <c r="M281" s="765">
        <f t="shared" si="22"/>
        <v>0.22142857142857145</v>
      </c>
      <c r="N281" s="765">
        <f t="shared" si="21"/>
        <v>0.22545454545454546</v>
      </c>
      <c r="O281" s="765">
        <f t="shared" si="23"/>
        <v>0.22142857142857145</v>
      </c>
    </row>
    <row r="282" spans="1:15" s="98" customFormat="1" ht="31.5" outlineLevel="1">
      <c r="A282" s="141" t="s">
        <v>3478</v>
      </c>
      <c r="B282" s="114" t="s">
        <v>543</v>
      </c>
      <c r="C282" s="100" t="s">
        <v>1603</v>
      </c>
      <c r="D282" s="99" t="s">
        <v>1472</v>
      </c>
      <c r="E282" s="20">
        <v>800</v>
      </c>
      <c r="F282" s="20">
        <f t="shared" ref="F282:F345" si="25">O282</f>
        <v>1.092857142857143</v>
      </c>
      <c r="G282" s="19">
        <f t="shared" si="24"/>
        <v>874.28571428571433</v>
      </c>
      <c r="H282" s="19">
        <f t="shared" ref="H282:H333" si="26">G282*(1+J282)</f>
        <v>3589.2925714285711</v>
      </c>
      <c r="I282" s="114" t="s">
        <v>1521</v>
      </c>
      <c r="J282" s="210">
        <f>VLOOKUP(I282,'Reajuste Atual'!$L$19:$M$25,2,FALSE)</f>
        <v>3.1053999999999999</v>
      </c>
      <c r="K282" s="190"/>
      <c r="L282" s="20">
        <v>1.53</v>
      </c>
      <c r="M282" s="765">
        <f t="shared" si="22"/>
        <v>1.092857142857143</v>
      </c>
      <c r="N282" s="765">
        <f t="shared" ref="N282:N345" si="27">L282/($N$23+1)</f>
        <v>1.1127272727272728</v>
      </c>
      <c r="O282" s="765">
        <f t="shared" si="23"/>
        <v>1.092857142857143</v>
      </c>
    </row>
    <row r="283" spans="1:15" s="98" customFormat="1" ht="31.5" outlineLevel="1">
      <c r="A283" s="141" t="s">
        <v>3478</v>
      </c>
      <c r="B283" s="114" t="s">
        <v>544</v>
      </c>
      <c r="C283" s="100" t="s">
        <v>1603</v>
      </c>
      <c r="D283" s="99" t="s">
        <v>1472</v>
      </c>
      <c r="E283" s="20">
        <v>1200</v>
      </c>
      <c r="F283" s="20">
        <f t="shared" si="25"/>
        <v>2.0857142857142859</v>
      </c>
      <c r="G283" s="19">
        <f t="shared" si="24"/>
        <v>2502.8571428571431</v>
      </c>
      <c r="H283" s="19">
        <f t="shared" si="26"/>
        <v>10275.229714285713</v>
      </c>
      <c r="I283" s="114" t="s">
        <v>1521</v>
      </c>
      <c r="J283" s="210">
        <f>VLOOKUP(I283,'Reajuste Atual'!$L$19:$M$25,2,FALSE)</f>
        <v>3.1053999999999999</v>
      </c>
      <c r="K283" s="190"/>
      <c r="L283" s="20">
        <v>2.92</v>
      </c>
      <c r="M283" s="765">
        <f t="shared" ref="M283:M346" si="28">L283/($M$23+1)</f>
        <v>2.0857142857142859</v>
      </c>
      <c r="N283" s="765">
        <f t="shared" si="27"/>
        <v>2.1236363636363635</v>
      </c>
      <c r="O283" s="765">
        <f t="shared" si="23"/>
        <v>2.0857142857142859</v>
      </c>
    </row>
    <row r="284" spans="1:15" s="98" customFormat="1" ht="31.5" outlineLevel="1">
      <c r="A284" s="141" t="s">
        <v>3478</v>
      </c>
      <c r="B284" s="114" t="s">
        <v>545</v>
      </c>
      <c r="C284" s="100" t="s">
        <v>1976</v>
      </c>
      <c r="D284" s="99" t="s">
        <v>1472</v>
      </c>
      <c r="E284" s="20">
        <v>920</v>
      </c>
      <c r="F284" s="20">
        <f t="shared" si="25"/>
        <v>4.121428571428571</v>
      </c>
      <c r="G284" s="19">
        <f t="shared" si="24"/>
        <v>3791.7142857142853</v>
      </c>
      <c r="H284" s="19">
        <f t="shared" si="26"/>
        <v>15566.503828571425</v>
      </c>
      <c r="I284" s="114" t="s">
        <v>1521</v>
      </c>
      <c r="J284" s="210">
        <f>VLOOKUP(I284,'Reajuste Atual'!$L$19:$M$25,2,FALSE)</f>
        <v>3.1053999999999999</v>
      </c>
      <c r="K284" s="190"/>
      <c r="L284" s="20">
        <v>5.77</v>
      </c>
      <c r="M284" s="765">
        <f t="shared" si="28"/>
        <v>4.121428571428571</v>
      </c>
      <c r="N284" s="765">
        <f t="shared" si="27"/>
        <v>4.1963636363636363</v>
      </c>
      <c r="O284" s="765">
        <f t="shared" ref="O284:O347" si="29">IF(A284="S",M284,N284)</f>
        <v>4.121428571428571</v>
      </c>
    </row>
    <row r="285" spans="1:15" s="98" customFormat="1" ht="31.5" outlineLevel="1">
      <c r="A285" s="141" t="s">
        <v>3478</v>
      </c>
      <c r="B285" s="114" t="s">
        <v>546</v>
      </c>
      <c r="C285" s="100" t="s">
        <v>1977</v>
      </c>
      <c r="D285" s="99" t="s">
        <v>1472</v>
      </c>
      <c r="E285" s="20">
        <v>400</v>
      </c>
      <c r="F285" s="20">
        <f t="shared" si="25"/>
        <v>5.6857142857142859</v>
      </c>
      <c r="G285" s="19">
        <f t="shared" si="24"/>
        <v>2274.2857142857142</v>
      </c>
      <c r="H285" s="19">
        <f t="shared" si="26"/>
        <v>9336.8525714285697</v>
      </c>
      <c r="I285" s="114" t="s">
        <v>1521</v>
      </c>
      <c r="J285" s="210">
        <f>VLOOKUP(I285,'Reajuste Atual'!$L$19:$M$25,2,FALSE)</f>
        <v>3.1053999999999999</v>
      </c>
      <c r="K285" s="190"/>
      <c r="L285" s="20">
        <v>7.96</v>
      </c>
      <c r="M285" s="765">
        <f t="shared" si="28"/>
        <v>5.6857142857142859</v>
      </c>
      <c r="N285" s="765">
        <f t="shared" si="27"/>
        <v>5.7890909090909091</v>
      </c>
      <c r="O285" s="765">
        <f t="shared" si="29"/>
        <v>5.6857142857142859</v>
      </c>
    </row>
    <row r="286" spans="1:15" s="98" customFormat="1" ht="31.5" outlineLevel="1">
      <c r="A286" s="141" t="s">
        <v>3478</v>
      </c>
      <c r="B286" s="114" t="s">
        <v>547</v>
      </c>
      <c r="C286" s="100" t="s">
        <v>1978</v>
      </c>
      <c r="D286" s="99" t="s">
        <v>1472</v>
      </c>
      <c r="E286" s="20">
        <v>100</v>
      </c>
      <c r="F286" s="20">
        <f t="shared" si="25"/>
        <v>4.4000000000000004</v>
      </c>
      <c r="G286" s="19">
        <f t="shared" si="24"/>
        <v>440.00000000000006</v>
      </c>
      <c r="H286" s="19">
        <f t="shared" si="26"/>
        <v>1806.376</v>
      </c>
      <c r="I286" s="114" t="s">
        <v>1521</v>
      </c>
      <c r="J286" s="210">
        <f>VLOOKUP(I286,'Reajuste Atual'!$L$19:$M$25,2,FALSE)</f>
        <v>3.1053999999999999</v>
      </c>
      <c r="K286" s="190"/>
      <c r="L286" s="20">
        <v>6.16</v>
      </c>
      <c r="M286" s="765">
        <f t="shared" si="28"/>
        <v>4.4000000000000004</v>
      </c>
      <c r="N286" s="765">
        <f t="shared" si="27"/>
        <v>4.4800000000000004</v>
      </c>
      <c r="O286" s="765">
        <f t="shared" si="29"/>
        <v>4.4000000000000004</v>
      </c>
    </row>
    <row r="287" spans="1:15" s="98" customFormat="1" ht="31.5" outlineLevel="1">
      <c r="A287" s="141" t="s">
        <v>3478</v>
      </c>
      <c r="B287" s="114" t="s">
        <v>548</v>
      </c>
      <c r="C287" s="100" t="s">
        <v>1979</v>
      </c>
      <c r="D287" s="99" t="s">
        <v>1472</v>
      </c>
      <c r="E287" s="20">
        <v>300</v>
      </c>
      <c r="F287" s="20">
        <f t="shared" si="25"/>
        <v>7.5142857142857142</v>
      </c>
      <c r="G287" s="19">
        <f t="shared" si="24"/>
        <v>2254.2857142857142</v>
      </c>
      <c r="H287" s="19">
        <f t="shared" si="26"/>
        <v>9254.7445714285695</v>
      </c>
      <c r="I287" s="114" t="s">
        <v>1521</v>
      </c>
      <c r="J287" s="210">
        <f>VLOOKUP(I287,'Reajuste Atual'!$L$19:$M$25,2,FALSE)</f>
        <v>3.1053999999999999</v>
      </c>
      <c r="K287" s="190"/>
      <c r="L287" s="20">
        <v>10.52</v>
      </c>
      <c r="M287" s="765">
        <f t="shared" si="28"/>
        <v>7.5142857142857142</v>
      </c>
      <c r="N287" s="765">
        <f t="shared" si="27"/>
        <v>7.6509090909090904</v>
      </c>
      <c r="O287" s="765">
        <f t="shared" si="29"/>
        <v>7.5142857142857142</v>
      </c>
    </row>
    <row r="288" spans="1:15" s="98" customFormat="1" outlineLevel="1">
      <c r="A288" s="141" t="s">
        <v>3478</v>
      </c>
      <c r="B288" s="114" t="s">
        <v>549</v>
      </c>
      <c r="C288" s="100" t="s">
        <v>1980</v>
      </c>
      <c r="D288" s="99" t="s">
        <v>1472</v>
      </c>
      <c r="E288" s="20">
        <v>2206</v>
      </c>
      <c r="F288" s="20">
        <f t="shared" si="25"/>
        <v>5.4928571428571438</v>
      </c>
      <c r="G288" s="19">
        <f t="shared" si="24"/>
        <v>12117.242857142859</v>
      </c>
      <c r="H288" s="19">
        <f t="shared" si="26"/>
        <v>49746.128825714288</v>
      </c>
      <c r="I288" s="114" t="s">
        <v>1521</v>
      </c>
      <c r="J288" s="210">
        <f>VLOOKUP(I288,'Reajuste Atual'!$L$19:$M$25,2,FALSE)</f>
        <v>3.1053999999999999</v>
      </c>
      <c r="K288" s="190"/>
      <c r="L288" s="20">
        <v>7.69</v>
      </c>
      <c r="M288" s="765">
        <f t="shared" si="28"/>
        <v>5.4928571428571438</v>
      </c>
      <c r="N288" s="765">
        <f t="shared" si="27"/>
        <v>5.5927272727272728</v>
      </c>
      <c r="O288" s="765">
        <f t="shared" si="29"/>
        <v>5.4928571428571438</v>
      </c>
    </row>
    <row r="289" spans="1:15" s="98" customFormat="1" outlineLevel="1">
      <c r="A289" s="141" t="s">
        <v>3478</v>
      </c>
      <c r="B289" s="114" t="s">
        <v>550</v>
      </c>
      <c r="C289" s="100" t="s">
        <v>1981</v>
      </c>
      <c r="D289" s="99" t="s">
        <v>1472</v>
      </c>
      <c r="E289" s="20">
        <v>280</v>
      </c>
      <c r="F289" s="20">
        <f t="shared" si="25"/>
        <v>1.7500000000000002</v>
      </c>
      <c r="G289" s="19">
        <f t="shared" si="24"/>
        <v>490.00000000000006</v>
      </c>
      <c r="H289" s="19">
        <f t="shared" si="26"/>
        <v>2011.646</v>
      </c>
      <c r="I289" s="114" t="s">
        <v>1521</v>
      </c>
      <c r="J289" s="210">
        <f>VLOOKUP(I289,'Reajuste Atual'!$L$19:$M$25,2,FALSE)</f>
        <v>3.1053999999999999</v>
      </c>
      <c r="K289" s="190"/>
      <c r="L289" s="20">
        <v>2.4500000000000002</v>
      </c>
      <c r="M289" s="765">
        <f t="shared" si="28"/>
        <v>1.7500000000000002</v>
      </c>
      <c r="N289" s="765">
        <f t="shared" si="27"/>
        <v>1.781818181818182</v>
      </c>
      <c r="O289" s="765">
        <f t="shared" si="29"/>
        <v>1.7500000000000002</v>
      </c>
    </row>
    <row r="290" spans="1:15" s="98" customFormat="1" outlineLevel="1">
      <c r="A290" s="141" t="s">
        <v>3478</v>
      </c>
      <c r="B290" s="114" t="s">
        <v>551</v>
      </c>
      <c r="C290" s="100" t="s">
        <v>1982</v>
      </c>
      <c r="D290" s="99" t="s">
        <v>1480</v>
      </c>
      <c r="E290" s="20">
        <v>228</v>
      </c>
      <c r="F290" s="20">
        <f t="shared" si="25"/>
        <v>45.821428571428577</v>
      </c>
      <c r="G290" s="19">
        <f t="shared" si="24"/>
        <v>10447.285714285716</v>
      </c>
      <c r="H290" s="19">
        <f t="shared" si="26"/>
        <v>42890.286771428575</v>
      </c>
      <c r="I290" s="114" t="s">
        <v>1521</v>
      </c>
      <c r="J290" s="210">
        <f>VLOOKUP(I290,'Reajuste Atual'!$L$19:$M$25,2,FALSE)</f>
        <v>3.1053999999999999</v>
      </c>
      <c r="K290" s="190"/>
      <c r="L290" s="20">
        <v>64.150000000000006</v>
      </c>
      <c r="M290" s="765">
        <f t="shared" si="28"/>
        <v>45.821428571428577</v>
      </c>
      <c r="N290" s="765">
        <f t="shared" si="27"/>
        <v>46.654545454545456</v>
      </c>
      <c r="O290" s="765">
        <f t="shared" si="29"/>
        <v>45.821428571428577</v>
      </c>
    </row>
    <row r="291" spans="1:15" s="98" customFormat="1" outlineLevel="1">
      <c r="A291" s="141" t="s">
        <v>3478</v>
      </c>
      <c r="B291" s="114" t="s">
        <v>552</v>
      </c>
      <c r="C291" s="100" t="s">
        <v>1638</v>
      </c>
      <c r="D291" s="99" t="s">
        <v>1472</v>
      </c>
      <c r="E291" s="20">
        <v>76.400000000000006</v>
      </c>
      <c r="F291" s="20">
        <f t="shared" si="25"/>
        <v>11.850000000000001</v>
      </c>
      <c r="G291" s="19">
        <f t="shared" si="24"/>
        <v>905.34000000000015</v>
      </c>
      <c r="H291" s="19">
        <f t="shared" si="26"/>
        <v>3716.7828360000003</v>
      </c>
      <c r="I291" s="114" t="s">
        <v>1521</v>
      </c>
      <c r="J291" s="210">
        <f>VLOOKUP(I291,'Reajuste Atual'!$L$19:$M$25,2,FALSE)</f>
        <v>3.1053999999999999</v>
      </c>
      <c r="K291" s="190"/>
      <c r="L291" s="20">
        <v>16.59</v>
      </c>
      <c r="M291" s="765">
        <f t="shared" si="28"/>
        <v>11.850000000000001</v>
      </c>
      <c r="N291" s="765">
        <f t="shared" si="27"/>
        <v>12.065454545454545</v>
      </c>
      <c r="O291" s="765">
        <f t="shared" si="29"/>
        <v>11.850000000000001</v>
      </c>
    </row>
    <row r="292" spans="1:15" s="98" customFormat="1" ht="31.5" outlineLevel="1">
      <c r="A292" s="141" t="s">
        <v>3478</v>
      </c>
      <c r="B292" s="114" t="s">
        <v>553</v>
      </c>
      <c r="C292" s="100" t="s">
        <v>1579</v>
      </c>
      <c r="D292" s="99" t="s">
        <v>1470</v>
      </c>
      <c r="E292" s="20">
        <v>293.42000000000007</v>
      </c>
      <c r="F292" s="20">
        <f t="shared" si="25"/>
        <v>13.657142857142858</v>
      </c>
      <c r="G292" s="19">
        <f t="shared" si="24"/>
        <v>4007.2788571428587</v>
      </c>
      <c r="H292" s="19">
        <f t="shared" si="26"/>
        <v>18217.089684571434</v>
      </c>
      <c r="I292" s="114" t="s">
        <v>1522</v>
      </c>
      <c r="J292" s="210">
        <f>VLOOKUP(I292,'Reajuste Atual'!$L$19:$M$25,2,FALSE)</f>
        <v>3.5459999999999998</v>
      </c>
      <c r="K292" s="190"/>
      <c r="L292" s="20">
        <v>19.12</v>
      </c>
      <c r="M292" s="765">
        <f t="shared" si="28"/>
        <v>13.657142857142858</v>
      </c>
      <c r="N292" s="765">
        <f t="shared" si="27"/>
        <v>13.905454545454546</v>
      </c>
      <c r="O292" s="765">
        <f t="shared" si="29"/>
        <v>13.657142857142858</v>
      </c>
    </row>
    <row r="293" spans="1:15" s="98" customFormat="1" outlineLevel="1">
      <c r="A293" s="141" t="s">
        <v>3478</v>
      </c>
      <c r="B293" s="114" t="s">
        <v>554</v>
      </c>
      <c r="C293" s="100" t="s">
        <v>1578</v>
      </c>
      <c r="D293" s="99" t="s">
        <v>1470</v>
      </c>
      <c r="E293" s="20">
        <v>3021.91</v>
      </c>
      <c r="F293" s="20">
        <f t="shared" si="25"/>
        <v>9.4642857142857153</v>
      </c>
      <c r="G293" s="19">
        <f t="shared" si="24"/>
        <v>28600.219642857144</v>
      </c>
      <c r="H293" s="19">
        <f t="shared" si="26"/>
        <v>130016.59849642856</v>
      </c>
      <c r="I293" s="114" t="s">
        <v>1522</v>
      </c>
      <c r="J293" s="210">
        <f>VLOOKUP(I293,'Reajuste Atual'!$L$19:$M$25,2,FALSE)</f>
        <v>3.5459999999999998</v>
      </c>
      <c r="K293" s="190"/>
      <c r="L293" s="20">
        <v>13.25</v>
      </c>
      <c r="M293" s="765">
        <f t="shared" si="28"/>
        <v>9.4642857142857153</v>
      </c>
      <c r="N293" s="765">
        <f t="shared" si="27"/>
        <v>9.6363636363636367</v>
      </c>
      <c r="O293" s="765">
        <f t="shared" si="29"/>
        <v>9.4642857142857153</v>
      </c>
    </row>
    <row r="294" spans="1:15" s="98" customFormat="1" outlineLevel="1">
      <c r="A294" s="141" t="s">
        <v>3478</v>
      </c>
      <c r="B294" s="114" t="s">
        <v>555</v>
      </c>
      <c r="C294" s="100" t="s">
        <v>1401</v>
      </c>
      <c r="D294" s="99" t="s">
        <v>1467</v>
      </c>
      <c r="E294" s="20">
        <v>1169.5100000000007</v>
      </c>
      <c r="F294" s="20">
        <f t="shared" si="25"/>
        <v>19.8</v>
      </c>
      <c r="G294" s="19">
        <f t="shared" si="24"/>
        <v>23156.298000000013</v>
      </c>
      <c r="H294" s="19">
        <f t="shared" si="26"/>
        <v>84471.859474200042</v>
      </c>
      <c r="I294" s="114" t="s">
        <v>1526</v>
      </c>
      <c r="J294" s="210">
        <f>VLOOKUP(I294,'Reajuste Atual'!$L$19:$M$25,2,FALSE)</f>
        <v>2.6478999999999999</v>
      </c>
      <c r="K294" s="190"/>
      <c r="L294" s="20">
        <v>27.72</v>
      </c>
      <c r="M294" s="765">
        <f t="shared" si="28"/>
        <v>19.8</v>
      </c>
      <c r="N294" s="765">
        <f t="shared" si="27"/>
        <v>20.16</v>
      </c>
      <c r="O294" s="765">
        <f t="shared" si="29"/>
        <v>19.8</v>
      </c>
    </row>
    <row r="295" spans="1:15" s="98" customFormat="1" outlineLevel="1">
      <c r="A295" s="141" t="s">
        <v>3478</v>
      </c>
      <c r="B295" s="114" t="s">
        <v>556</v>
      </c>
      <c r="C295" s="100" t="s">
        <v>1983</v>
      </c>
      <c r="D295" s="181" t="s">
        <v>1468</v>
      </c>
      <c r="E295" s="20">
        <v>48</v>
      </c>
      <c r="F295" s="20">
        <f t="shared" si="25"/>
        <v>696.74285714285725</v>
      </c>
      <c r="G295" s="19">
        <f t="shared" si="24"/>
        <v>33443.657142857148</v>
      </c>
      <c r="H295" s="19">
        <f t="shared" si="26"/>
        <v>137299.59003428571</v>
      </c>
      <c r="I295" s="114" t="s">
        <v>1521</v>
      </c>
      <c r="J295" s="210">
        <f>VLOOKUP(I295,'Reajuste Atual'!$L$19:$M$25,2,FALSE)</f>
        <v>3.1053999999999999</v>
      </c>
      <c r="K295" s="190"/>
      <c r="L295" s="20">
        <v>975.44</v>
      </c>
      <c r="M295" s="765">
        <f t="shared" si="28"/>
        <v>696.74285714285725</v>
      </c>
      <c r="N295" s="765">
        <f t="shared" si="27"/>
        <v>709.41090909090917</v>
      </c>
      <c r="O295" s="765">
        <f t="shared" si="29"/>
        <v>696.74285714285725</v>
      </c>
    </row>
    <row r="296" spans="1:15" s="98" customFormat="1" ht="31.5" outlineLevel="1">
      <c r="A296" s="141" t="s">
        <v>3478</v>
      </c>
      <c r="B296" s="114" t="s">
        <v>557</v>
      </c>
      <c r="C296" s="100" t="s">
        <v>1984</v>
      </c>
      <c r="D296" s="181" t="s">
        <v>1468</v>
      </c>
      <c r="E296" s="20">
        <v>16</v>
      </c>
      <c r="F296" s="20">
        <f t="shared" si="25"/>
        <v>456.17857142857144</v>
      </c>
      <c r="G296" s="19">
        <f t="shared" si="24"/>
        <v>7298.8571428571431</v>
      </c>
      <c r="H296" s="19">
        <f t="shared" si="26"/>
        <v>29964.72811428571</v>
      </c>
      <c r="I296" s="114" t="s">
        <v>1521</v>
      </c>
      <c r="J296" s="210">
        <f>VLOOKUP(I296,'Reajuste Atual'!$L$19:$M$25,2,FALSE)</f>
        <v>3.1053999999999999</v>
      </c>
      <c r="K296" s="190"/>
      <c r="L296" s="20">
        <v>638.65</v>
      </c>
      <c r="M296" s="765">
        <f t="shared" si="28"/>
        <v>456.17857142857144</v>
      </c>
      <c r="N296" s="765">
        <f t="shared" si="27"/>
        <v>464.47272727272724</v>
      </c>
      <c r="O296" s="765">
        <f t="shared" si="29"/>
        <v>456.17857142857144</v>
      </c>
    </row>
    <row r="297" spans="1:15" s="98" customFormat="1" outlineLevel="1">
      <c r="A297" s="141" t="s">
        <v>3478</v>
      </c>
      <c r="B297" s="114" t="s">
        <v>558</v>
      </c>
      <c r="C297" s="100" t="s">
        <v>1985</v>
      </c>
      <c r="D297" s="181" t="s">
        <v>1468</v>
      </c>
      <c r="E297" s="20">
        <v>32</v>
      </c>
      <c r="F297" s="20">
        <f t="shared" si="25"/>
        <v>284.51428571428573</v>
      </c>
      <c r="G297" s="19">
        <f t="shared" si="24"/>
        <v>9104.4571428571435</v>
      </c>
      <c r="H297" s="19">
        <f t="shared" si="26"/>
        <v>37377.43835428571</v>
      </c>
      <c r="I297" s="114" t="s">
        <v>1521</v>
      </c>
      <c r="J297" s="210">
        <f>VLOOKUP(I297,'Reajuste Atual'!$L$19:$M$25,2,FALSE)</f>
        <v>3.1053999999999999</v>
      </c>
      <c r="K297" s="190"/>
      <c r="L297" s="20">
        <v>398.32</v>
      </c>
      <c r="M297" s="765">
        <f t="shared" si="28"/>
        <v>284.51428571428573</v>
      </c>
      <c r="N297" s="765">
        <f t="shared" si="27"/>
        <v>289.68727272727273</v>
      </c>
      <c r="O297" s="765">
        <f t="shared" si="29"/>
        <v>284.51428571428573</v>
      </c>
    </row>
    <row r="298" spans="1:15" s="98" customFormat="1" outlineLevel="1">
      <c r="A298" s="141" t="s">
        <v>3478</v>
      </c>
      <c r="B298" s="114" t="s">
        <v>559</v>
      </c>
      <c r="C298" s="100" t="s">
        <v>1986</v>
      </c>
      <c r="D298" s="181" t="s">
        <v>1468</v>
      </c>
      <c r="E298" s="20">
        <v>16</v>
      </c>
      <c r="F298" s="20">
        <f t="shared" si="25"/>
        <v>280.3642857142857</v>
      </c>
      <c r="G298" s="19">
        <f t="shared" si="24"/>
        <v>4485.8285714285712</v>
      </c>
      <c r="H298" s="19">
        <f t="shared" si="26"/>
        <v>18416.120617142853</v>
      </c>
      <c r="I298" s="114" t="s">
        <v>1521</v>
      </c>
      <c r="J298" s="210">
        <f>VLOOKUP(I298,'Reajuste Atual'!$L$19:$M$25,2,FALSE)</f>
        <v>3.1053999999999999</v>
      </c>
      <c r="K298" s="190"/>
      <c r="L298" s="20">
        <v>392.51</v>
      </c>
      <c r="M298" s="765">
        <f t="shared" si="28"/>
        <v>280.3642857142857</v>
      </c>
      <c r="N298" s="765">
        <f t="shared" si="27"/>
        <v>285.46181818181816</v>
      </c>
      <c r="O298" s="765">
        <f t="shared" si="29"/>
        <v>280.3642857142857</v>
      </c>
    </row>
    <row r="299" spans="1:15" s="98" customFormat="1" outlineLevel="1">
      <c r="A299" s="141" t="s">
        <v>3478</v>
      </c>
      <c r="B299" s="114" t="s">
        <v>560</v>
      </c>
      <c r="C299" s="100" t="s">
        <v>1987</v>
      </c>
      <c r="D299" s="181" t="s">
        <v>1468</v>
      </c>
      <c r="E299" s="20">
        <v>16</v>
      </c>
      <c r="F299" s="20">
        <f t="shared" si="25"/>
        <v>437.76428571428573</v>
      </c>
      <c r="G299" s="19">
        <f t="shared" si="24"/>
        <v>7004.2285714285717</v>
      </c>
      <c r="H299" s="19">
        <f t="shared" si="26"/>
        <v>28755.159977142855</v>
      </c>
      <c r="I299" s="114" t="s">
        <v>1521</v>
      </c>
      <c r="J299" s="210">
        <f>VLOOKUP(I299,'Reajuste Atual'!$L$19:$M$25,2,FALSE)</f>
        <v>3.1053999999999999</v>
      </c>
      <c r="K299" s="190"/>
      <c r="L299" s="20">
        <v>612.87</v>
      </c>
      <c r="M299" s="765">
        <f t="shared" si="28"/>
        <v>437.76428571428573</v>
      </c>
      <c r="N299" s="765">
        <f t="shared" si="27"/>
        <v>445.72363636363639</v>
      </c>
      <c r="O299" s="765">
        <f t="shared" si="29"/>
        <v>437.76428571428573</v>
      </c>
    </row>
    <row r="300" spans="1:15" s="98" customFormat="1" outlineLevel="1">
      <c r="A300" s="141" t="s">
        <v>3478</v>
      </c>
      <c r="B300" s="114" t="s">
        <v>561</v>
      </c>
      <c r="C300" s="100" t="s">
        <v>1988</v>
      </c>
      <c r="D300" s="181" t="s">
        <v>1468</v>
      </c>
      <c r="E300" s="20">
        <v>16</v>
      </c>
      <c r="F300" s="20">
        <f t="shared" si="25"/>
        <v>533.98571428571438</v>
      </c>
      <c r="G300" s="19">
        <f t="shared" si="24"/>
        <v>8543.7714285714301</v>
      </c>
      <c r="H300" s="19">
        <f t="shared" si="26"/>
        <v>35075.599222857141</v>
      </c>
      <c r="I300" s="114" t="s">
        <v>1521</v>
      </c>
      <c r="J300" s="210">
        <f>VLOOKUP(I300,'Reajuste Atual'!$L$19:$M$25,2,FALSE)</f>
        <v>3.1053999999999999</v>
      </c>
      <c r="K300" s="190"/>
      <c r="L300" s="20">
        <v>747.58</v>
      </c>
      <c r="M300" s="765">
        <f t="shared" si="28"/>
        <v>533.98571428571438</v>
      </c>
      <c r="N300" s="765">
        <f t="shared" si="27"/>
        <v>543.6945454545455</v>
      </c>
      <c r="O300" s="765">
        <f t="shared" si="29"/>
        <v>533.98571428571438</v>
      </c>
    </row>
    <row r="301" spans="1:15" s="98" customFormat="1" outlineLevel="1">
      <c r="A301" s="141" t="s">
        <v>3478</v>
      </c>
      <c r="B301" s="114" t="s">
        <v>562</v>
      </c>
      <c r="C301" s="100" t="s">
        <v>1989</v>
      </c>
      <c r="D301" s="181" t="s">
        <v>1468</v>
      </c>
      <c r="E301" s="20">
        <v>16</v>
      </c>
      <c r="F301" s="20">
        <f t="shared" si="25"/>
        <v>770.4</v>
      </c>
      <c r="G301" s="19">
        <f t="shared" si="24"/>
        <v>12326.4</v>
      </c>
      <c r="H301" s="19">
        <f t="shared" si="26"/>
        <v>50604.802559999989</v>
      </c>
      <c r="I301" s="114" t="s">
        <v>1521</v>
      </c>
      <c r="J301" s="210">
        <f>VLOOKUP(I301,'Reajuste Atual'!$L$19:$M$25,2,FALSE)</f>
        <v>3.1053999999999999</v>
      </c>
      <c r="K301" s="190"/>
      <c r="L301" s="20">
        <v>1078.56</v>
      </c>
      <c r="M301" s="765">
        <f t="shared" si="28"/>
        <v>770.4</v>
      </c>
      <c r="N301" s="765">
        <f t="shared" si="27"/>
        <v>784.4072727272727</v>
      </c>
      <c r="O301" s="765">
        <f t="shared" si="29"/>
        <v>770.4</v>
      </c>
    </row>
    <row r="302" spans="1:15" s="98" customFormat="1" ht="31.5" outlineLevel="1">
      <c r="A302" s="141" t="s">
        <v>3478</v>
      </c>
      <c r="B302" s="114" t="s">
        <v>563</v>
      </c>
      <c r="C302" s="100" t="s">
        <v>1990</v>
      </c>
      <c r="D302" s="181" t="s">
        <v>1468</v>
      </c>
      <c r="E302" s="20">
        <v>4</v>
      </c>
      <c r="F302" s="20">
        <f t="shared" si="25"/>
        <v>12104.764285714286</v>
      </c>
      <c r="G302" s="19">
        <f t="shared" si="24"/>
        <v>48419.057142857142</v>
      </c>
      <c r="H302" s="19">
        <f t="shared" si="26"/>
        <v>198779.59719428568</v>
      </c>
      <c r="I302" s="114" t="s">
        <v>1521</v>
      </c>
      <c r="J302" s="210">
        <f>VLOOKUP(I302,'Reajuste Atual'!$L$19:$M$25,2,FALSE)</f>
        <v>3.1053999999999999</v>
      </c>
      <c r="K302" s="190"/>
      <c r="L302" s="20">
        <v>16946.669999999998</v>
      </c>
      <c r="M302" s="765">
        <f t="shared" si="28"/>
        <v>12104.764285714286</v>
      </c>
      <c r="N302" s="765">
        <f t="shared" si="27"/>
        <v>12324.850909090908</v>
      </c>
      <c r="O302" s="765">
        <f t="shared" si="29"/>
        <v>12104.764285714286</v>
      </c>
    </row>
    <row r="303" spans="1:15" s="98" customFormat="1" outlineLevel="1">
      <c r="A303" s="141" t="s">
        <v>3478</v>
      </c>
      <c r="B303" s="114" t="s">
        <v>564</v>
      </c>
      <c r="C303" s="100" t="s">
        <v>1991</v>
      </c>
      <c r="D303" s="181" t="s">
        <v>1468</v>
      </c>
      <c r="E303" s="20">
        <v>16</v>
      </c>
      <c r="F303" s="20">
        <f t="shared" si="25"/>
        <v>854.73571428571438</v>
      </c>
      <c r="G303" s="19">
        <f t="shared" si="24"/>
        <v>13675.77142857143</v>
      </c>
      <c r="H303" s="19">
        <f t="shared" si="26"/>
        <v>56144.51202285714</v>
      </c>
      <c r="I303" s="114" t="s">
        <v>1521</v>
      </c>
      <c r="J303" s="210">
        <f>VLOOKUP(I303,'Reajuste Atual'!$L$19:$M$25,2,FALSE)</f>
        <v>3.1053999999999999</v>
      </c>
      <c r="K303" s="190"/>
      <c r="L303" s="20">
        <v>1196.6300000000001</v>
      </c>
      <c r="M303" s="765">
        <f t="shared" si="28"/>
        <v>854.73571428571438</v>
      </c>
      <c r="N303" s="765">
        <f t="shared" si="27"/>
        <v>870.27636363636373</v>
      </c>
      <c r="O303" s="765">
        <f t="shared" si="29"/>
        <v>854.73571428571438</v>
      </c>
    </row>
    <row r="304" spans="1:15" s="98" customFormat="1" outlineLevel="1">
      <c r="A304" s="141" t="s">
        <v>3478</v>
      </c>
      <c r="B304" s="114" t="s">
        <v>565</v>
      </c>
      <c r="C304" s="100" t="s">
        <v>1992</v>
      </c>
      <c r="D304" s="181" t="s">
        <v>1468</v>
      </c>
      <c r="E304" s="20">
        <v>4</v>
      </c>
      <c r="F304" s="20">
        <f t="shared" si="25"/>
        <v>349.85714285714289</v>
      </c>
      <c r="G304" s="19">
        <f t="shared" si="24"/>
        <v>1399.4285714285716</v>
      </c>
      <c r="H304" s="19">
        <f t="shared" si="26"/>
        <v>5745.2140571428572</v>
      </c>
      <c r="I304" s="114" t="s">
        <v>1521</v>
      </c>
      <c r="J304" s="210">
        <f>VLOOKUP(I304,'Reajuste Atual'!$L$19:$M$25,2,FALSE)</f>
        <v>3.1053999999999999</v>
      </c>
      <c r="K304" s="190"/>
      <c r="L304" s="20">
        <v>489.8</v>
      </c>
      <c r="M304" s="765">
        <f t="shared" si="28"/>
        <v>349.85714285714289</v>
      </c>
      <c r="N304" s="765">
        <f t="shared" si="27"/>
        <v>356.21818181818185</v>
      </c>
      <c r="O304" s="765">
        <f t="shared" si="29"/>
        <v>349.85714285714289</v>
      </c>
    </row>
    <row r="305" spans="1:15" s="98" customFormat="1" outlineLevel="1">
      <c r="A305" s="141" t="s">
        <v>3478</v>
      </c>
      <c r="B305" s="114" t="s">
        <v>566</v>
      </c>
      <c r="C305" s="100" t="s">
        <v>1993</v>
      </c>
      <c r="D305" s="181" t="s">
        <v>1468</v>
      </c>
      <c r="E305" s="20">
        <v>16</v>
      </c>
      <c r="F305" s="20">
        <f t="shared" si="25"/>
        <v>146.71428571428572</v>
      </c>
      <c r="G305" s="19">
        <f t="shared" si="24"/>
        <v>2347.4285714285716</v>
      </c>
      <c r="H305" s="19">
        <f t="shared" si="26"/>
        <v>9637.1332571428557</v>
      </c>
      <c r="I305" s="114" t="s">
        <v>1521</v>
      </c>
      <c r="J305" s="210">
        <f>VLOOKUP(I305,'Reajuste Atual'!$L$19:$M$25,2,FALSE)</f>
        <v>3.1053999999999999</v>
      </c>
      <c r="K305" s="190"/>
      <c r="L305" s="20">
        <v>205.4</v>
      </c>
      <c r="M305" s="765">
        <f t="shared" si="28"/>
        <v>146.71428571428572</v>
      </c>
      <c r="N305" s="765">
        <f t="shared" si="27"/>
        <v>149.38181818181818</v>
      </c>
      <c r="O305" s="765">
        <f t="shared" si="29"/>
        <v>146.71428571428572</v>
      </c>
    </row>
    <row r="306" spans="1:15" s="98" customFormat="1" outlineLevel="1">
      <c r="A306" s="141" t="s">
        <v>3478</v>
      </c>
      <c r="B306" s="114" t="s">
        <v>567</v>
      </c>
      <c r="C306" s="100" t="s">
        <v>1994</v>
      </c>
      <c r="D306" s="181" t="s">
        <v>1468</v>
      </c>
      <c r="E306" s="20">
        <v>16</v>
      </c>
      <c r="F306" s="20">
        <f t="shared" si="25"/>
        <v>38.607142857142854</v>
      </c>
      <c r="G306" s="19">
        <f t="shared" si="24"/>
        <v>617.71428571428567</v>
      </c>
      <c r="H306" s="19">
        <f t="shared" si="26"/>
        <v>2535.9642285714281</v>
      </c>
      <c r="I306" s="114" t="s">
        <v>1521</v>
      </c>
      <c r="J306" s="210">
        <f>VLOOKUP(I306,'Reajuste Atual'!$L$19:$M$25,2,FALSE)</f>
        <v>3.1053999999999999</v>
      </c>
      <c r="K306" s="190"/>
      <c r="L306" s="20">
        <v>54.05</v>
      </c>
      <c r="M306" s="765">
        <f t="shared" si="28"/>
        <v>38.607142857142854</v>
      </c>
      <c r="N306" s="765">
        <f t="shared" si="27"/>
        <v>39.309090909090905</v>
      </c>
      <c r="O306" s="765">
        <f t="shared" si="29"/>
        <v>38.607142857142854</v>
      </c>
    </row>
    <row r="307" spans="1:15" s="98" customFormat="1" ht="31.5" outlineLevel="1">
      <c r="A307" s="141" t="s">
        <v>3478</v>
      </c>
      <c r="B307" s="114" t="s">
        <v>568</v>
      </c>
      <c r="C307" s="100" t="s">
        <v>1995</v>
      </c>
      <c r="D307" s="181" t="s">
        <v>1468</v>
      </c>
      <c r="E307" s="20">
        <v>8</v>
      </c>
      <c r="F307" s="20">
        <f t="shared" si="25"/>
        <v>351.04285714285714</v>
      </c>
      <c r="G307" s="19">
        <f t="shared" si="24"/>
        <v>2808.3428571428572</v>
      </c>
      <c r="H307" s="19">
        <f t="shared" si="26"/>
        <v>11529.370765714284</v>
      </c>
      <c r="I307" s="114" t="s">
        <v>1521</v>
      </c>
      <c r="J307" s="210">
        <f>VLOOKUP(I307,'Reajuste Atual'!$L$19:$M$25,2,FALSE)</f>
        <v>3.1053999999999999</v>
      </c>
      <c r="K307" s="190"/>
      <c r="L307" s="20">
        <v>491.46</v>
      </c>
      <c r="M307" s="765">
        <f t="shared" si="28"/>
        <v>351.04285714285714</v>
      </c>
      <c r="N307" s="765">
        <f t="shared" si="27"/>
        <v>357.42545454545456</v>
      </c>
      <c r="O307" s="765">
        <f t="shared" si="29"/>
        <v>351.04285714285714</v>
      </c>
    </row>
    <row r="308" spans="1:15" s="98" customFormat="1" outlineLevel="1">
      <c r="A308" s="141" t="s">
        <v>3478</v>
      </c>
      <c r="B308" s="114" t="s">
        <v>569</v>
      </c>
      <c r="C308" s="100" t="s">
        <v>1996</v>
      </c>
      <c r="D308" s="181" t="s">
        <v>1468</v>
      </c>
      <c r="E308" s="20">
        <v>8</v>
      </c>
      <c r="F308" s="20">
        <f t="shared" si="25"/>
        <v>48.114285714285714</v>
      </c>
      <c r="G308" s="19">
        <f t="shared" si="24"/>
        <v>384.91428571428571</v>
      </c>
      <c r="H308" s="19">
        <f t="shared" si="26"/>
        <v>1580.2271085714283</v>
      </c>
      <c r="I308" s="114" t="s">
        <v>1521</v>
      </c>
      <c r="J308" s="210">
        <f>VLOOKUP(I308,'Reajuste Atual'!$L$19:$M$25,2,FALSE)</f>
        <v>3.1053999999999999</v>
      </c>
      <c r="K308" s="190"/>
      <c r="L308" s="20">
        <v>67.36</v>
      </c>
      <c r="M308" s="765">
        <f t="shared" si="28"/>
        <v>48.114285714285714</v>
      </c>
      <c r="N308" s="765">
        <f t="shared" si="27"/>
        <v>48.989090909090912</v>
      </c>
      <c r="O308" s="765">
        <f t="shared" si="29"/>
        <v>48.114285714285714</v>
      </c>
    </row>
    <row r="309" spans="1:15" s="98" customFormat="1" outlineLevel="1">
      <c r="A309" s="141" t="s">
        <v>3478</v>
      </c>
      <c r="B309" s="114" t="s">
        <v>570</v>
      </c>
      <c r="C309" s="100" t="s">
        <v>1997</v>
      </c>
      <c r="D309" s="181" t="s">
        <v>1468</v>
      </c>
      <c r="E309" s="20">
        <v>8</v>
      </c>
      <c r="F309" s="20">
        <f t="shared" si="25"/>
        <v>629.62142857142862</v>
      </c>
      <c r="G309" s="19">
        <f t="shared" si="24"/>
        <v>5036.971428571429</v>
      </c>
      <c r="H309" s="19">
        <f t="shared" si="26"/>
        <v>20678.782502857142</v>
      </c>
      <c r="I309" s="114" t="s">
        <v>1521</v>
      </c>
      <c r="J309" s="210">
        <f>VLOOKUP(I309,'Reajuste Atual'!$L$19:$M$25,2,FALSE)</f>
        <v>3.1053999999999999</v>
      </c>
      <c r="K309" s="190"/>
      <c r="L309" s="20">
        <v>881.47</v>
      </c>
      <c r="M309" s="765">
        <f t="shared" si="28"/>
        <v>629.62142857142862</v>
      </c>
      <c r="N309" s="765">
        <f t="shared" si="27"/>
        <v>641.06909090909096</v>
      </c>
      <c r="O309" s="765">
        <f t="shared" si="29"/>
        <v>629.62142857142862</v>
      </c>
    </row>
    <row r="310" spans="1:15" s="98" customFormat="1" outlineLevel="1">
      <c r="A310" s="141" t="s">
        <v>3478</v>
      </c>
      <c r="B310" s="114" t="s">
        <v>571</v>
      </c>
      <c r="C310" s="100" t="s">
        <v>1998</v>
      </c>
      <c r="D310" s="181" t="s">
        <v>1468</v>
      </c>
      <c r="E310" s="20">
        <v>16</v>
      </c>
      <c r="F310" s="20">
        <f t="shared" si="25"/>
        <v>495.37857142857143</v>
      </c>
      <c r="G310" s="19">
        <f t="shared" si="24"/>
        <v>7926.0571428571429</v>
      </c>
      <c r="H310" s="19">
        <f t="shared" si="26"/>
        <v>32539.634994285712</v>
      </c>
      <c r="I310" s="114" t="s">
        <v>1521</v>
      </c>
      <c r="J310" s="210">
        <f>VLOOKUP(I310,'Reajuste Atual'!$L$19:$M$25,2,FALSE)</f>
        <v>3.1053999999999999</v>
      </c>
      <c r="K310" s="190"/>
      <c r="L310" s="20">
        <v>693.53</v>
      </c>
      <c r="M310" s="765">
        <f t="shared" si="28"/>
        <v>495.37857142857143</v>
      </c>
      <c r="N310" s="765">
        <f t="shared" si="27"/>
        <v>504.38545454545454</v>
      </c>
      <c r="O310" s="765">
        <f t="shared" si="29"/>
        <v>495.37857142857143</v>
      </c>
    </row>
    <row r="311" spans="1:15" s="98" customFormat="1" outlineLevel="1">
      <c r="A311" s="141" t="s">
        <v>3478</v>
      </c>
      <c r="B311" s="114" t="s">
        <v>572</v>
      </c>
      <c r="C311" s="100" t="s">
        <v>1999</v>
      </c>
      <c r="D311" s="181" t="s">
        <v>1468</v>
      </c>
      <c r="E311" s="20">
        <v>8</v>
      </c>
      <c r="F311" s="20">
        <f t="shared" si="25"/>
        <v>1534.257142857143</v>
      </c>
      <c r="G311" s="19">
        <f t="shared" si="24"/>
        <v>12274.057142857144</v>
      </c>
      <c r="H311" s="19">
        <f t="shared" si="26"/>
        <v>50389.91419428571</v>
      </c>
      <c r="I311" s="114" t="s">
        <v>1521</v>
      </c>
      <c r="J311" s="210">
        <f>VLOOKUP(I311,'Reajuste Atual'!$L$19:$M$25,2,FALSE)</f>
        <v>3.1053999999999999</v>
      </c>
      <c r="K311" s="190"/>
      <c r="L311" s="20">
        <v>2147.96</v>
      </c>
      <c r="M311" s="765">
        <f t="shared" si="28"/>
        <v>1534.257142857143</v>
      </c>
      <c r="N311" s="765">
        <f t="shared" si="27"/>
        <v>1562.1527272727274</v>
      </c>
      <c r="O311" s="765">
        <f t="shared" si="29"/>
        <v>1534.257142857143</v>
      </c>
    </row>
    <row r="312" spans="1:15" s="98" customFormat="1" outlineLevel="1">
      <c r="A312" s="141" t="s">
        <v>3478</v>
      </c>
      <c r="B312" s="114" t="s">
        <v>573</v>
      </c>
      <c r="C312" s="100" t="s">
        <v>2000</v>
      </c>
      <c r="D312" s="181" t="s">
        <v>1468</v>
      </c>
      <c r="E312" s="20">
        <v>8</v>
      </c>
      <c r="F312" s="20">
        <f t="shared" si="25"/>
        <v>683.67142857142858</v>
      </c>
      <c r="G312" s="19">
        <f t="shared" si="24"/>
        <v>5469.3714285714286</v>
      </c>
      <c r="H312" s="19">
        <f t="shared" si="26"/>
        <v>22453.957462857139</v>
      </c>
      <c r="I312" s="114" t="s">
        <v>1521</v>
      </c>
      <c r="J312" s="210">
        <f>VLOOKUP(I312,'Reajuste Atual'!$L$19:$M$25,2,FALSE)</f>
        <v>3.1053999999999999</v>
      </c>
      <c r="K312" s="190"/>
      <c r="L312" s="20">
        <v>957.14</v>
      </c>
      <c r="M312" s="765">
        <f t="shared" si="28"/>
        <v>683.67142857142858</v>
      </c>
      <c r="N312" s="765">
        <f t="shared" si="27"/>
        <v>696.1018181818182</v>
      </c>
      <c r="O312" s="765">
        <f t="shared" si="29"/>
        <v>683.67142857142858</v>
      </c>
    </row>
    <row r="313" spans="1:15" s="98" customFormat="1" outlineLevel="1">
      <c r="A313" s="141" t="s">
        <v>3478</v>
      </c>
      <c r="B313" s="114" t="s">
        <v>574</v>
      </c>
      <c r="C313" s="100" t="s">
        <v>2001</v>
      </c>
      <c r="D313" s="181" t="s">
        <v>1468</v>
      </c>
      <c r="E313" s="20">
        <v>8</v>
      </c>
      <c r="F313" s="20">
        <f t="shared" si="25"/>
        <v>920.07857142857142</v>
      </c>
      <c r="G313" s="19">
        <f t="shared" si="24"/>
        <v>7360.6285714285714</v>
      </c>
      <c r="H313" s="19">
        <f t="shared" si="26"/>
        <v>30218.324537142853</v>
      </c>
      <c r="I313" s="114" t="s">
        <v>1521</v>
      </c>
      <c r="J313" s="210">
        <f>VLOOKUP(I313,'Reajuste Atual'!$L$19:$M$25,2,FALSE)</f>
        <v>3.1053999999999999</v>
      </c>
      <c r="K313" s="190"/>
      <c r="L313" s="20">
        <v>1288.1099999999999</v>
      </c>
      <c r="M313" s="765">
        <f t="shared" si="28"/>
        <v>920.07857142857142</v>
      </c>
      <c r="N313" s="765">
        <f t="shared" si="27"/>
        <v>936.80727272727268</v>
      </c>
      <c r="O313" s="765">
        <f t="shared" si="29"/>
        <v>920.07857142857142</v>
      </c>
    </row>
    <row r="314" spans="1:15" s="98" customFormat="1" outlineLevel="1">
      <c r="A314" s="141" t="s">
        <v>3478</v>
      </c>
      <c r="B314" s="114" t="s">
        <v>575</v>
      </c>
      <c r="C314" s="100" t="s">
        <v>2002</v>
      </c>
      <c r="D314" s="181" t="s">
        <v>1468</v>
      </c>
      <c r="E314" s="20">
        <v>16</v>
      </c>
      <c r="F314" s="20">
        <f t="shared" si="25"/>
        <v>370.64285714285717</v>
      </c>
      <c r="G314" s="19">
        <f t="shared" si="24"/>
        <v>5930.2857142857147</v>
      </c>
      <c r="H314" s="19">
        <f t="shared" si="26"/>
        <v>24346.194971428569</v>
      </c>
      <c r="I314" s="114" t="s">
        <v>1521</v>
      </c>
      <c r="J314" s="210">
        <f>VLOOKUP(I314,'Reajuste Atual'!$L$19:$M$25,2,FALSE)</f>
        <v>3.1053999999999999</v>
      </c>
      <c r="K314" s="190"/>
      <c r="L314" s="20">
        <v>518.9</v>
      </c>
      <c r="M314" s="765">
        <f t="shared" si="28"/>
        <v>370.64285714285717</v>
      </c>
      <c r="N314" s="765">
        <f t="shared" si="27"/>
        <v>377.38181818181818</v>
      </c>
      <c r="O314" s="765">
        <f t="shared" si="29"/>
        <v>370.64285714285717</v>
      </c>
    </row>
    <row r="315" spans="1:15" s="98" customFormat="1" outlineLevel="1">
      <c r="A315" s="141" t="s">
        <v>3478</v>
      </c>
      <c r="B315" s="114" t="s">
        <v>576</v>
      </c>
      <c r="C315" s="100" t="s">
        <v>2003</v>
      </c>
      <c r="D315" s="181" t="s">
        <v>1468</v>
      </c>
      <c r="E315" s="20">
        <v>4</v>
      </c>
      <c r="F315" s="20">
        <f t="shared" si="25"/>
        <v>5261.4928571428572</v>
      </c>
      <c r="G315" s="19">
        <f t="shared" si="24"/>
        <v>21045.971428571429</v>
      </c>
      <c r="H315" s="19">
        <f t="shared" si="26"/>
        <v>86402.131102857136</v>
      </c>
      <c r="I315" s="114" t="s">
        <v>1521</v>
      </c>
      <c r="J315" s="210">
        <f>VLOOKUP(I315,'Reajuste Atual'!$L$19:$M$25,2,FALSE)</f>
        <v>3.1053999999999999</v>
      </c>
      <c r="K315" s="190"/>
      <c r="L315" s="20">
        <v>7366.09</v>
      </c>
      <c r="M315" s="765">
        <f t="shared" si="28"/>
        <v>5261.4928571428572</v>
      </c>
      <c r="N315" s="765">
        <f t="shared" si="27"/>
        <v>5357.1563636363635</v>
      </c>
      <c r="O315" s="765">
        <f t="shared" si="29"/>
        <v>5261.4928571428572</v>
      </c>
    </row>
    <row r="316" spans="1:15" s="98" customFormat="1" outlineLevel="1">
      <c r="A316" s="141" t="s">
        <v>3478</v>
      </c>
      <c r="B316" s="114" t="s">
        <v>577</v>
      </c>
      <c r="C316" s="100" t="s">
        <v>2004</v>
      </c>
      <c r="D316" s="99" t="s">
        <v>1467</v>
      </c>
      <c r="E316" s="20">
        <v>5.92</v>
      </c>
      <c r="F316" s="20">
        <f t="shared" si="25"/>
        <v>118.17142857142858</v>
      </c>
      <c r="G316" s="19">
        <f t="shared" si="24"/>
        <v>699.57485714285713</v>
      </c>
      <c r="H316" s="19">
        <f t="shared" si="26"/>
        <v>3180.2673005714282</v>
      </c>
      <c r="I316" s="114" t="s">
        <v>1522</v>
      </c>
      <c r="J316" s="210">
        <f>VLOOKUP(I316,'Reajuste Atual'!$L$19:$M$25,2,FALSE)</f>
        <v>3.5459999999999998</v>
      </c>
      <c r="K316" s="190"/>
      <c r="L316" s="20">
        <v>165.44</v>
      </c>
      <c r="M316" s="765">
        <f t="shared" si="28"/>
        <v>118.17142857142858</v>
      </c>
      <c r="N316" s="765">
        <f t="shared" si="27"/>
        <v>120.32</v>
      </c>
      <c r="O316" s="765">
        <f t="shared" si="29"/>
        <v>118.17142857142858</v>
      </c>
    </row>
    <row r="317" spans="1:15" s="98" customFormat="1" outlineLevel="1">
      <c r="A317" s="141" t="s">
        <v>3478</v>
      </c>
      <c r="B317" s="114" t="s">
        <v>578</v>
      </c>
      <c r="C317" s="100" t="s">
        <v>1580</v>
      </c>
      <c r="D317" s="99" t="s">
        <v>1470</v>
      </c>
      <c r="E317" s="20">
        <v>3460.02</v>
      </c>
      <c r="F317" s="20">
        <f t="shared" si="25"/>
        <v>6.3142857142857149</v>
      </c>
      <c r="G317" s="19">
        <f t="shared" si="24"/>
        <v>21847.554857142859</v>
      </c>
      <c r="H317" s="19">
        <f t="shared" si="26"/>
        <v>99318.984380571419</v>
      </c>
      <c r="I317" s="114" t="s">
        <v>1522</v>
      </c>
      <c r="J317" s="210">
        <f>VLOOKUP(I317,'Reajuste Atual'!$L$19:$M$25,2,FALSE)</f>
        <v>3.5459999999999998</v>
      </c>
      <c r="K317" s="190"/>
      <c r="L317" s="20">
        <v>8.84</v>
      </c>
      <c r="M317" s="765">
        <f t="shared" si="28"/>
        <v>6.3142857142857149</v>
      </c>
      <c r="N317" s="765">
        <f t="shared" si="27"/>
        <v>6.4290909090909087</v>
      </c>
      <c r="O317" s="765">
        <f t="shared" si="29"/>
        <v>6.3142857142857149</v>
      </c>
    </row>
    <row r="318" spans="1:15" s="98" customFormat="1" outlineLevel="1">
      <c r="A318" s="141" t="s">
        <v>3478</v>
      </c>
      <c r="B318" s="114" t="s">
        <v>579</v>
      </c>
      <c r="C318" s="100" t="s">
        <v>1586</v>
      </c>
      <c r="D318" s="99" t="s">
        <v>1467</v>
      </c>
      <c r="E318" s="20">
        <v>100.8</v>
      </c>
      <c r="F318" s="20">
        <f t="shared" si="25"/>
        <v>118.16428571428573</v>
      </c>
      <c r="G318" s="19">
        <f t="shared" si="24"/>
        <v>11910.960000000001</v>
      </c>
      <c r="H318" s="19">
        <f t="shared" si="26"/>
        <v>54147.224159999998</v>
      </c>
      <c r="I318" s="114" t="s">
        <v>1522</v>
      </c>
      <c r="J318" s="210">
        <f>VLOOKUP(I318,'Reajuste Atual'!$L$19:$M$25,2,FALSE)</f>
        <v>3.5459999999999998</v>
      </c>
      <c r="K318" s="190"/>
      <c r="L318" s="20">
        <v>165.43</v>
      </c>
      <c r="M318" s="765">
        <f t="shared" si="28"/>
        <v>118.16428571428573</v>
      </c>
      <c r="N318" s="765">
        <f t="shared" si="27"/>
        <v>120.31272727272727</v>
      </c>
      <c r="O318" s="765">
        <f t="shared" si="29"/>
        <v>118.16428571428573</v>
      </c>
    </row>
    <row r="319" spans="1:15" s="98" customFormat="1" outlineLevel="1">
      <c r="A319" s="141" t="s">
        <v>3478</v>
      </c>
      <c r="B319" s="114" t="s">
        <v>580</v>
      </c>
      <c r="C319" s="100" t="s">
        <v>1585</v>
      </c>
      <c r="D319" s="99" t="s">
        <v>1472</v>
      </c>
      <c r="E319" s="20">
        <v>156</v>
      </c>
      <c r="F319" s="20">
        <f t="shared" si="25"/>
        <v>12.407142857142858</v>
      </c>
      <c r="G319" s="19">
        <f t="shared" si="24"/>
        <v>1935.514285714286</v>
      </c>
      <c r="H319" s="19">
        <f t="shared" si="26"/>
        <v>8798.8479428571427</v>
      </c>
      <c r="I319" s="114" t="s">
        <v>1522</v>
      </c>
      <c r="J319" s="210">
        <f>VLOOKUP(I319,'Reajuste Atual'!$L$19:$M$25,2,FALSE)</f>
        <v>3.5459999999999998</v>
      </c>
      <c r="K319" s="190"/>
      <c r="L319" s="20">
        <v>17.37</v>
      </c>
      <c r="M319" s="765">
        <f t="shared" si="28"/>
        <v>12.407142857142858</v>
      </c>
      <c r="N319" s="765">
        <f t="shared" si="27"/>
        <v>12.632727272727273</v>
      </c>
      <c r="O319" s="765">
        <f t="shared" si="29"/>
        <v>12.407142857142858</v>
      </c>
    </row>
    <row r="320" spans="1:15" s="98" customFormat="1" ht="31.5" outlineLevel="1">
      <c r="A320" s="141" t="s">
        <v>3478</v>
      </c>
      <c r="B320" s="114" t="s">
        <v>581</v>
      </c>
      <c r="C320" s="100" t="s">
        <v>2005</v>
      </c>
      <c r="D320" s="99" t="s">
        <v>1467</v>
      </c>
      <c r="E320" s="20">
        <v>2650.5</v>
      </c>
      <c r="F320" s="20">
        <f t="shared" si="25"/>
        <v>6.9214285714285717</v>
      </c>
      <c r="G320" s="19">
        <f t="shared" si="24"/>
        <v>18345.24642857143</v>
      </c>
      <c r="H320" s="19">
        <f t="shared" si="26"/>
        <v>63373.653787500007</v>
      </c>
      <c r="I320" s="114" t="s">
        <v>1523</v>
      </c>
      <c r="J320" s="210">
        <f>VLOOKUP(I320,'Reajuste Atual'!$L$19:$M$25,2,FALSE)</f>
        <v>2.4544999999999999</v>
      </c>
      <c r="K320" s="190"/>
      <c r="L320" s="20">
        <v>9.69</v>
      </c>
      <c r="M320" s="765">
        <f t="shared" si="28"/>
        <v>6.9214285714285717</v>
      </c>
      <c r="N320" s="765">
        <f t="shared" si="27"/>
        <v>7.0472727272727269</v>
      </c>
      <c r="O320" s="765">
        <f t="shared" si="29"/>
        <v>6.9214285714285717</v>
      </c>
    </row>
    <row r="321" spans="1:15" s="98" customFormat="1" outlineLevel="1">
      <c r="A321" s="141" t="s">
        <v>3478</v>
      </c>
      <c r="B321" s="114" t="s">
        <v>582</v>
      </c>
      <c r="C321" s="100" t="s">
        <v>1583</v>
      </c>
      <c r="D321" s="99" t="s">
        <v>1467</v>
      </c>
      <c r="E321" s="20">
        <v>1408</v>
      </c>
      <c r="F321" s="20">
        <f t="shared" si="25"/>
        <v>8.2500000000000018</v>
      </c>
      <c r="G321" s="19">
        <f t="shared" si="24"/>
        <v>11616.000000000002</v>
      </c>
      <c r="H321" s="19">
        <f t="shared" si="26"/>
        <v>40127.472000000002</v>
      </c>
      <c r="I321" s="114" t="s">
        <v>1523</v>
      </c>
      <c r="J321" s="210">
        <f>VLOOKUP(I321,'Reajuste Atual'!$L$19:$M$25,2,FALSE)</f>
        <v>2.4544999999999999</v>
      </c>
      <c r="K321" s="190"/>
      <c r="L321" s="20">
        <v>11.55</v>
      </c>
      <c r="M321" s="765">
        <f t="shared" si="28"/>
        <v>8.2500000000000018</v>
      </c>
      <c r="N321" s="765">
        <f t="shared" si="27"/>
        <v>8.4</v>
      </c>
      <c r="O321" s="765">
        <f t="shared" si="29"/>
        <v>8.2500000000000018</v>
      </c>
    </row>
    <row r="322" spans="1:15" s="98" customFormat="1" outlineLevel="1">
      <c r="A322" s="141" t="s">
        <v>3478</v>
      </c>
      <c r="B322" s="114" t="s">
        <v>583</v>
      </c>
      <c r="C322" s="100" t="s">
        <v>2006</v>
      </c>
      <c r="D322" s="99" t="s">
        <v>1467</v>
      </c>
      <c r="E322" s="20">
        <v>79.2</v>
      </c>
      <c r="F322" s="20">
        <f t="shared" si="25"/>
        <v>45.142857142857146</v>
      </c>
      <c r="G322" s="19">
        <f t="shared" si="24"/>
        <v>3575.3142857142861</v>
      </c>
      <c r="H322" s="19">
        <f t="shared" si="26"/>
        <v>16253.378742857143</v>
      </c>
      <c r="I322" s="114" t="s">
        <v>1522</v>
      </c>
      <c r="J322" s="210">
        <f>VLOOKUP(I322,'Reajuste Atual'!$L$19:$M$25,2,FALSE)</f>
        <v>3.5459999999999998</v>
      </c>
      <c r="K322" s="190"/>
      <c r="L322" s="20">
        <v>63.2</v>
      </c>
      <c r="M322" s="765">
        <f t="shared" si="28"/>
        <v>45.142857142857146</v>
      </c>
      <c r="N322" s="765">
        <f t="shared" si="27"/>
        <v>45.963636363636368</v>
      </c>
      <c r="O322" s="765">
        <f t="shared" si="29"/>
        <v>45.142857142857146</v>
      </c>
    </row>
    <row r="323" spans="1:15" s="98" customFormat="1" outlineLevel="1">
      <c r="A323" s="141" t="s">
        <v>3478</v>
      </c>
      <c r="B323" s="114" t="s">
        <v>584</v>
      </c>
      <c r="C323" s="100" t="s">
        <v>2007</v>
      </c>
      <c r="D323" s="99" t="s">
        <v>1472</v>
      </c>
      <c r="E323" s="20">
        <v>44</v>
      </c>
      <c r="F323" s="20">
        <f t="shared" si="25"/>
        <v>86.392857142857153</v>
      </c>
      <c r="G323" s="19">
        <f t="shared" si="24"/>
        <v>3801.2857142857147</v>
      </c>
      <c r="H323" s="19">
        <f t="shared" si="26"/>
        <v>17280.644857142855</v>
      </c>
      <c r="I323" s="114" t="s">
        <v>1522</v>
      </c>
      <c r="J323" s="210">
        <f>VLOOKUP(I323,'Reajuste Atual'!$L$19:$M$25,2,FALSE)</f>
        <v>3.5459999999999998</v>
      </c>
      <c r="K323" s="190"/>
      <c r="L323" s="20">
        <v>120.95</v>
      </c>
      <c r="M323" s="765">
        <f t="shared" si="28"/>
        <v>86.392857142857153</v>
      </c>
      <c r="N323" s="765">
        <f t="shared" si="27"/>
        <v>87.963636363636368</v>
      </c>
      <c r="O323" s="765">
        <f t="shared" si="29"/>
        <v>86.392857142857153</v>
      </c>
    </row>
    <row r="324" spans="1:15" s="98" customFormat="1" outlineLevel="1">
      <c r="A324" s="141" t="s">
        <v>3478</v>
      </c>
      <c r="B324" s="114" t="s">
        <v>2824</v>
      </c>
      <c r="C324" s="100" t="s">
        <v>2825</v>
      </c>
      <c r="D324" s="181" t="s">
        <v>1468</v>
      </c>
      <c r="E324" s="20">
        <v>16</v>
      </c>
      <c r="F324" s="20">
        <f t="shared" si="25"/>
        <v>2352.4148627238628</v>
      </c>
      <c r="G324" s="19">
        <f t="shared" si="24"/>
        <v>37638.637803581805</v>
      </c>
      <c r="H324" s="19">
        <f t="shared" si="26"/>
        <v>154521.66363882471</v>
      </c>
      <c r="I324" s="114" t="s">
        <v>1521</v>
      </c>
      <c r="J324" s="210">
        <f>VLOOKUP(I324,'Reajuste Atual'!$L$19:$M$25,2,FALSE)</f>
        <v>3.1053999999999999</v>
      </c>
      <c r="K324" s="190"/>
      <c r="L324" s="20">
        <v>3293.3808078134075</v>
      </c>
      <c r="M324" s="765">
        <f t="shared" si="28"/>
        <v>2352.4148627238628</v>
      </c>
      <c r="N324" s="765">
        <f t="shared" si="27"/>
        <v>2395.1860420461144</v>
      </c>
      <c r="O324" s="765">
        <f t="shared" si="29"/>
        <v>2352.4148627238628</v>
      </c>
    </row>
    <row r="325" spans="1:15" s="98" customFormat="1" outlineLevel="1">
      <c r="A325" s="141" t="s">
        <v>3478</v>
      </c>
      <c r="B325" s="114" t="s">
        <v>2826</v>
      </c>
      <c r="C325" s="119" t="s">
        <v>2827</v>
      </c>
      <c r="D325" s="181" t="s">
        <v>1468</v>
      </c>
      <c r="E325" s="20">
        <v>16</v>
      </c>
      <c r="F325" s="20">
        <f t="shared" si="25"/>
        <v>32.792857142857144</v>
      </c>
      <c r="G325" s="19">
        <f t="shared" si="24"/>
        <v>524.68571428571431</v>
      </c>
      <c r="H325" s="19">
        <f t="shared" si="26"/>
        <v>2154.0447314285711</v>
      </c>
      <c r="I325" s="114" t="s">
        <v>1521</v>
      </c>
      <c r="J325" s="210">
        <f>VLOOKUP(I325,'Reajuste Atual'!$L$19:$M$25,2,FALSE)</f>
        <v>3.1053999999999999</v>
      </c>
      <c r="K325" s="190"/>
      <c r="L325" s="20">
        <v>45.91</v>
      </c>
      <c r="M325" s="765">
        <f t="shared" si="28"/>
        <v>32.792857142857144</v>
      </c>
      <c r="N325" s="765">
        <f t="shared" si="27"/>
        <v>33.389090909090903</v>
      </c>
      <c r="O325" s="765">
        <f t="shared" si="29"/>
        <v>32.792857142857144</v>
      </c>
    </row>
    <row r="326" spans="1:15" s="98" customFormat="1" outlineLevel="1">
      <c r="A326" s="141" t="s">
        <v>3478</v>
      </c>
      <c r="B326" s="114" t="s">
        <v>2828</v>
      </c>
      <c r="C326" s="119" t="s">
        <v>2829</v>
      </c>
      <c r="D326" s="181" t="s">
        <v>1468</v>
      </c>
      <c r="E326" s="20">
        <v>16</v>
      </c>
      <c r="F326" s="20">
        <f t="shared" si="25"/>
        <v>739.89193304196488</v>
      </c>
      <c r="G326" s="19">
        <f t="shared" si="24"/>
        <v>11838.270928671438</v>
      </c>
      <c r="H326" s="19">
        <f t="shared" si="26"/>
        <v>48600.837470567712</v>
      </c>
      <c r="I326" s="114" t="s">
        <v>1521</v>
      </c>
      <c r="J326" s="210">
        <f>VLOOKUP(I326,'Reajuste Atual'!$L$19:$M$25,2,FALSE)</f>
        <v>3.1053999999999999</v>
      </c>
      <c r="K326" s="190"/>
      <c r="L326" s="20">
        <v>1035.8487062587508</v>
      </c>
      <c r="M326" s="765">
        <f t="shared" si="28"/>
        <v>739.89193304196488</v>
      </c>
      <c r="N326" s="765">
        <f t="shared" si="27"/>
        <v>753.34451364272786</v>
      </c>
      <c r="O326" s="765">
        <f t="shared" si="29"/>
        <v>739.89193304196488</v>
      </c>
    </row>
    <row r="327" spans="1:15" s="98" customFormat="1" outlineLevel="1">
      <c r="A327" s="141" t="s">
        <v>3478</v>
      </c>
      <c r="B327" s="114" t="s">
        <v>2830</v>
      </c>
      <c r="C327" s="119" t="s">
        <v>2831</v>
      </c>
      <c r="D327" s="99" t="s">
        <v>1470</v>
      </c>
      <c r="E327" s="20">
        <v>372.786</v>
      </c>
      <c r="F327" s="20">
        <f t="shared" si="25"/>
        <v>15.607142857142859</v>
      </c>
      <c r="G327" s="19">
        <f t="shared" si="24"/>
        <v>5818.1243571428577</v>
      </c>
      <c r="H327" s="19">
        <f t="shared" si="26"/>
        <v>26449.193327571429</v>
      </c>
      <c r="I327" s="114" t="s">
        <v>1522</v>
      </c>
      <c r="J327" s="210">
        <f>VLOOKUP(I327,'Reajuste Atual'!$L$19:$M$25,2,FALSE)</f>
        <v>3.5459999999999998</v>
      </c>
      <c r="K327" s="190"/>
      <c r="L327" s="20">
        <v>21.85</v>
      </c>
      <c r="M327" s="765">
        <f t="shared" si="28"/>
        <v>15.607142857142859</v>
      </c>
      <c r="N327" s="765">
        <f t="shared" si="27"/>
        <v>15.890909090909092</v>
      </c>
      <c r="O327" s="765">
        <f t="shared" si="29"/>
        <v>15.607142857142859</v>
      </c>
    </row>
    <row r="328" spans="1:15" s="98" customFormat="1" outlineLevel="1">
      <c r="A328" s="141" t="s">
        <v>3478</v>
      </c>
      <c r="B328" s="114" t="s">
        <v>2832</v>
      </c>
      <c r="C328" s="119" t="s">
        <v>1420</v>
      </c>
      <c r="D328" s="181" t="s">
        <v>1472</v>
      </c>
      <c r="E328" s="20">
        <v>6.4</v>
      </c>
      <c r="F328" s="20">
        <f t="shared" si="25"/>
        <v>310.2928571428572</v>
      </c>
      <c r="G328" s="19">
        <f t="shared" si="24"/>
        <v>1985.8742857142861</v>
      </c>
      <c r="H328" s="19">
        <f t="shared" si="26"/>
        <v>9027.7845028571428</v>
      </c>
      <c r="I328" s="114" t="s">
        <v>1522</v>
      </c>
      <c r="J328" s="210">
        <f>VLOOKUP(I328,'Reajuste Atual'!$L$19:$M$25,2,FALSE)</f>
        <v>3.5459999999999998</v>
      </c>
      <c r="K328" s="190"/>
      <c r="L328" s="20">
        <v>434.41</v>
      </c>
      <c r="M328" s="765">
        <f t="shared" si="28"/>
        <v>310.2928571428572</v>
      </c>
      <c r="N328" s="765">
        <f t="shared" si="27"/>
        <v>315.93454545454546</v>
      </c>
      <c r="O328" s="765">
        <f t="shared" si="29"/>
        <v>310.2928571428572</v>
      </c>
    </row>
    <row r="329" spans="1:15" s="98" customFormat="1" outlineLevel="1">
      <c r="A329" s="141" t="s">
        <v>3478</v>
      </c>
      <c r="B329" s="114" t="s">
        <v>2833</v>
      </c>
      <c r="C329" s="119" t="s">
        <v>2834</v>
      </c>
      <c r="D329" s="181" t="s">
        <v>1468</v>
      </c>
      <c r="E329" s="20">
        <v>16</v>
      </c>
      <c r="F329" s="20">
        <f t="shared" si="25"/>
        <v>218.07857142857145</v>
      </c>
      <c r="G329" s="19">
        <f t="shared" si="24"/>
        <v>3489.2571428571432</v>
      </c>
      <c r="H329" s="19">
        <f t="shared" si="26"/>
        <v>14324.796274285714</v>
      </c>
      <c r="I329" s="114" t="s">
        <v>1521</v>
      </c>
      <c r="J329" s="210">
        <f>VLOOKUP(I329,'Reajuste Atual'!$L$19:$M$25,2,FALSE)</f>
        <v>3.1053999999999999</v>
      </c>
      <c r="K329" s="190"/>
      <c r="L329" s="20">
        <v>305.31</v>
      </c>
      <c r="M329" s="765">
        <f t="shared" si="28"/>
        <v>218.07857142857145</v>
      </c>
      <c r="N329" s="765">
        <f t="shared" si="27"/>
        <v>222.04363636363635</v>
      </c>
      <c r="O329" s="765">
        <f t="shared" si="29"/>
        <v>218.07857142857145</v>
      </c>
    </row>
    <row r="330" spans="1:15" s="98" customFormat="1" outlineLevel="1">
      <c r="A330" s="141" t="s">
        <v>3478</v>
      </c>
      <c r="B330" s="114" t="s">
        <v>2835</v>
      </c>
      <c r="C330" s="119" t="s">
        <v>2836</v>
      </c>
      <c r="D330" s="181" t="s">
        <v>1468</v>
      </c>
      <c r="E330" s="20">
        <v>16</v>
      </c>
      <c r="F330" s="20">
        <f t="shared" si="25"/>
        <v>109.70000000000002</v>
      </c>
      <c r="G330" s="19">
        <f t="shared" si="24"/>
        <v>1755.2000000000003</v>
      </c>
      <c r="H330" s="19">
        <f t="shared" si="26"/>
        <v>7205.7980800000005</v>
      </c>
      <c r="I330" s="114" t="s">
        <v>1521</v>
      </c>
      <c r="J330" s="210">
        <f>VLOOKUP(I330,'Reajuste Atual'!$L$19:$M$25,2,FALSE)</f>
        <v>3.1053999999999999</v>
      </c>
      <c r="K330" s="190"/>
      <c r="L330" s="20">
        <v>153.58000000000001</v>
      </c>
      <c r="M330" s="765">
        <f t="shared" si="28"/>
        <v>109.70000000000002</v>
      </c>
      <c r="N330" s="765">
        <f t="shared" si="27"/>
        <v>111.69454545454546</v>
      </c>
      <c r="O330" s="765">
        <f t="shared" si="29"/>
        <v>109.70000000000002</v>
      </c>
    </row>
    <row r="331" spans="1:15" s="98" customFormat="1" ht="31.5" outlineLevel="1">
      <c r="A331" s="141" t="s">
        <v>3478</v>
      </c>
      <c r="B331" s="114" t="s">
        <v>2837</v>
      </c>
      <c r="C331" s="119" t="s">
        <v>1791</v>
      </c>
      <c r="D331" s="181" t="s">
        <v>1468</v>
      </c>
      <c r="E331" s="20">
        <v>1</v>
      </c>
      <c r="F331" s="20">
        <f t="shared" si="25"/>
        <v>123.48571428571429</v>
      </c>
      <c r="G331" s="19">
        <f t="shared" si="24"/>
        <v>123.48571428571429</v>
      </c>
      <c r="H331" s="19">
        <f t="shared" si="26"/>
        <v>506.95825142857143</v>
      </c>
      <c r="I331" s="114" t="s">
        <v>1521</v>
      </c>
      <c r="J331" s="210">
        <f>VLOOKUP(I331,'Reajuste Atual'!$L$19:$M$25,2,FALSE)</f>
        <v>3.1053999999999999</v>
      </c>
      <c r="K331" s="190"/>
      <c r="L331" s="20">
        <v>172.88</v>
      </c>
      <c r="M331" s="765">
        <f t="shared" si="28"/>
        <v>123.48571428571429</v>
      </c>
      <c r="N331" s="765">
        <f t="shared" si="27"/>
        <v>125.73090909090909</v>
      </c>
      <c r="O331" s="765">
        <f t="shared" si="29"/>
        <v>123.48571428571429</v>
      </c>
    </row>
    <row r="332" spans="1:15" s="98" customFormat="1" outlineLevel="1">
      <c r="A332" s="141" t="s">
        <v>3478</v>
      </c>
      <c r="B332" s="114" t="s">
        <v>2838</v>
      </c>
      <c r="C332" s="100" t="s">
        <v>2839</v>
      </c>
      <c r="D332" s="181" t="s">
        <v>1468</v>
      </c>
      <c r="E332" s="20">
        <v>8</v>
      </c>
      <c r="F332" s="20">
        <f t="shared" si="25"/>
        <v>2317.6927272275066</v>
      </c>
      <c r="G332" s="19">
        <f t="shared" si="24"/>
        <v>18541.541817820053</v>
      </c>
      <c r="H332" s="19">
        <f t="shared" si="26"/>
        <v>76120.445778878435</v>
      </c>
      <c r="I332" s="114" t="s">
        <v>1521</v>
      </c>
      <c r="J332" s="210">
        <f>VLOOKUP(I332,'Reajuste Atual'!$L$19:$M$25,2,FALSE)</f>
        <v>3.1053999999999999</v>
      </c>
      <c r="K332" s="190"/>
      <c r="L332" s="20">
        <v>3244.7698181185092</v>
      </c>
      <c r="M332" s="765">
        <f t="shared" si="28"/>
        <v>2317.6927272275066</v>
      </c>
      <c r="N332" s="765">
        <f t="shared" si="27"/>
        <v>2359.8325949952796</v>
      </c>
      <c r="O332" s="765">
        <f t="shared" si="29"/>
        <v>2317.6927272275066</v>
      </c>
    </row>
    <row r="333" spans="1:15" s="98" customFormat="1" ht="31.5" outlineLevel="1">
      <c r="A333" s="141" t="s">
        <v>3478</v>
      </c>
      <c r="B333" s="114" t="s">
        <v>2840</v>
      </c>
      <c r="C333" s="119" t="s">
        <v>1590</v>
      </c>
      <c r="D333" s="181" t="s">
        <v>1468</v>
      </c>
      <c r="E333" s="20">
        <v>156</v>
      </c>
      <c r="F333" s="20">
        <f t="shared" si="25"/>
        <v>54.5</v>
      </c>
      <c r="G333" s="19">
        <f t="shared" si="24"/>
        <v>8502</v>
      </c>
      <c r="H333" s="19">
        <f t="shared" si="26"/>
        <v>34904.110799999995</v>
      </c>
      <c r="I333" s="114" t="s">
        <v>1521</v>
      </c>
      <c r="J333" s="210">
        <f>VLOOKUP(I333,'Reajuste Atual'!$L$19:$M$25,2,FALSE)</f>
        <v>3.1053999999999999</v>
      </c>
      <c r="K333" s="190"/>
      <c r="L333" s="20">
        <v>76.3</v>
      </c>
      <c r="M333" s="765">
        <f t="shared" si="28"/>
        <v>54.5</v>
      </c>
      <c r="N333" s="765">
        <f t="shared" si="27"/>
        <v>55.490909090909092</v>
      </c>
      <c r="O333" s="765">
        <f t="shared" si="29"/>
        <v>54.5</v>
      </c>
    </row>
    <row r="334" spans="1:15" s="98" customFormat="1" outlineLevel="1">
      <c r="B334" s="115" t="s">
        <v>585</v>
      </c>
      <c r="C334" s="103" t="s">
        <v>1432</v>
      </c>
      <c r="D334" s="95"/>
      <c r="E334" s="64"/>
      <c r="F334" s="64">
        <f t="shared" si="25"/>
        <v>0</v>
      </c>
      <c r="G334" s="64">
        <f>SUM(G335:G672)</f>
        <v>8773515.6859108508</v>
      </c>
      <c r="H334" s="64">
        <f>SUM(H335:H672)</f>
        <v>36018791.296938375</v>
      </c>
      <c r="I334" s="111"/>
      <c r="J334" s="86"/>
      <c r="K334" s="191"/>
      <c r="L334" s="20">
        <v>0</v>
      </c>
      <c r="M334" s="765">
        <f t="shared" si="28"/>
        <v>0</v>
      </c>
      <c r="N334" s="765">
        <f t="shared" si="27"/>
        <v>0</v>
      </c>
      <c r="O334" s="765">
        <f t="shared" si="29"/>
        <v>0</v>
      </c>
    </row>
    <row r="335" spans="1:15" s="98" customFormat="1" ht="31.5" outlineLevel="1">
      <c r="A335" s="141" t="s">
        <v>3483</v>
      </c>
      <c r="B335" s="114" t="s">
        <v>586</v>
      </c>
      <c r="C335" s="100" t="s">
        <v>2008</v>
      </c>
      <c r="D335" s="181" t="s">
        <v>1468</v>
      </c>
      <c r="E335" s="491">
        <v>16</v>
      </c>
      <c r="F335" s="20">
        <f t="shared" si="25"/>
        <v>45550.218181818185</v>
      </c>
      <c r="G335" s="19">
        <f t="shared" ref="G335:G377" si="30">E335*F335</f>
        <v>728803.49090909096</v>
      </c>
      <c r="H335" s="19">
        <f t="shared" ref="H335:H377" si="31">G335*(1+J335)</f>
        <v>2992029.8515781816</v>
      </c>
      <c r="I335" s="114" t="s">
        <v>1521</v>
      </c>
      <c r="J335" s="210">
        <f>VLOOKUP(I335,'Reajuste Atual'!$L$19:$M$25,2,FALSE)</f>
        <v>3.1053999999999999</v>
      </c>
      <c r="K335" s="190"/>
      <c r="L335" s="20">
        <v>62631.55</v>
      </c>
      <c r="M335" s="765">
        <f t="shared" si="28"/>
        <v>44736.821428571435</v>
      </c>
      <c r="N335" s="765">
        <f t="shared" si="27"/>
        <v>45550.218181818185</v>
      </c>
      <c r="O335" s="765">
        <f t="shared" si="29"/>
        <v>45550.218181818185</v>
      </c>
    </row>
    <row r="336" spans="1:15" s="98" customFormat="1" ht="31.5" outlineLevel="1">
      <c r="A336" s="141" t="s">
        <v>3483</v>
      </c>
      <c r="B336" s="114" t="s">
        <v>587</v>
      </c>
      <c r="C336" s="100" t="s">
        <v>2009</v>
      </c>
      <c r="D336" s="181" t="s">
        <v>1468</v>
      </c>
      <c r="E336" s="850">
        <v>0</v>
      </c>
      <c r="F336" s="20">
        <f t="shared" si="25"/>
        <v>19324.821818181819</v>
      </c>
      <c r="G336" s="19">
        <f t="shared" si="30"/>
        <v>0</v>
      </c>
      <c r="H336" s="19">
        <f t="shared" si="31"/>
        <v>0</v>
      </c>
      <c r="I336" s="114" t="s">
        <v>1521</v>
      </c>
      <c r="J336" s="210">
        <f>VLOOKUP(I336,'Reajuste Atual'!$L$19:$M$25,2,FALSE)</f>
        <v>3.1053999999999999</v>
      </c>
      <c r="K336" s="190"/>
      <c r="L336" s="20">
        <v>26571.63</v>
      </c>
      <c r="M336" s="765">
        <f t="shared" si="28"/>
        <v>18979.735714285714</v>
      </c>
      <c r="N336" s="765">
        <f t="shared" si="27"/>
        <v>19324.821818181819</v>
      </c>
      <c r="O336" s="765">
        <f t="shared" si="29"/>
        <v>19324.821818181819</v>
      </c>
    </row>
    <row r="337" spans="1:15" s="98" customFormat="1" ht="31.5" outlineLevel="1">
      <c r="A337" s="141" t="s">
        <v>3483</v>
      </c>
      <c r="B337" s="114" t="s">
        <v>588</v>
      </c>
      <c r="C337" s="100" t="s">
        <v>2010</v>
      </c>
      <c r="D337" s="181" t="s">
        <v>1468</v>
      </c>
      <c r="E337" s="850">
        <v>0</v>
      </c>
      <c r="F337" s="20">
        <f t="shared" si="25"/>
        <v>10900.327272727272</v>
      </c>
      <c r="G337" s="19">
        <f t="shared" si="30"/>
        <v>0</v>
      </c>
      <c r="H337" s="19">
        <f t="shared" si="31"/>
        <v>0</v>
      </c>
      <c r="I337" s="114" t="s">
        <v>1521</v>
      </c>
      <c r="J337" s="210">
        <f>VLOOKUP(I337,'Reajuste Atual'!$L$19:$M$25,2,FALSE)</f>
        <v>3.1053999999999999</v>
      </c>
      <c r="K337" s="190"/>
      <c r="L337" s="20">
        <v>14987.95</v>
      </c>
      <c r="M337" s="765">
        <f t="shared" si="28"/>
        <v>10705.678571428572</v>
      </c>
      <c r="N337" s="765">
        <f t="shared" si="27"/>
        <v>10900.327272727272</v>
      </c>
      <c r="O337" s="765">
        <f t="shared" si="29"/>
        <v>10900.327272727272</v>
      </c>
    </row>
    <row r="338" spans="1:15" s="98" customFormat="1" outlineLevel="1">
      <c r="A338" s="141" t="s">
        <v>3483</v>
      </c>
      <c r="B338" s="114" t="s">
        <v>589</v>
      </c>
      <c r="C338" s="100" t="s">
        <v>2011</v>
      </c>
      <c r="D338" s="181" t="s">
        <v>1468</v>
      </c>
      <c r="E338" s="491">
        <v>4</v>
      </c>
      <c r="F338" s="20">
        <f t="shared" si="25"/>
        <v>437.56363636363636</v>
      </c>
      <c r="G338" s="19">
        <f t="shared" si="30"/>
        <v>1750.2545454545455</v>
      </c>
      <c r="H338" s="19">
        <f t="shared" si="31"/>
        <v>7185.4950109090896</v>
      </c>
      <c r="I338" s="114" t="s">
        <v>1521</v>
      </c>
      <c r="J338" s="210">
        <f>VLOOKUP(I338,'Reajuste Atual'!$L$19:$M$25,2,FALSE)</f>
        <v>3.1053999999999999</v>
      </c>
      <c r="K338" s="190"/>
      <c r="L338" s="20">
        <v>601.65</v>
      </c>
      <c r="M338" s="765">
        <f t="shared" si="28"/>
        <v>429.75</v>
      </c>
      <c r="N338" s="765">
        <f t="shared" si="27"/>
        <v>437.56363636363636</v>
      </c>
      <c r="O338" s="765">
        <f t="shared" si="29"/>
        <v>437.56363636363636</v>
      </c>
    </row>
    <row r="339" spans="1:15" s="98" customFormat="1" outlineLevel="1">
      <c r="A339" s="141" t="s">
        <v>3483</v>
      </c>
      <c r="B339" s="114" t="s">
        <v>590</v>
      </c>
      <c r="C339" s="100" t="s">
        <v>2012</v>
      </c>
      <c r="D339" s="181" t="s">
        <v>1468</v>
      </c>
      <c r="E339" s="491">
        <v>4</v>
      </c>
      <c r="F339" s="20">
        <f t="shared" si="25"/>
        <v>810.04363636363632</v>
      </c>
      <c r="G339" s="19">
        <f t="shared" si="30"/>
        <v>3240.1745454545453</v>
      </c>
      <c r="H339" s="19">
        <f t="shared" si="31"/>
        <v>13302.212578909088</v>
      </c>
      <c r="I339" s="114" t="s">
        <v>1521</v>
      </c>
      <c r="J339" s="210">
        <f>VLOOKUP(I339,'Reajuste Atual'!$L$19:$M$25,2,FALSE)</f>
        <v>3.1053999999999999</v>
      </c>
      <c r="K339" s="190"/>
      <c r="L339" s="20">
        <v>1113.81</v>
      </c>
      <c r="M339" s="765">
        <f t="shared" si="28"/>
        <v>795.57857142857142</v>
      </c>
      <c r="N339" s="765">
        <f t="shared" si="27"/>
        <v>810.04363636363632</v>
      </c>
      <c r="O339" s="765">
        <f t="shared" si="29"/>
        <v>810.04363636363632</v>
      </c>
    </row>
    <row r="340" spans="1:15" s="98" customFormat="1" outlineLevel="1">
      <c r="A340" s="141" t="s">
        <v>3483</v>
      </c>
      <c r="B340" s="114" t="s">
        <v>591</v>
      </c>
      <c r="C340" s="100" t="s">
        <v>2013</v>
      </c>
      <c r="D340" s="181" t="s">
        <v>1468</v>
      </c>
      <c r="E340" s="491">
        <v>4</v>
      </c>
      <c r="F340" s="20">
        <f t="shared" si="25"/>
        <v>9415.9345454545455</v>
      </c>
      <c r="G340" s="19">
        <f t="shared" si="30"/>
        <v>37663.738181818182</v>
      </c>
      <c r="H340" s="19">
        <f t="shared" si="31"/>
        <v>154624.71073163635</v>
      </c>
      <c r="I340" s="114" t="s">
        <v>1521</v>
      </c>
      <c r="J340" s="210">
        <f>VLOOKUP(I340,'Reajuste Atual'!$L$19:$M$25,2,FALSE)</f>
        <v>3.1053999999999999</v>
      </c>
      <c r="K340" s="190"/>
      <c r="L340" s="20">
        <v>12946.91</v>
      </c>
      <c r="M340" s="765">
        <f t="shared" si="28"/>
        <v>9247.7928571428583</v>
      </c>
      <c r="N340" s="765">
        <f t="shared" si="27"/>
        <v>9415.9345454545455</v>
      </c>
      <c r="O340" s="765">
        <f t="shared" si="29"/>
        <v>9415.9345454545455</v>
      </c>
    </row>
    <row r="341" spans="1:15" s="98" customFormat="1" ht="31.5" outlineLevel="1">
      <c r="A341" s="141" t="s">
        <v>3483</v>
      </c>
      <c r="B341" s="114" t="s">
        <v>592</v>
      </c>
      <c r="C341" s="100" t="s">
        <v>2014</v>
      </c>
      <c r="D341" s="181" t="s">
        <v>1468</v>
      </c>
      <c r="E341" s="491">
        <v>0</v>
      </c>
      <c r="F341" s="20">
        <f t="shared" si="25"/>
        <v>3544.8072727272724</v>
      </c>
      <c r="G341" s="19">
        <f t="shared" si="30"/>
        <v>0</v>
      </c>
      <c r="H341" s="19">
        <f t="shared" si="31"/>
        <v>0</v>
      </c>
      <c r="I341" s="114" t="s">
        <v>1521</v>
      </c>
      <c r="J341" s="210">
        <f>VLOOKUP(I341,'Reajuste Atual'!$L$19:$M$25,2,FALSE)</f>
        <v>3.1053999999999999</v>
      </c>
      <c r="K341" s="190"/>
      <c r="L341" s="20">
        <v>4874.1099999999997</v>
      </c>
      <c r="M341" s="765">
        <f t="shared" si="28"/>
        <v>3481.5071428571428</v>
      </c>
      <c r="N341" s="765">
        <f t="shared" si="27"/>
        <v>3544.8072727272724</v>
      </c>
      <c r="O341" s="765">
        <f t="shared" si="29"/>
        <v>3544.8072727272724</v>
      </c>
    </row>
    <row r="342" spans="1:15" s="98" customFormat="1" ht="31.5" outlineLevel="1">
      <c r="A342" s="141" t="s">
        <v>3483</v>
      </c>
      <c r="B342" s="114" t="s">
        <v>593</v>
      </c>
      <c r="C342" s="100" t="s">
        <v>2015</v>
      </c>
      <c r="D342" s="181" t="s">
        <v>1468</v>
      </c>
      <c r="E342" s="491">
        <v>16</v>
      </c>
      <c r="F342" s="20">
        <f t="shared" si="25"/>
        <v>566.46545454545458</v>
      </c>
      <c r="G342" s="19">
        <f t="shared" si="30"/>
        <v>9063.4472727272732</v>
      </c>
      <c r="H342" s="19">
        <f t="shared" si="31"/>
        <v>37209.076433454546</v>
      </c>
      <c r="I342" s="114" t="s">
        <v>1521</v>
      </c>
      <c r="J342" s="210">
        <f>VLOOKUP(I342,'Reajuste Atual'!$L$19:$M$25,2,FALSE)</f>
        <v>3.1053999999999999</v>
      </c>
      <c r="K342" s="190"/>
      <c r="L342" s="20">
        <v>778.89</v>
      </c>
      <c r="M342" s="765">
        <f t="shared" si="28"/>
        <v>556.35</v>
      </c>
      <c r="N342" s="765">
        <f t="shared" si="27"/>
        <v>566.46545454545458</v>
      </c>
      <c r="O342" s="765">
        <f t="shared" si="29"/>
        <v>566.46545454545458</v>
      </c>
    </row>
    <row r="343" spans="1:15" s="98" customFormat="1" ht="31.5" outlineLevel="1">
      <c r="A343" s="141" t="s">
        <v>3483</v>
      </c>
      <c r="B343" s="114" t="s">
        <v>594</v>
      </c>
      <c r="C343" s="100" t="s">
        <v>2016</v>
      </c>
      <c r="D343" s="181" t="s">
        <v>1468</v>
      </c>
      <c r="E343" s="491">
        <v>4</v>
      </c>
      <c r="F343" s="20">
        <f t="shared" si="25"/>
        <v>522.4</v>
      </c>
      <c r="G343" s="19">
        <f t="shared" si="30"/>
        <v>2089.6</v>
      </c>
      <c r="H343" s="19">
        <f t="shared" si="31"/>
        <v>8578.6438399999988</v>
      </c>
      <c r="I343" s="114" t="s">
        <v>1521</v>
      </c>
      <c r="J343" s="210">
        <f>VLOOKUP(I343,'Reajuste Atual'!$L$19:$M$25,2,FALSE)</f>
        <v>3.1053999999999999</v>
      </c>
      <c r="K343" s="190"/>
      <c r="L343" s="20">
        <v>718.3</v>
      </c>
      <c r="M343" s="765">
        <f t="shared" si="28"/>
        <v>513.07142857142856</v>
      </c>
      <c r="N343" s="765">
        <f t="shared" si="27"/>
        <v>522.4</v>
      </c>
      <c r="O343" s="765">
        <f t="shared" si="29"/>
        <v>522.4</v>
      </c>
    </row>
    <row r="344" spans="1:15" s="98" customFormat="1" ht="31.5" outlineLevel="1">
      <c r="A344" s="141" t="s">
        <v>3483</v>
      </c>
      <c r="B344" s="114" t="s">
        <v>595</v>
      </c>
      <c r="C344" s="100" t="s">
        <v>2017</v>
      </c>
      <c r="D344" s="181" t="s">
        <v>1468</v>
      </c>
      <c r="E344" s="491">
        <v>8</v>
      </c>
      <c r="F344" s="20">
        <f t="shared" si="25"/>
        <v>232.87272727272727</v>
      </c>
      <c r="G344" s="19">
        <f t="shared" si="30"/>
        <v>1862.9818181818182</v>
      </c>
      <c r="H344" s="19">
        <f t="shared" si="31"/>
        <v>7648.2855563636358</v>
      </c>
      <c r="I344" s="114" t="s">
        <v>1521</v>
      </c>
      <c r="J344" s="210">
        <f>VLOOKUP(I344,'Reajuste Atual'!$L$19:$M$25,2,FALSE)</f>
        <v>3.1053999999999999</v>
      </c>
      <c r="K344" s="190"/>
      <c r="L344" s="20">
        <v>320.2</v>
      </c>
      <c r="M344" s="765">
        <f t="shared" si="28"/>
        <v>228.71428571428572</v>
      </c>
      <c r="N344" s="765">
        <f t="shared" si="27"/>
        <v>232.87272727272727</v>
      </c>
      <c r="O344" s="765">
        <f t="shared" si="29"/>
        <v>232.87272727272727</v>
      </c>
    </row>
    <row r="345" spans="1:15" s="98" customFormat="1" ht="31.5" outlineLevel="1">
      <c r="A345" s="141" t="s">
        <v>3483</v>
      </c>
      <c r="B345" s="114" t="s">
        <v>596</v>
      </c>
      <c r="C345" s="100" t="s">
        <v>2018</v>
      </c>
      <c r="D345" s="181" t="s">
        <v>1468</v>
      </c>
      <c r="E345" s="491">
        <v>12</v>
      </c>
      <c r="F345" s="20">
        <f t="shared" si="25"/>
        <v>969.28</v>
      </c>
      <c r="G345" s="19">
        <f t="shared" si="30"/>
        <v>11631.36</v>
      </c>
      <c r="H345" s="19">
        <f t="shared" si="31"/>
        <v>47751.385343999995</v>
      </c>
      <c r="I345" s="114" t="s">
        <v>1521</v>
      </c>
      <c r="J345" s="210">
        <f>VLOOKUP(I345,'Reajuste Atual'!$L$19:$M$25,2,FALSE)</f>
        <v>3.1053999999999999</v>
      </c>
      <c r="K345" s="190"/>
      <c r="L345" s="20">
        <v>1332.76</v>
      </c>
      <c r="M345" s="765">
        <f t="shared" si="28"/>
        <v>951.97142857142865</v>
      </c>
      <c r="N345" s="765">
        <f t="shared" si="27"/>
        <v>969.28</v>
      </c>
      <c r="O345" s="765">
        <f t="shared" si="29"/>
        <v>969.28</v>
      </c>
    </row>
    <row r="346" spans="1:15" s="98" customFormat="1" ht="31.5" outlineLevel="1">
      <c r="A346" s="141" t="s">
        <v>3483</v>
      </c>
      <c r="B346" s="114" t="s">
        <v>597</v>
      </c>
      <c r="C346" s="100" t="s">
        <v>2019</v>
      </c>
      <c r="D346" s="181" t="s">
        <v>1468</v>
      </c>
      <c r="E346" s="491">
        <v>16</v>
      </c>
      <c r="F346" s="20">
        <f t="shared" ref="F346:F409" si="32">O346</f>
        <v>629.40363636363634</v>
      </c>
      <c r="G346" s="19">
        <f t="shared" si="30"/>
        <v>10070.458181818181</v>
      </c>
      <c r="H346" s="19">
        <f t="shared" si="31"/>
        <v>41343.25901963636</v>
      </c>
      <c r="I346" s="114" t="s">
        <v>1521</v>
      </c>
      <c r="J346" s="210">
        <f>VLOOKUP(I346,'Reajuste Atual'!$L$19:$M$25,2,FALSE)</f>
        <v>3.1053999999999999</v>
      </c>
      <c r="K346" s="190"/>
      <c r="L346" s="20">
        <v>865.43</v>
      </c>
      <c r="M346" s="765">
        <f t="shared" si="28"/>
        <v>618.16428571428571</v>
      </c>
      <c r="N346" s="765">
        <f t="shared" ref="N346:N409" si="33">L346/($N$23+1)</f>
        <v>629.40363636363634</v>
      </c>
      <c r="O346" s="765">
        <f t="shared" si="29"/>
        <v>629.40363636363634</v>
      </c>
    </row>
    <row r="347" spans="1:15" s="98" customFormat="1" ht="31.5" outlineLevel="1">
      <c r="A347" s="141" t="s">
        <v>3483</v>
      </c>
      <c r="B347" s="114" t="s">
        <v>598</v>
      </c>
      <c r="C347" s="100" t="s">
        <v>2020</v>
      </c>
      <c r="D347" s="181" t="s">
        <v>1468</v>
      </c>
      <c r="E347" s="491">
        <v>8</v>
      </c>
      <c r="F347" s="20">
        <f t="shared" si="32"/>
        <v>251.76000000000002</v>
      </c>
      <c r="G347" s="19">
        <f t="shared" si="30"/>
        <v>2014.0800000000002</v>
      </c>
      <c r="H347" s="19">
        <f t="shared" si="31"/>
        <v>8268.6040319999993</v>
      </c>
      <c r="I347" s="114" t="s">
        <v>1521</v>
      </c>
      <c r="J347" s="210">
        <f>VLOOKUP(I347,'Reajuste Atual'!$L$19:$M$25,2,FALSE)</f>
        <v>3.1053999999999999</v>
      </c>
      <c r="K347" s="190"/>
      <c r="L347" s="20">
        <v>346.17</v>
      </c>
      <c r="M347" s="765">
        <f t="shared" ref="M347:M410" si="34">L347/($M$23+1)</f>
        <v>247.26428571428573</v>
      </c>
      <c r="N347" s="765">
        <f t="shared" si="33"/>
        <v>251.76000000000002</v>
      </c>
      <c r="O347" s="765">
        <f t="shared" si="29"/>
        <v>251.76000000000002</v>
      </c>
    </row>
    <row r="348" spans="1:15" s="98" customFormat="1" ht="31.5" outlineLevel="1">
      <c r="A348" s="141" t="s">
        <v>3483</v>
      </c>
      <c r="B348" s="114" t="s">
        <v>599</v>
      </c>
      <c r="C348" s="100" t="s">
        <v>2021</v>
      </c>
      <c r="D348" s="181" t="s">
        <v>1468</v>
      </c>
      <c r="E348" s="491">
        <v>8</v>
      </c>
      <c r="F348" s="20">
        <f t="shared" si="32"/>
        <v>1875.6363636363637</v>
      </c>
      <c r="G348" s="19">
        <f t="shared" si="30"/>
        <v>15005.09090909091</v>
      </c>
      <c r="H348" s="19">
        <f t="shared" si="31"/>
        <v>61601.900218181814</v>
      </c>
      <c r="I348" s="114" t="s">
        <v>1521</v>
      </c>
      <c r="J348" s="210">
        <f>VLOOKUP(I348,'Reajuste Atual'!$L$19:$M$25,2,FALSE)</f>
        <v>3.1053999999999999</v>
      </c>
      <c r="K348" s="190"/>
      <c r="L348" s="20">
        <v>2579</v>
      </c>
      <c r="M348" s="765">
        <f t="shared" si="34"/>
        <v>1842.1428571428573</v>
      </c>
      <c r="N348" s="765">
        <f t="shared" si="33"/>
        <v>1875.6363636363637</v>
      </c>
      <c r="O348" s="765">
        <f t="shared" ref="O348:O411" si="35">IF(A348="S",M348,N348)</f>
        <v>1875.6363636363637</v>
      </c>
    </row>
    <row r="349" spans="1:15" s="98" customFormat="1" ht="31.5" outlineLevel="1">
      <c r="A349" s="141" t="s">
        <v>3483</v>
      </c>
      <c r="B349" s="114" t="s">
        <v>600</v>
      </c>
      <c r="C349" s="100" t="s">
        <v>2022</v>
      </c>
      <c r="D349" s="181" t="s">
        <v>1468</v>
      </c>
      <c r="E349" s="491">
        <v>12</v>
      </c>
      <c r="F349" s="20">
        <f t="shared" si="32"/>
        <v>1132.9309090909092</v>
      </c>
      <c r="G349" s="19">
        <f t="shared" si="30"/>
        <v>13595.17090909091</v>
      </c>
      <c r="H349" s="19">
        <f t="shared" si="31"/>
        <v>55813.614650181815</v>
      </c>
      <c r="I349" s="114" t="s">
        <v>1521</v>
      </c>
      <c r="J349" s="210">
        <f>VLOOKUP(I349,'Reajuste Atual'!$L$19:$M$25,2,FALSE)</f>
        <v>3.1053999999999999</v>
      </c>
      <c r="K349" s="190"/>
      <c r="L349" s="20">
        <v>1557.78</v>
      </c>
      <c r="M349" s="765">
        <f t="shared" si="34"/>
        <v>1112.7</v>
      </c>
      <c r="N349" s="765">
        <f t="shared" si="33"/>
        <v>1132.9309090909092</v>
      </c>
      <c r="O349" s="765">
        <f t="shared" si="35"/>
        <v>1132.9309090909092</v>
      </c>
    </row>
    <row r="350" spans="1:15" s="98" customFormat="1" ht="31.5" outlineLevel="1">
      <c r="A350" s="141" t="s">
        <v>3483</v>
      </c>
      <c r="B350" s="114" t="s">
        <v>601</v>
      </c>
      <c r="C350" s="100" t="s">
        <v>2023</v>
      </c>
      <c r="D350" s="181" t="s">
        <v>1468</v>
      </c>
      <c r="E350" s="491">
        <v>8</v>
      </c>
      <c r="F350" s="20">
        <f t="shared" si="32"/>
        <v>591.64363636363635</v>
      </c>
      <c r="G350" s="19">
        <f t="shared" si="30"/>
        <v>4733.1490909090908</v>
      </c>
      <c r="H350" s="19">
        <f t="shared" si="31"/>
        <v>19431.470277818178</v>
      </c>
      <c r="I350" s="114" t="s">
        <v>1521</v>
      </c>
      <c r="J350" s="210">
        <f>VLOOKUP(I350,'Reajuste Atual'!$L$19:$M$25,2,FALSE)</f>
        <v>3.1053999999999999</v>
      </c>
      <c r="K350" s="190"/>
      <c r="L350" s="20">
        <v>813.51</v>
      </c>
      <c r="M350" s="765">
        <f t="shared" si="34"/>
        <v>581.07857142857142</v>
      </c>
      <c r="N350" s="765">
        <f t="shared" si="33"/>
        <v>591.64363636363635</v>
      </c>
      <c r="O350" s="765">
        <f t="shared" si="35"/>
        <v>591.64363636363635</v>
      </c>
    </row>
    <row r="351" spans="1:15" s="98" customFormat="1" ht="31.5" outlineLevel="1">
      <c r="A351" s="141" t="s">
        <v>3483</v>
      </c>
      <c r="B351" s="114" t="s">
        <v>602</v>
      </c>
      <c r="C351" s="100" t="s">
        <v>2024</v>
      </c>
      <c r="D351" s="181" t="s">
        <v>1468</v>
      </c>
      <c r="E351" s="491">
        <v>8</v>
      </c>
      <c r="F351" s="20">
        <f t="shared" si="32"/>
        <v>396.53090909090912</v>
      </c>
      <c r="G351" s="19">
        <f t="shared" si="30"/>
        <v>3172.247272727273</v>
      </c>
      <c r="H351" s="19">
        <f t="shared" si="31"/>
        <v>13023.343953454545</v>
      </c>
      <c r="I351" s="114" t="s">
        <v>1521</v>
      </c>
      <c r="J351" s="210">
        <f>VLOOKUP(I351,'Reajuste Atual'!$L$19:$M$25,2,FALSE)</f>
        <v>3.1053999999999999</v>
      </c>
      <c r="K351" s="190"/>
      <c r="L351" s="20">
        <v>545.23</v>
      </c>
      <c r="M351" s="765">
        <f t="shared" si="34"/>
        <v>389.45000000000005</v>
      </c>
      <c r="N351" s="765">
        <f t="shared" si="33"/>
        <v>396.53090909090912</v>
      </c>
      <c r="O351" s="765">
        <f t="shared" si="35"/>
        <v>396.53090909090912</v>
      </c>
    </row>
    <row r="352" spans="1:15" s="98" customFormat="1" outlineLevel="1">
      <c r="A352" s="141" t="s">
        <v>3483</v>
      </c>
      <c r="B352" s="114" t="s">
        <v>603</v>
      </c>
      <c r="C352" s="100" t="s">
        <v>2025</v>
      </c>
      <c r="D352" s="181" t="s">
        <v>1468</v>
      </c>
      <c r="E352" s="491">
        <v>16</v>
      </c>
      <c r="F352" s="20">
        <f t="shared" si="32"/>
        <v>981.86909090909091</v>
      </c>
      <c r="G352" s="19">
        <f t="shared" si="30"/>
        <v>15709.905454545455</v>
      </c>
      <c r="H352" s="19">
        <f t="shared" si="31"/>
        <v>64495.445853090903</v>
      </c>
      <c r="I352" s="114" t="s">
        <v>1521</v>
      </c>
      <c r="J352" s="210">
        <f>VLOOKUP(I352,'Reajuste Atual'!$L$19:$M$25,2,FALSE)</f>
        <v>3.1053999999999999</v>
      </c>
      <c r="K352" s="190"/>
      <c r="L352" s="20">
        <v>1350.07</v>
      </c>
      <c r="M352" s="765">
        <f t="shared" si="34"/>
        <v>964.33571428571429</v>
      </c>
      <c r="N352" s="765">
        <f t="shared" si="33"/>
        <v>981.86909090909091</v>
      </c>
      <c r="O352" s="765">
        <f t="shared" si="35"/>
        <v>981.86909090909091</v>
      </c>
    </row>
    <row r="353" spans="1:15" s="98" customFormat="1" outlineLevel="1">
      <c r="A353" s="141" t="s">
        <v>3483</v>
      </c>
      <c r="B353" s="114" t="s">
        <v>604</v>
      </c>
      <c r="C353" s="100" t="s">
        <v>2026</v>
      </c>
      <c r="D353" s="181" t="s">
        <v>1468</v>
      </c>
      <c r="E353" s="491">
        <v>4</v>
      </c>
      <c r="F353" s="20">
        <f t="shared" si="32"/>
        <v>453.17090909090911</v>
      </c>
      <c r="G353" s="19">
        <f t="shared" si="30"/>
        <v>1812.6836363636364</v>
      </c>
      <c r="H353" s="19">
        <f t="shared" si="31"/>
        <v>7441.791400727272</v>
      </c>
      <c r="I353" s="114" t="s">
        <v>1521</v>
      </c>
      <c r="J353" s="210">
        <f>VLOOKUP(I353,'Reajuste Atual'!$L$19:$M$25,2,FALSE)</f>
        <v>3.1053999999999999</v>
      </c>
      <c r="K353" s="190"/>
      <c r="L353" s="20">
        <v>623.11</v>
      </c>
      <c r="M353" s="765">
        <f t="shared" si="34"/>
        <v>445.07857142857148</v>
      </c>
      <c r="N353" s="765">
        <f t="shared" si="33"/>
        <v>453.17090909090911</v>
      </c>
      <c r="O353" s="765">
        <f t="shared" si="35"/>
        <v>453.17090909090911</v>
      </c>
    </row>
    <row r="354" spans="1:15" s="98" customFormat="1" outlineLevel="1">
      <c r="A354" s="141" t="s">
        <v>3483</v>
      </c>
      <c r="B354" s="114" t="s">
        <v>605</v>
      </c>
      <c r="C354" s="100" t="s">
        <v>2027</v>
      </c>
      <c r="D354" s="181" t="s">
        <v>1468</v>
      </c>
      <c r="E354" s="491">
        <v>8</v>
      </c>
      <c r="F354" s="20">
        <f t="shared" si="32"/>
        <v>245.46181818181819</v>
      </c>
      <c r="G354" s="19">
        <f t="shared" si="30"/>
        <v>1963.6945454545455</v>
      </c>
      <c r="H354" s="19">
        <f t="shared" si="31"/>
        <v>8061.7515869090903</v>
      </c>
      <c r="I354" s="114" t="s">
        <v>1521</v>
      </c>
      <c r="J354" s="210">
        <f>VLOOKUP(I354,'Reajuste Atual'!$L$19:$M$25,2,FALSE)</f>
        <v>3.1053999999999999</v>
      </c>
      <c r="K354" s="190"/>
      <c r="L354" s="20">
        <v>337.51</v>
      </c>
      <c r="M354" s="765">
        <f t="shared" si="34"/>
        <v>241.07857142857145</v>
      </c>
      <c r="N354" s="765">
        <f t="shared" si="33"/>
        <v>245.46181818181819</v>
      </c>
      <c r="O354" s="765">
        <f t="shared" si="35"/>
        <v>245.46181818181819</v>
      </c>
    </row>
    <row r="355" spans="1:15" s="98" customFormat="1" outlineLevel="1">
      <c r="A355" s="141" t="s">
        <v>3483</v>
      </c>
      <c r="B355" s="114" t="s">
        <v>606</v>
      </c>
      <c r="C355" s="100" t="s">
        <v>2028</v>
      </c>
      <c r="D355" s="181" t="s">
        <v>1468</v>
      </c>
      <c r="E355" s="491">
        <v>4</v>
      </c>
      <c r="F355" s="20">
        <f t="shared" si="32"/>
        <v>1384.6909090909091</v>
      </c>
      <c r="G355" s="19">
        <f t="shared" si="30"/>
        <v>5538.7636363636366</v>
      </c>
      <c r="H355" s="19">
        <f t="shared" si="31"/>
        <v>22738.840232727271</v>
      </c>
      <c r="I355" s="114" t="s">
        <v>1521</v>
      </c>
      <c r="J355" s="210">
        <f>VLOOKUP(I355,'Reajuste Atual'!$L$19:$M$25,2,FALSE)</f>
        <v>3.1053999999999999</v>
      </c>
      <c r="K355" s="190"/>
      <c r="L355" s="20">
        <v>1903.95</v>
      </c>
      <c r="M355" s="765">
        <f t="shared" si="34"/>
        <v>1359.9642857142858</v>
      </c>
      <c r="N355" s="765">
        <f t="shared" si="33"/>
        <v>1384.6909090909091</v>
      </c>
      <c r="O355" s="765">
        <f t="shared" si="35"/>
        <v>1384.6909090909091</v>
      </c>
    </row>
    <row r="356" spans="1:15" s="98" customFormat="1" outlineLevel="1">
      <c r="A356" s="141" t="s">
        <v>3483</v>
      </c>
      <c r="B356" s="114" t="s">
        <v>607</v>
      </c>
      <c r="C356" s="100" t="s">
        <v>2029</v>
      </c>
      <c r="D356" s="181" t="s">
        <v>1468</v>
      </c>
      <c r="E356" s="491">
        <v>12</v>
      </c>
      <c r="F356" s="20">
        <f t="shared" si="32"/>
        <v>692.34181818181821</v>
      </c>
      <c r="G356" s="19">
        <f t="shared" si="30"/>
        <v>8308.1018181818181</v>
      </c>
      <c r="H356" s="19">
        <f t="shared" si="31"/>
        <v>34108.081204363632</v>
      </c>
      <c r="I356" s="114" t="s">
        <v>1521</v>
      </c>
      <c r="J356" s="210">
        <f>VLOOKUP(I356,'Reajuste Atual'!$L$19:$M$25,2,FALSE)</f>
        <v>3.1053999999999999</v>
      </c>
      <c r="K356" s="190"/>
      <c r="L356" s="20">
        <v>951.97</v>
      </c>
      <c r="M356" s="765">
        <f t="shared" si="34"/>
        <v>679.97857142857151</v>
      </c>
      <c r="N356" s="765">
        <f t="shared" si="33"/>
        <v>692.34181818181821</v>
      </c>
      <c r="O356" s="765">
        <f t="shared" si="35"/>
        <v>692.34181818181821</v>
      </c>
    </row>
    <row r="357" spans="1:15" s="98" customFormat="1" outlineLevel="1">
      <c r="A357" s="141" t="s">
        <v>3483</v>
      </c>
      <c r="B357" s="114" t="s">
        <v>608</v>
      </c>
      <c r="C357" s="100" t="s">
        <v>2030</v>
      </c>
      <c r="D357" s="181" t="s">
        <v>1468</v>
      </c>
      <c r="E357" s="491">
        <v>4</v>
      </c>
      <c r="F357" s="20">
        <f t="shared" si="32"/>
        <v>490.93818181818182</v>
      </c>
      <c r="G357" s="19">
        <f t="shared" si="30"/>
        <v>1963.7527272727273</v>
      </c>
      <c r="H357" s="19">
        <f t="shared" si="31"/>
        <v>8061.9904465454538</v>
      </c>
      <c r="I357" s="114" t="s">
        <v>1521</v>
      </c>
      <c r="J357" s="210">
        <f>VLOOKUP(I357,'Reajuste Atual'!$L$19:$M$25,2,FALSE)</f>
        <v>3.1053999999999999</v>
      </c>
      <c r="K357" s="190"/>
      <c r="L357" s="20">
        <v>675.04</v>
      </c>
      <c r="M357" s="765">
        <f t="shared" si="34"/>
        <v>482.17142857142858</v>
      </c>
      <c r="N357" s="765">
        <f t="shared" si="33"/>
        <v>490.93818181818182</v>
      </c>
      <c r="O357" s="765">
        <f t="shared" si="35"/>
        <v>490.93818181818182</v>
      </c>
    </row>
    <row r="358" spans="1:15" s="98" customFormat="1" outlineLevel="1">
      <c r="A358" s="141" t="s">
        <v>3483</v>
      </c>
      <c r="B358" s="114" t="s">
        <v>609</v>
      </c>
      <c r="C358" s="100" t="s">
        <v>2031</v>
      </c>
      <c r="D358" s="181" t="s">
        <v>1468</v>
      </c>
      <c r="E358" s="491">
        <v>8</v>
      </c>
      <c r="F358" s="20">
        <f t="shared" si="32"/>
        <v>276.9309090909091</v>
      </c>
      <c r="G358" s="19">
        <f t="shared" si="30"/>
        <v>2215.4472727272728</v>
      </c>
      <c r="H358" s="19">
        <f t="shared" si="31"/>
        <v>9095.2972334545448</v>
      </c>
      <c r="I358" s="114" t="s">
        <v>1521</v>
      </c>
      <c r="J358" s="210">
        <f>VLOOKUP(I358,'Reajuste Atual'!$L$19:$M$25,2,FALSE)</f>
        <v>3.1053999999999999</v>
      </c>
      <c r="K358" s="190"/>
      <c r="L358" s="20">
        <v>380.78</v>
      </c>
      <c r="M358" s="765">
        <f t="shared" si="34"/>
        <v>271.98571428571427</v>
      </c>
      <c r="N358" s="765">
        <f t="shared" si="33"/>
        <v>276.9309090909091</v>
      </c>
      <c r="O358" s="765">
        <f t="shared" si="35"/>
        <v>276.9309090909091</v>
      </c>
    </row>
    <row r="359" spans="1:15" s="98" customFormat="1" outlineLevel="1">
      <c r="A359" s="141" t="s">
        <v>3483</v>
      </c>
      <c r="B359" s="114" t="s">
        <v>610</v>
      </c>
      <c r="C359" s="100" t="s">
        <v>2032</v>
      </c>
      <c r="D359" s="181" t="s">
        <v>1468</v>
      </c>
      <c r="E359" s="491">
        <v>4</v>
      </c>
      <c r="F359" s="20">
        <f t="shared" si="32"/>
        <v>6530.2181818181816</v>
      </c>
      <c r="G359" s="19">
        <f t="shared" si="30"/>
        <v>26120.872727272726</v>
      </c>
      <c r="H359" s="19">
        <f t="shared" si="31"/>
        <v>107236.63089454544</v>
      </c>
      <c r="I359" s="114" t="s">
        <v>1521</v>
      </c>
      <c r="J359" s="210">
        <f>VLOOKUP(I359,'Reajuste Atual'!$L$19:$M$25,2,FALSE)</f>
        <v>3.1053999999999999</v>
      </c>
      <c r="K359" s="190"/>
      <c r="L359" s="20">
        <v>8979.0499999999993</v>
      </c>
      <c r="M359" s="765">
        <f t="shared" si="34"/>
        <v>6413.6071428571431</v>
      </c>
      <c r="N359" s="765">
        <f t="shared" si="33"/>
        <v>6530.2181818181816</v>
      </c>
      <c r="O359" s="765">
        <f t="shared" si="35"/>
        <v>6530.2181818181816</v>
      </c>
    </row>
    <row r="360" spans="1:15" s="98" customFormat="1" outlineLevel="1">
      <c r="A360" s="141" t="s">
        <v>3483</v>
      </c>
      <c r="B360" s="114" t="s">
        <v>611</v>
      </c>
      <c r="C360" s="100" t="s">
        <v>2033</v>
      </c>
      <c r="D360" s="181" t="s">
        <v>1468</v>
      </c>
      <c r="E360" s="491">
        <v>8</v>
      </c>
      <c r="F360" s="20">
        <f t="shared" si="32"/>
        <v>3039.4036363636365</v>
      </c>
      <c r="G360" s="19">
        <f t="shared" si="30"/>
        <v>24315.229090909092</v>
      </c>
      <c r="H360" s="19">
        <f t="shared" si="31"/>
        <v>99823.741509818166</v>
      </c>
      <c r="I360" s="114" t="s">
        <v>1521</v>
      </c>
      <c r="J360" s="210">
        <f>VLOOKUP(I360,'Reajuste Atual'!$L$19:$M$25,2,FALSE)</f>
        <v>3.1053999999999999</v>
      </c>
      <c r="K360" s="190"/>
      <c r="L360" s="20">
        <v>4179.18</v>
      </c>
      <c r="M360" s="765">
        <f t="shared" si="34"/>
        <v>2985.1285714285718</v>
      </c>
      <c r="N360" s="765">
        <f t="shared" si="33"/>
        <v>3039.4036363636365</v>
      </c>
      <c r="O360" s="765">
        <f t="shared" si="35"/>
        <v>3039.4036363636365</v>
      </c>
    </row>
    <row r="361" spans="1:15" s="98" customFormat="1" ht="31.5" outlineLevel="1">
      <c r="A361" s="141" t="s">
        <v>3483</v>
      </c>
      <c r="B361" s="114" t="s">
        <v>612</v>
      </c>
      <c r="C361" s="100" t="s">
        <v>2034</v>
      </c>
      <c r="D361" s="181" t="s">
        <v>1468</v>
      </c>
      <c r="E361" s="491">
        <v>4</v>
      </c>
      <c r="F361" s="20">
        <f t="shared" si="32"/>
        <v>4645.0181818181818</v>
      </c>
      <c r="G361" s="19">
        <f t="shared" si="30"/>
        <v>18580.072727272727</v>
      </c>
      <c r="H361" s="19">
        <f t="shared" si="31"/>
        <v>76278.630574545445</v>
      </c>
      <c r="I361" s="114" t="s">
        <v>1521</v>
      </c>
      <c r="J361" s="210">
        <f>VLOOKUP(I361,'Reajuste Atual'!$L$19:$M$25,2,FALSE)</f>
        <v>3.1053999999999999</v>
      </c>
      <c r="K361" s="190"/>
      <c r="L361" s="20">
        <v>6386.9</v>
      </c>
      <c r="M361" s="765">
        <f t="shared" si="34"/>
        <v>4562.0714285714284</v>
      </c>
      <c r="N361" s="765">
        <f t="shared" si="33"/>
        <v>4645.0181818181818</v>
      </c>
      <c r="O361" s="765">
        <f t="shared" si="35"/>
        <v>4645.0181818181818</v>
      </c>
    </row>
    <row r="362" spans="1:15" s="98" customFormat="1" outlineLevel="1">
      <c r="A362" s="141" t="s">
        <v>3483</v>
      </c>
      <c r="B362" s="114" t="s">
        <v>613</v>
      </c>
      <c r="C362" s="100" t="s">
        <v>2035</v>
      </c>
      <c r="D362" s="181" t="s">
        <v>1468</v>
      </c>
      <c r="E362" s="491">
        <v>12</v>
      </c>
      <c r="F362" s="20">
        <f t="shared" si="32"/>
        <v>846.05090909090904</v>
      </c>
      <c r="G362" s="19">
        <f t="shared" si="30"/>
        <v>10152.610909090909</v>
      </c>
      <c r="H362" s="19">
        <f t="shared" si="31"/>
        <v>41680.528826181813</v>
      </c>
      <c r="I362" s="114" t="s">
        <v>1521</v>
      </c>
      <c r="J362" s="210">
        <f>VLOOKUP(I362,'Reajuste Atual'!$L$19:$M$25,2,FALSE)</f>
        <v>3.1053999999999999</v>
      </c>
      <c r="K362" s="190"/>
      <c r="L362" s="20">
        <v>1163.32</v>
      </c>
      <c r="M362" s="765">
        <f t="shared" si="34"/>
        <v>830.94285714285718</v>
      </c>
      <c r="N362" s="765">
        <f t="shared" si="33"/>
        <v>846.05090909090904</v>
      </c>
      <c r="O362" s="765">
        <f t="shared" si="35"/>
        <v>846.05090909090904</v>
      </c>
    </row>
    <row r="363" spans="1:15" s="98" customFormat="1" outlineLevel="1">
      <c r="A363" s="141" t="s">
        <v>3483</v>
      </c>
      <c r="B363" s="114" t="s">
        <v>614</v>
      </c>
      <c r="C363" s="100" t="s">
        <v>2036</v>
      </c>
      <c r="D363" s="181" t="s">
        <v>1468</v>
      </c>
      <c r="E363" s="491">
        <v>8</v>
      </c>
      <c r="F363" s="20">
        <f t="shared" si="32"/>
        <v>2230.7490909090911</v>
      </c>
      <c r="G363" s="19">
        <f t="shared" si="30"/>
        <v>17845.992727272729</v>
      </c>
      <c r="H363" s="19">
        <f t="shared" si="31"/>
        <v>73264.938542545453</v>
      </c>
      <c r="I363" s="114" t="s">
        <v>1521</v>
      </c>
      <c r="J363" s="210">
        <f>VLOOKUP(I363,'Reajuste Atual'!$L$19:$M$25,2,FALSE)</f>
        <v>3.1053999999999999</v>
      </c>
      <c r="K363" s="190"/>
      <c r="L363" s="20">
        <v>3067.28</v>
      </c>
      <c r="M363" s="765">
        <f t="shared" si="34"/>
        <v>2190.9142857142861</v>
      </c>
      <c r="N363" s="765">
        <f t="shared" si="33"/>
        <v>2230.7490909090911</v>
      </c>
      <c r="O363" s="765">
        <f t="shared" si="35"/>
        <v>2230.7490909090911</v>
      </c>
    </row>
    <row r="364" spans="1:15" s="98" customFormat="1" outlineLevel="1">
      <c r="A364" s="141" t="s">
        <v>3483</v>
      </c>
      <c r="B364" s="114" t="s">
        <v>615</v>
      </c>
      <c r="C364" s="100" t="s">
        <v>2037</v>
      </c>
      <c r="D364" s="181" t="s">
        <v>1468</v>
      </c>
      <c r="E364" s="491">
        <v>12</v>
      </c>
      <c r="F364" s="20">
        <f t="shared" si="32"/>
        <v>1577.1636363636362</v>
      </c>
      <c r="G364" s="19">
        <f t="shared" si="30"/>
        <v>18925.963636363635</v>
      </c>
      <c r="H364" s="19">
        <f t="shared" si="31"/>
        <v>77698.651112727253</v>
      </c>
      <c r="I364" s="114" t="s">
        <v>1521</v>
      </c>
      <c r="J364" s="210">
        <f>VLOOKUP(I364,'Reajuste Atual'!$L$19:$M$25,2,FALSE)</f>
        <v>3.1053999999999999</v>
      </c>
      <c r="K364" s="190"/>
      <c r="L364" s="20">
        <v>2168.6</v>
      </c>
      <c r="M364" s="765">
        <f t="shared" si="34"/>
        <v>1549</v>
      </c>
      <c r="N364" s="765">
        <f t="shared" si="33"/>
        <v>1577.1636363636362</v>
      </c>
      <c r="O364" s="765">
        <f t="shared" si="35"/>
        <v>1577.1636363636362</v>
      </c>
    </row>
    <row r="365" spans="1:15" s="98" customFormat="1" outlineLevel="1">
      <c r="A365" s="141" t="s">
        <v>3483</v>
      </c>
      <c r="B365" s="114" t="s">
        <v>616</v>
      </c>
      <c r="C365" s="100" t="s">
        <v>2038</v>
      </c>
      <c r="D365" s="181" t="s">
        <v>1468</v>
      </c>
      <c r="E365" s="491">
        <v>8</v>
      </c>
      <c r="F365" s="20">
        <f t="shared" si="32"/>
        <v>3535.12</v>
      </c>
      <c r="G365" s="19">
        <f t="shared" si="30"/>
        <v>28280.959999999999</v>
      </c>
      <c r="H365" s="19">
        <f t="shared" si="31"/>
        <v>116104.65318399998</v>
      </c>
      <c r="I365" s="114" t="s">
        <v>1521</v>
      </c>
      <c r="J365" s="210">
        <f>VLOOKUP(I365,'Reajuste Atual'!$L$19:$M$25,2,FALSE)</f>
        <v>3.1053999999999999</v>
      </c>
      <c r="K365" s="190"/>
      <c r="L365" s="20">
        <v>4860.79</v>
      </c>
      <c r="M365" s="765">
        <f t="shared" si="34"/>
        <v>3471.9928571428572</v>
      </c>
      <c r="N365" s="765">
        <f t="shared" si="33"/>
        <v>3535.12</v>
      </c>
      <c r="O365" s="765">
        <f t="shared" si="35"/>
        <v>3535.12</v>
      </c>
    </row>
    <row r="366" spans="1:15" s="98" customFormat="1" outlineLevel="1">
      <c r="A366" s="141" t="s">
        <v>3483</v>
      </c>
      <c r="B366" s="114" t="s">
        <v>617</v>
      </c>
      <c r="C366" s="100" t="s">
        <v>2039</v>
      </c>
      <c r="D366" s="181" t="s">
        <v>1468</v>
      </c>
      <c r="E366" s="491">
        <v>32</v>
      </c>
      <c r="F366" s="20">
        <f t="shared" si="32"/>
        <v>4136.08</v>
      </c>
      <c r="G366" s="19">
        <f t="shared" si="30"/>
        <v>132354.56</v>
      </c>
      <c r="H366" s="19">
        <f t="shared" si="31"/>
        <v>543368.41062399989</v>
      </c>
      <c r="I366" s="114" t="s">
        <v>1521</v>
      </c>
      <c r="J366" s="210">
        <f>VLOOKUP(I366,'Reajuste Atual'!$L$19:$M$25,2,FALSE)</f>
        <v>3.1053999999999999</v>
      </c>
      <c r="K366" s="190"/>
      <c r="L366" s="20">
        <v>5687.11</v>
      </c>
      <c r="M366" s="765">
        <f t="shared" si="34"/>
        <v>4062.2214285714285</v>
      </c>
      <c r="N366" s="765">
        <f t="shared" si="33"/>
        <v>4136.08</v>
      </c>
      <c r="O366" s="765">
        <f t="shared" si="35"/>
        <v>4136.08</v>
      </c>
    </row>
    <row r="367" spans="1:15" s="98" customFormat="1" outlineLevel="1">
      <c r="A367" s="141" t="s">
        <v>3483</v>
      </c>
      <c r="B367" s="114" t="s">
        <v>618</v>
      </c>
      <c r="C367" s="100" t="s">
        <v>2040</v>
      </c>
      <c r="D367" s="181" t="s">
        <v>1468</v>
      </c>
      <c r="E367" s="491">
        <v>16</v>
      </c>
      <c r="F367" s="20">
        <f t="shared" si="32"/>
        <v>14023.163636363635</v>
      </c>
      <c r="G367" s="19">
        <f t="shared" si="30"/>
        <v>224370.61818181816</v>
      </c>
      <c r="H367" s="19">
        <f t="shared" si="31"/>
        <v>921131.13588363619</v>
      </c>
      <c r="I367" s="114" t="s">
        <v>1521</v>
      </c>
      <c r="J367" s="210">
        <f>VLOOKUP(I367,'Reajuste Atual'!$L$19:$M$25,2,FALSE)</f>
        <v>3.1053999999999999</v>
      </c>
      <c r="K367" s="190"/>
      <c r="L367" s="20">
        <v>19281.849999999999</v>
      </c>
      <c r="M367" s="765">
        <f t="shared" si="34"/>
        <v>13772.75</v>
      </c>
      <c r="N367" s="765">
        <f t="shared" si="33"/>
        <v>14023.163636363635</v>
      </c>
      <c r="O367" s="765">
        <f t="shared" si="35"/>
        <v>14023.163636363635</v>
      </c>
    </row>
    <row r="368" spans="1:15" s="98" customFormat="1" outlineLevel="1">
      <c r="A368" s="141" t="s">
        <v>3483</v>
      </c>
      <c r="B368" s="114" t="s">
        <v>619</v>
      </c>
      <c r="C368" s="100" t="s">
        <v>2041</v>
      </c>
      <c r="D368" s="181" t="s">
        <v>1468</v>
      </c>
      <c r="E368" s="491">
        <v>4</v>
      </c>
      <c r="F368" s="20">
        <f t="shared" si="32"/>
        <v>8809.3672727272715</v>
      </c>
      <c r="G368" s="19">
        <f t="shared" si="30"/>
        <v>35237.469090909086</v>
      </c>
      <c r="H368" s="19">
        <f t="shared" si="31"/>
        <v>144663.90560581814</v>
      </c>
      <c r="I368" s="114" t="s">
        <v>1521</v>
      </c>
      <c r="J368" s="210">
        <f>VLOOKUP(I368,'Reajuste Atual'!$L$19:$M$25,2,FALSE)</f>
        <v>3.1053999999999999</v>
      </c>
      <c r="K368" s="190"/>
      <c r="L368" s="20">
        <v>12112.88</v>
      </c>
      <c r="M368" s="765">
        <f t="shared" si="34"/>
        <v>8652.057142857142</v>
      </c>
      <c r="N368" s="765">
        <f t="shared" si="33"/>
        <v>8809.3672727272715</v>
      </c>
      <c r="O368" s="765">
        <f t="shared" si="35"/>
        <v>8809.3672727272715</v>
      </c>
    </row>
    <row r="369" spans="1:15" s="98" customFormat="1" outlineLevel="1">
      <c r="A369" s="141" t="s">
        <v>3483</v>
      </c>
      <c r="B369" s="114" t="s">
        <v>620</v>
      </c>
      <c r="C369" s="100" t="s">
        <v>2042</v>
      </c>
      <c r="D369" s="181" t="s">
        <v>1468</v>
      </c>
      <c r="E369" s="491">
        <v>7</v>
      </c>
      <c r="F369" s="20">
        <f t="shared" si="32"/>
        <v>6500.5163636363632</v>
      </c>
      <c r="G369" s="19">
        <f t="shared" si="30"/>
        <v>45503.61454545454</v>
      </c>
      <c r="H369" s="19">
        <f t="shared" si="31"/>
        <v>186810.53915490906</v>
      </c>
      <c r="I369" s="114" t="s">
        <v>1521</v>
      </c>
      <c r="J369" s="210">
        <f>VLOOKUP(I369,'Reajuste Atual'!$L$19:$M$25,2,FALSE)</f>
        <v>3.1053999999999999</v>
      </c>
      <c r="K369" s="190"/>
      <c r="L369" s="20">
        <v>8938.2099999999991</v>
      </c>
      <c r="M369" s="765">
        <f t="shared" si="34"/>
        <v>6384.4357142857143</v>
      </c>
      <c r="N369" s="765">
        <f t="shared" si="33"/>
        <v>6500.5163636363632</v>
      </c>
      <c r="O369" s="765">
        <f t="shared" si="35"/>
        <v>6500.5163636363632</v>
      </c>
    </row>
    <row r="370" spans="1:15" s="98" customFormat="1" outlineLevel="1">
      <c r="A370" s="141" t="s">
        <v>3483</v>
      </c>
      <c r="B370" s="114" t="s">
        <v>621</v>
      </c>
      <c r="C370" s="100" t="s">
        <v>2043</v>
      </c>
      <c r="D370" s="181" t="s">
        <v>1468</v>
      </c>
      <c r="E370" s="491">
        <v>8</v>
      </c>
      <c r="F370" s="20">
        <f t="shared" si="32"/>
        <v>3431.2727272727275</v>
      </c>
      <c r="G370" s="19">
        <f t="shared" si="30"/>
        <v>27450.18181818182</v>
      </c>
      <c r="H370" s="19">
        <f t="shared" si="31"/>
        <v>112693.97643636364</v>
      </c>
      <c r="I370" s="114" t="s">
        <v>1521</v>
      </c>
      <c r="J370" s="210">
        <f>VLOOKUP(I370,'Reajuste Atual'!$L$19:$M$25,2,FALSE)</f>
        <v>3.1053999999999999</v>
      </c>
      <c r="K370" s="190"/>
      <c r="L370" s="20">
        <v>4718</v>
      </c>
      <c r="M370" s="765">
        <f t="shared" si="34"/>
        <v>3370</v>
      </c>
      <c r="N370" s="765">
        <f t="shared" si="33"/>
        <v>3431.2727272727275</v>
      </c>
      <c r="O370" s="765">
        <f t="shared" si="35"/>
        <v>3431.2727272727275</v>
      </c>
    </row>
    <row r="371" spans="1:15" s="98" customFormat="1" outlineLevel="1">
      <c r="A371" s="141" t="s">
        <v>3483</v>
      </c>
      <c r="B371" s="114" t="s">
        <v>622</v>
      </c>
      <c r="C371" s="100" t="s">
        <v>2044</v>
      </c>
      <c r="D371" s="181" t="s">
        <v>1468</v>
      </c>
      <c r="E371" s="491">
        <v>4</v>
      </c>
      <c r="F371" s="20">
        <f t="shared" si="32"/>
        <v>46889.585454545457</v>
      </c>
      <c r="G371" s="19">
        <f t="shared" si="30"/>
        <v>187558.34181818183</v>
      </c>
      <c r="H371" s="19">
        <f t="shared" si="31"/>
        <v>770002.01650036359</v>
      </c>
      <c r="I371" s="114" t="s">
        <v>1521</v>
      </c>
      <c r="J371" s="210">
        <f>VLOOKUP(I371,'Reajuste Atual'!$L$19:$M$25,2,FALSE)</f>
        <v>3.1053999999999999</v>
      </c>
      <c r="K371" s="190"/>
      <c r="L371" s="20">
        <v>64473.18</v>
      </c>
      <c r="M371" s="765">
        <f t="shared" si="34"/>
        <v>46052.271428571432</v>
      </c>
      <c r="N371" s="765">
        <f t="shared" si="33"/>
        <v>46889.585454545457</v>
      </c>
      <c r="O371" s="765">
        <f t="shared" si="35"/>
        <v>46889.585454545457</v>
      </c>
    </row>
    <row r="372" spans="1:15" s="98" customFormat="1" outlineLevel="1">
      <c r="A372" s="141" t="s">
        <v>3483</v>
      </c>
      <c r="B372" s="114" t="s">
        <v>623</v>
      </c>
      <c r="C372" s="100" t="s">
        <v>2045</v>
      </c>
      <c r="D372" s="181" t="s">
        <v>1468</v>
      </c>
      <c r="E372" s="491">
        <v>16</v>
      </c>
      <c r="F372" s="20">
        <f t="shared" si="32"/>
        <v>4967.3963636363633</v>
      </c>
      <c r="G372" s="19">
        <f t="shared" si="30"/>
        <v>79478.341818181812</v>
      </c>
      <c r="H372" s="19">
        <f t="shared" si="31"/>
        <v>326290.38450036355</v>
      </c>
      <c r="I372" s="114" t="s">
        <v>1521</v>
      </c>
      <c r="J372" s="210">
        <f>VLOOKUP(I372,'Reajuste Atual'!$L$19:$M$25,2,FALSE)</f>
        <v>3.1053999999999999</v>
      </c>
      <c r="K372" s="190"/>
      <c r="L372" s="20">
        <v>6830.17</v>
      </c>
      <c r="M372" s="765">
        <f t="shared" si="34"/>
        <v>4878.6928571428571</v>
      </c>
      <c r="N372" s="765">
        <f t="shared" si="33"/>
        <v>4967.3963636363633</v>
      </c>
      <c r="O372" s="765">
        <f t="shared" si="35"/>
        <v>4967.3963636363633</v>
      </c>
    </row>
    <row r="373" spans="1:15" s="98" customFormat="1" outlineLevel="1">
      <c r="A373" s="141" t="s">
        <v>3483</v>
      </c>
      <c r="B373" s="114" t="s">
        <v>624</v>
      </c>
      <c r="C373" s="100" t="s">
        <v>2046</v>
      </c>
      <c r="D373" s="181" t="s">
        <v>1468</v>
      </c>
      <c r="E373" s="491">
        <v>4</v>
      </c>
      <c r="F373" s="20">
        <f t="shared" si="32"/>
        <v>3635.2072727272725</v>
      </c>
      <c r="G373" s="19">
        <f t="shared" si="30"/>
        <v>14540.82909090909</v>
      </c>
      <c r="H373" s="19">
        <f t="shared" si="31"/>
        <v>59695.919749818175</v>
      </c>
      <c r="I373" s="114" t="s">
        <v>1521</v>
      </c>
      <c r="J373" s="210">
        <f>VLOOKUP(I373,'Reajuste Atual'!$L$19:$M$25,2,FALSE)</f>
        <v>3.1053999999999999</v>
      </c>
      <c r="K373" s="190"/>
      <c r="L373" s="20">
        <v>4998.41</v>
      </c>
      <c r="M373" s="765">
        <f t="shared" si="34"/>
        <v>3570.2928571428574</v>
      </c>
      <c r="N373" s="765">
        <f t="shared" si="33"/>
        <v>3635.2072727272725</v>
      </c>
      <c r="O373" s="765">
        <f t="shared" si="35"/>
        <v>3635.2072727272725</v>
      </c>
    </row>
    <row r="374" spans="1:15" s="98" customFormat="1" outlineLevel="1">
      <c r="A374" s="141" t="s">
        <v>3483</v>
      </c>
      <c r="B374" s="114" t="s">
        <v>625</v>
      </c>
      <c r="C374" s="100" t="s">
        <v>2047</v>
      </c>
      <c r="D374" s="181" t="s">
        <v>1468</v>
      </c>
      <c r="E374" s="491">
        <v>8</v>
      </c>
      <c r="F374" s="20">
        <f t="shared" si="32"/>
        <v>1772.6254545454547</v>
      </c>
      <c r="G374" s="19">
        <f t="shared" si="30"/>
        <v>14181.003636363637</v>
      </c>
      <c r="H374" s="19">
        <f t="shared" si="31"/>
        <v>58218.692328727266</v>
      </c>
      <c r="I374" s="114" t="s">
        <v>1521</v>
      </c>
      <c r="J374" s="210">
        <f>VLOOKUP(I374,'Reajuste Atual'!$L$19:$M$25,2,FALSE)</f>
        <v>3.1053999999999999</v>
      </c>
      <c r="K374" s="190"/>
      <c r="L374" s="20">
        <v>2437.36</v>
      </c>
      <c r="M374" s="765">
        <f t="shared" si="34"/>
        <v>1740.9714285714288</v>
      </c>
      <c r="N374" s="765">
        <f t="shared" si="33"/>
        <v>1772.6254545454547</v>
      </c>
      <c r="O374" s="765">
        <f t="shared" si="35"/>
        <v>1772.6254545454547</v>
      </c>
    </row>
    <row r="375" spans="1:15" s="98" customFormat="1" outlineLevel="1">
      <c r="A375" s="141" t="s">
        <v>3483</v>
      </c>
      <c r="B375" s="114" t="s">
        <v>626</v>
      </c>
      <c r="C375" s="100" t="s">
        <v>2048</v>
      </c>
      <c r="D375" s="181" t="s">
        <v>1468</v>
      </c>
      <c r="E375" s="491">
        <v>12</v>
      </c>
      <c r="F375" s="20">
        <f t="shared" si="32"/>
        <v>566.46545454545458</v>
      </c>
      <c r="G375" s="19">
        <f t="shared" si="30"/>
        <v>6797.5854545454549</v>
      </c>
      <c r="H375" s="19">
        <f t="shared" si="31"/>
        <v>27906.807325090907</v>
      </c>
      <c r="I375" s="114" t="s">
        <v>1521</v>
      </c>
      <c r="J375" s="210">
        <f>VLOOKUP(I375,'Reajuste Atual'!$L$19:$M$25,2,FALSE)</f>
        <v>3.1053999999999999</v>
      </c>
      <c r="K375" s="190"/>
      <c r="L375" s="20">
        <v>778.89</v>
      </c>
      <c r="M375" s="765">
        <f t="shared" si="34"/>
        <v>556.35</v>
      </c>
      <c r="N375" s="765">
        <f t="shared" si="33"/>
        <v>566.46545454545458</v>
      </c>
      <c r="O375" s="765">
        <f t="shared" si="35"/>
        <v>566.46545454545458</v>
      </c>
    </row>
    <row r="376" spans="1:15" s="98" customFormat="1" outlineLevel="1">
      <c r="A376" s="141" t="s">
        <v>3483</v>
      </c>
      <c r="B376" s="114" t="s">
        <v>627</v>
      </c>
      <c r="C376" s="100" t="s">
        <v>2049</v>
      </c>
      <c r="D376" s="181" t="s">
        <v>1468</v>
      </c>
      <c r="E376" s="491">
        <v>12</v>
      </c>
      <c r="F376" s="20">
        <f t="shared" si="32"/>
        <v>327.28727272727269</v>
      </c>
      <c r="G376" s="19">
        <f t="shared" si="30"/>
        <v>3927.4472727272723</v>
      </c>
      <c r="H376" s="19">
        <f t="shared" si="31"/>
        <v>16123.742033454542</v>
      </c>
      <c r="I376" s="114" t="s">
        <v>1521</v>
      </c>
      <c r="J376" s="210">
        <f>VLOOKUP(I376,'Reajuste Atual'!$L$19:$M$25,2,FALSE)</f>
        <v>3.1053999999999999</v>
      </c>
      <c r="K376" s="190"/>
      <c r="L376" s="20">
        <v>450.02</v>
      </c>
      <c r="M376" s="765">
        <f t="shared" si="34"/>
        <v>321.44285714285718</v>
      </c>
      <c r="N376" s="765">
        <f t="shared" si="33"/>
        <v>327.28727272727269</v>
      </c>
      <c r="O376" s="765">
        <f t="shared" si="35"/>
        <v>327.28727272727269</v>
      </c>
    </row>
    <row r="377" spans="1:15" s="98" customFormat="1" outlineLevel="1">
      <c r="A377" s="141" t="s">
        <v>3483</v>
      </c>
      <c r="B377" s="114" t="s">
        <v>628</v>
      </c>
      <c r="C377" s="100" t="s">
        <v>2050</v>
      </c>
      <c r="D377" s="181" t="s">
        <v>1468</v>
      </c>
      <c r="E377" s="491">
        <v>8</v>
      </c>
      <c r="F377" s="20">
        <f t="shared" si="32"/>
        <v>1334.3418181818181</v>
      </c>
      <c r="G377" s="19">
        <f t="shared" si="30"/>
        <v>10674.734545454545</v>
      </c>
      <c r="H377" s="19">
        <f t="shared" si="31"/>
        <v>43824.055202909083</v>
      </c>
      <c r="I377" s="114" t="s">
        <v>1521</v>
      </c>
      <c r="J377" s="210">
        <f>VLOOKUP(I377,'Reajuste Atual'!$L$19:$M$25,2,FALSE)</f>
        <v>3.1053999999999999</v>
      </c>
      <c r="K377" s="190"/>
      <c r="L377" s="20">
        <v>1834.72</v>
      </c>
      <c r="M377" s="765">
        <f t="shared" si="34"/>
        <v>1310.5142857142857</v>
      </c>
      <c r="N377" s="765">
        <f t="shared" si="33"/>
        <v>1334.3418181818181</v>
      </c>
      <c r="O377" s="765">
        <f t="shared" si="35"/>
        <v>1334.3418181818181</v>
      </c>
    </row>
    <row r="378" spans="1:15" s="98" customFormat="1" ht="31.5" outlineLevel="1">
      <c r="A378" s="141" t="s">
        <v>3483</v>
      </c>
      <c r="B378" s="114" t="s">
        <v>629</v>
      </c>
      <c r="C378" s="100" t="s">
        <v>2051</v>
      </c>
      <c r="D378" s="22"/>
      <c r="E378" s="491"/>
      <c r="F378" s="20"/>
      <c r="G378" s="19"/>
      <c r="H378" s="19"/>
      <c r="I378" s="114"/>
      <c r="J378" s="210"/>
      <c r="K378" s="190"/>
      <c r="L378" s="20"/>
      <c r="M378" s="765"/>
      <c r="N378" s="765">
        <f t="shared" si="33"/>
        <v>0</v>
      </c>
      <c r="O378" s="765">
        <f t="shared" si="35"/>
        <v>0</v>
      </c>
    </row>
    <row r="379" spans="1:15" s="98" customFormat="1" outlineLevel="1">
      <c r="A379" s="141" t="s">
        <v>3483</v>
      </c>
      <c r="B379" s="114" t="s">
        <v>630</v>
      </c>
      <c r="C379" s="100" t="s">
        <v>2052</v>
      </c>
      <c r="D379" s="181" t="s">
        <v>1468</v>
      </c>
      <c r="E379" s="491">
        <v>8</v>
      </c>
      <c r="F379" s="20">
        <f t="shared" si="32"/>
        <v>1598.6909090909089</v>
      </c>
      <c r="G379" s="19">
        <f t="shared" ref="G379:G442" si="36">E379*F379</f>
        <v>12789.527272727271</v>
      </c>
      <c r="H379" s="19">
        <f t="shared" ref="H379:H442" si="37">G379*(1+J379)</f>
        <v>52506.125265454531</v>
      </c>
      <c r="I379" s="114" t="s">
        <v>1521</v>
      </c>
      <c r="J379" s="210">
        <f>VLOOKUP(I379,'Reajuste Atual'!$L$19:$M$25,2,FALSE)</f>
        <v>3.1053999999999999</v>
      </c>
      <c r="K379" s="190"/>
      <c r="L379" s="20">
        <v>2198.1999999999998</v>
      </c>
      <c r="M379" s="765">
        <f t="shared" si="34"/>
        <v>1570.1428571428571</v>
      </c>
      <c r="N379" s="765">
        <f t="shared" si="33"/>
        <v>1598.6909090909089</v>
      </c>
      <c r="O379" s="765">
        <f t="shared" si="35"/>
        <v>1598.6909090909089</v>
      </c>
    </row>
    <row r="380" spans="1:15" s="98" customFormat="1" outlineLevel="1">
      <c r="A380" s="141" t="s">
        <v>3483</v>
      </c>
      <c r="B380" s="114" t="s">
        <v>631</v>
      </c>
      <c r="C380" s="100" t="s">
        <v>2053</v>
      </c>
      <c r="D380" s="181" t="s">
        <v>1468</v>
      </c>
      <c r="E380" s="491">
        <v>8</v>
      </c>
      <c r="F380" s="20">
        <f t="shared" si="32"/>
        <v>2014.1018181818181</v>
      </c>
      <c r="G380" s="19">
        <f t="shared" si="36"/>
        <v>16112.814545454545</v>
      </c>
      <c r="H380" s="19">
        <f t="shared" si="37"/>
        <v>66149.548834909074</v>
      </c>
      <c r="I380" s="114" t="s">
        <v>1521</v>
      </c>
      <c r="J380" s="210">
        <f>VLOOKUP(I380,'Reajuste Atual'!$L$19:$M$25,2,FALSE)</f>
        <v>3.1053999999999999</v>
      </c>
      <c r="K380" s="190"/>
      <c r="L380" s="20">
        <v>2769.39</v>
      </c>
      <c r="M380" s="765">
        <f t="shared" si="34"/>
        <v>1978.1357142857144</v>
      </c>
      <c r="N380" s="765">
        <f t="shared" si="33"/>
        <v>2014.1018181818181</v>
      </c>
      <c r="O380" s="765">
        <f t="shared" si="35"/>
        <v>2014.1018181818181</v>
      </c>
    </row>
    <row r="381" spans="1:15" s="98" customFormat="1" outlineLevel="1">
      <c r="A381" s="141" t="s">
        <v>3483</v>
      </c>
      <c r="B381" s="114" t="s">
        <v>632</v>
      </c>
      <c r="C381" s="100" t="s">
        <v>2054</v>
      </c>
      <c r="D381" s="181" t="s">
        <v>1468</v>
      </c>
      <c r="E381" s="491">
        <v>8</v>
      </c>
      <c r="F381" s="20">
        <f t="shared" si="32"/>
        <v>251.76000000000002</v>
      </c>
      <c r="G381" s="19">
        <f t="shared" si="36"/>
        <v>2014.0800000000002</v>
      </c>
      <c r="H381" s="19">
        <f t="shared" si="37"/>
        <v>8268.6040319999993</v>
      </c>
      <c r="I381" s="114" t="s">
        <v>1521</v>
      </c>
      <c r="J381" s="210">
        <f>VLOOKUP(I381,'Reajuste Atual'!$L$19:$M$25,2,FALSE)</f>
        <v>3.1053999999999999</v>
      </c>
      <c r="K381" s="190"/>
      <c r="L381" s="20">
        <v>346.17</v>
      </c>
      <c r="M381" s="765">
        <f t="shared" si="34"/>
        <v>247.26428571428573</v>
      </c>
      <c r="N381" s="765">
        <f t="shared" si="33"/>
        <v>251.76000000000002</v>
      </c>
      <c r="O381" s="765">
        <f t="shared" si="35"/>
        <v>251.76000000000002</v>
      </c>
    </row>
    <row r="382" spans="1:15" s="98" customFormat="1" outlineLevel="1">
      <c r="A382" s="141" t="s">
        <v>3483</v>
      </c>
      <c r="B382" s="114" t="s">
        <v>633</v>
      </c>
      <c r="C382" s="100" t="s">
        <v>2055</v>
      </c>
      <c r="D382" s="181" t="s">
        <v>1468</v>
      </c>
      <c r="E382" s="491">
        <v>4</v>
      </c>
      <c r="F382" s="20">
        <f t="shared" si="32"/>
        <v>2517.6290909090908</v>
      </c>
      <c r="G382" s="19">
        <f t="shared" si="36"/>
        <v>10070.516363636363</v>
      </c>
      <c r="H382" s="19">
        <f t="shared" si="37"/>
        <v>41343.49787927272</v>
      </c>
      <c r="I382" s="114" t="s">
        <v>1521</v>
      </c>
      <c r="J382" s="210">
        <f>VLOOKUP(I382,'Reajuste Atual'!$L$19:$M$25,2,FALSE)</f>
        <v>3.1053999999999999</v>
      </c>
      <c r="K382" s="190"/>
      <c r="L382" s="20">
        <v>3461.74</v>
      </c>
      <c r="M382" s="765">
        <f t="shared" si="34"/>
        <v>2472.6714285714284</v>
      </c>
      <c r="N382" s="765">
        <f t="shared" si="33"/>
        <v>2517.6290909090908</v>
      </c>
      <c r="O382" s="765">
        <f t="shared" si="35"/>
        <v>2517.6290909090908</v>
      </c>
    </row>
    <row r="383" spans="1:15" s="98" customFormat="1" outlineLevel="1">
      <c r="A383" s="141" t="s">
        <v>3483</v>
      </c>
      <c r="B383" s="114" t="s">
        <v>634</v>
      </c>
      <c r="C383" s="100" t="s">
        <v>2056</v>
      </c>
      <c r="D383" s="181" t="s">
        <v>1468</v>
      </c>
      <c r="E383" s="491">
        <v>8</v>
      </c>
      <c r="F383" s="20">
        <f t="shared" si="32"/>
        <v>314.69818181818181</v>
      </c>
      <c r="G383" s="19">
        <f t="shared" si="36"/>
        <v>2517.5854545454545</v>
      </c>
      <c r="H383" s="19">
        <f t="shared" si="37"/>
        <v>10335.695325090908</v>
      </c>
      <c r="I383" s="114" t="s">
        <v>1521</v>
      </c>
      <c r="J383" s="210">
        <f>VLOOKUP(I383,'Reajuste Atual'!$L$19:$M$25,2,FALSE)</f>
        <v>3.1053999999999999</v>
      </c>
      <c r="K383" s="190"/>
      <c r="L383" s="20">
        <v>432.71</v>
      </c>
      <c r="M383" s="765">
        <f t="shared" si="34"/>
        <v>309.07857142857142</v>
      </c>
      <c r="N383" s="765">
        <f t="shared" si="33"/>
        <v>314.69818181818181</v>
      </c>
      <c r="O383" s="765">
        <f t="shared" si="35"/>
        <v>314.69818181818181</v>
      </c>
    </row>
    <row r="384" spans="1:15" s="98" customFormat="1" outlineLevel="1">
      <c r="A384" s="141" t="s">
        <v>3483</v>
      </c>
      <c r="B384" s="114" t="s">
        <v>635</v>
      </c>
      <c r="C384" s="100" t="s">
        <v>2057</v>
      </c>
      <c r="D384" s="181" t="s">
        <v>1468</v>
      </c>
      <c r="E384" s="491">
        <v>4</v>
      </c>
      <c r="F384" s="20">
        <f t="shared" si="32"/>
        <v>201.41090909090909</v>
      </c>
      <c r="G384" s="19">
        <f t="shared" si="36"/>
        <v>805.64363636363635</v>
      </c>
      <c r="H384" s="19">
        <f t="shared" si="37"/>
        <v>3307.4893847272724</v>
      </c>
      <c r="I384" s="114" t="s">
        <v>1521</v>
      </c>
      <c r="J384" s="210">
        <f>VLOOKUP(I384,'Reajuste Atual'!$L$19:$M$25,2,FALSE)</f>
        <v>3.1053999999999999</v>
      </c>
      <c r="K384" s="190"/>
      <c r="L384" s="20">
        <v>276.94</v>
      </c>
      <c r="M384" s="765">
        <f t="shared" si="34"/>
        <v>197.81428571428572</v>
      </c>
      <c r="N384" s="765">
        <f t="shared" si="33"/>
        <v>201.41090909090909</v>
      </c>
      <c r="O384" s="765">
        <f t="shared" si="35"/>
        <v>201.41090909090909</v>
      </c>
    </row>
    <row r="385" spans="1:15" s="98" customFormat="1" outlineLevel="1">
      <c r="A385" s="141" t="s">
        <v>3483</v>
      </c>
      <c r="B385" s="114" t="s">
        <v>636</v>
      </c>
      <c r="C385" s="100" t="s">
        <v>2058</v>
      </c>
      <c r="D385" s="181" t="s">
        <v>1468</v>
      </c>
      <c r="E385" s="491">
        <v>4</v>
      </c>
      <c r="F385" s="20">
        <f t="shared" si="32"/>
        <v>6671.7090909090912</v>
      </c>
      <c r="G385" s="19">
        <f t="shared" si="36"/>
        <v>26686.836363636365</v>
      </c>
      <c r="H385" s="19">
        <f t="shared" si="37"/>
        <v>109560.13800727272</v>
      </c>
      <c r="I385" s="114" t="s">
        <v>1521</v>
      </c>
      <c r="J385" s="210">
        <f>VLOOKUP(I385,'Reajuste Atual'!$L$19:$M$25,2,FALSE)</f>
        <v>3.1053999999999999</v>
      </c>
      <c r="K385" s="190"/>
      <c r="L385" s="20">
        <v>9173.6</v>
      </c>
      <c r="M385" s="765">
        <f t="shared" si="34"/>
        <v>6552.5714285714294</v>
      </c>
      <c r="N385" s="765">
        <f t="shared" si="33"/>
        <v>6671.7090909090912</v>
      </c>
      <c r="O385" s="765">
        <f t="shared" si="35"/>
        <v>6671.7090909090912</v>
      </c>
    </row>
    <row r="386" spans="1:15" s="98" customFormat="1" outlineLevel="1">
      <c r="A386" s="141" t="s">
        <v>3483</v>
      </c>
      <c r="B386" s="114" t="s">
        <v>637</v>
      </c>
      <c r="C386" s="100" t="s">
        <v>2059</v>
      </c>
      <c r="D386" s="181" t="s">
        <v>1468</v>
      </c>
      <c r="E386" s="491">
        <v>4</v>
      </c>
      <c r="F386" s="20">
        <f t="shared" si="32"/>
        <v>1749.7454545454545</v>
      </c>
      <c r="G386" s="19">
        <f t="shared" si="36"/>
        <v>6998.9818181818182</v>
      </c>
      <c r="H386" s="19">
        <f t="shared" si="37"/>
        <v>28733.619956363633</v>
      </c>
      <c r="I386" s="114" t="s">
        <v>1521</v>
      </c>
      <c r="J386" s="210">
        <f>VLOOKUP(I386,'Reajuste Atual'!$L$19:$M$25,2,FALSE)</f>
        <v>3.1053999999999999</v>
      </c>
      <c r="K386" s="190"/>
      <c r="L386" s="20">
        <v>2405.9</v>
      </c>
      <c r="M386" s="765">
        <f t="shared" si="34"/>
        <v>1718.5000000000002</v>
      </c>
      <c r="N386" s="765">
        <f t="shared" si="33"/>
        <v>1749.7454545454545</v>
      </c>
      <c r="O386" s="765">
        <f t="shared" si="35"/>
        <v>1749.7454545454545</v>
      </c>
    </row>
    <row r="387" spans="1:15" s="98" customFormat="1" outlineLevel="1">
      <c r="A387" s="141" t="s">
        <v>3483</v>
      </c>
      <c r="B387" s="114" t="s">
        <v>638</v>
      </c>
      <c r="C387" s="100" t="s">
        <v>2060</v>
      </c>
      <c r="D387" s="181" t="s">
        <v>1468</v>
      </c>
      <c r="E387" s="491">
        <v>12</v>
      </c>
      <c r="F387" s="20">
        <f t="shared" si="32"/>
        <v>566.46545454545458</v>
      </c>
      <c r="G387" s="19">
        <f t="shared" si="36"/>
        <v>6797.5854545454549</v>
      </c>
      <c r="H387" s="19">
        <f t="shared" si="37"/>
        <v>27906.807325090907</v>
      </c>
      <c r="I387" s="114" t="s">
        <v>1521</v>
      </c>
      <c r="J387" s="210">
        <f>VLOOKUP(I387,'Reajuste Atual'!$L$19:$M$25,2,FALSE)</f>
        <v>3.1053999999999999</v>
      </c>
      <c r="K387" s="190"/>
      <c r="L387" s="20">
        <v>778.89</v>
      </c>
      <c r="M387" s="765">
        <f t="shared" si="34"/>
        <v>556.35</v>
      </c>
      <c r="N387" s="765">
        <f t="shared" si="33"/>
        <v>566.46545454545458</v>
      </c>
      <c r="O387" s="765">
        <f t="shared" si="35"/>
        <v>566.46545454545458</v>
      </c>
    </row>
    <row r="388" spans="1:15" s="98" customFormat="1" outlineLevel="1">
      <c r="A388" s="141" t="s">
        <v>3483</v>
      </c>
      <c r="B388" s="114" t="s">
        <v>639</v>
      </c>
      <c r="C388" s="100" t="s">
        <v>2061</v>
      </c>
      <c r="D388" s="181" t="s">
        <v>1468</v>
      </c>
      <c r="E388" s="491">
        <v>4</v>
      </c>
      <c r="F388" s="20">
        <f t="shared" si="32"/>
        <v>377.64363636363635</v>
      </c>
      <c r="G388" s="19">
        <f t="shared" si="36"/>
        <v>1510.5745454545454</v>
      </c>
      <c r="H388" s="19">
        <f t="shared" si="37"/>
        <v>6201.5127389090894</v>
      </c>
      <c r="I388" s="114" t="s">
        <v>1521</v>
      </c>
      <c r="J388" s="210">
        <f>VLOOKUP(I388,'Reajuste Atual'!$L$19:$M$25,2,FALSE)</f>
        <v>3.1053999999999999</v>
      </c>
      <c r="K388" s="190"/>
      <c r="L388" s="20">
        <v>519.26</v>
      </c>
      <c r="M388" s="765">
        <f t="shared" si="34"/>
        <v>370.90000000000003</v>
      </c>
      <c r="N388" s="765">
        <f t="shared" si="33"/>
        <v>377.64363636363635</v>
      </c>
      <c r="O388" s="765">
        <f t="shared" si="35"/>
        <v>377.64363636363635</v>
      </c>
    </row>
    <row r="389" spans="1:15" s="98" customFormat="1" outlineLevel="1">
      <c r="A389" s="141" t="s">
        <v>3483</v>
      </c>
      <c r="B389" s="114" t="s">
        <v>640</v>
      </c>
      <c r="C389" s="100" t="s">
        <v>2062</v>
      </c>
      <c r="D389" s="181" t="s">
        <v>1468</v>
      </c>
      <c r="E389" s="491">
        <v>8</v>
      </c>
      <c r="F389" s="20">
        <f t="shared" si="32"/>
        <v>226.58909090909091</v>
      </c>
      <c r="G389" s="19">
        <f t="shared" si="36"/>
        <v>1812.7127272727273</v>
      </c>
      <c r="H389" s="19">
        <f t="shared" si="37"/>
        <v>7441.9108305454538</v>
      </c>
      <c r="I389" s="114" t="s">
        <v>1521</v>
      </c>
      <c r="J389" s="210">
        <f>VLOOKUP(I389,'Reajuste Atual'!$L$19:$M$25,2,FALSE)</f>
        <v>3.1053999999999999</v>
      </c>
      <c r="K389" s="190"/>
      <c r="L389" s="20">
        <v>311.56</v>
      </c>
      <c r="M389" s="765">
        <f t="shared" si="34"/>
        <v>222.54285714285714</v>
      </c>
      <c r="N389" s="765">
        <f t="shared" si="33"/>
        <v>226.58909090909091</v>
      </c>
      <c r="O389" s="765">
        <f t="shared" si="35"/>
        <v>226.58909090909091</v>
      </c>
    </row>
    <row r="390" spans="1:15" s="98" customFormat="1" outlineLevel="1">
      <c r="A390" s="141" t="s">
        <v>3483</v>
      </c>
      <c r="B390" s="114" t="s">
        <v>641</v>
      </c>
      <c r="C390" s="100" t="s">
        <v>2063</v>
      </c>
      <c r="D390" s="181" t="s">
        <v>1468</v>
      </c>
      <c r="E390" s="491">
        <v>4</v>
      </c>
      <c r="F390" s="20">
        <f t="shared" si="32"/>
        <v>2970.7999999999997</v>
      </c>
      <c r="G390" s="19">
        <f t="shared" si="36"/>
        <v>11883.199999999999</v>
      </c>
      <c r="H390" s="19">
        <f t="shared" si="37"/>
        <v>48785.28927999999</v>
      </c>
      <c r="I390" s="114" t="s">
        <v>1521</v>
      </c>
      <c r="J390" s="210">
        <f>VLOOKUP(I390,'Reajuste Atual'!$L$19:$M$25,2,FALSE)</f>
        <v>3.1053999999999999</v>
      </c>
      <c r="K390" s="190"/>
      <c r="L390" s="20">
        <v>4084.85</v>
      </c>
      <c r="M390" s="765">
        <f t="shared" si="34"/>
        <v>2917.75</v>
      </c>
      <c r="N390" s="765">
        <f t="shared" si="33"/>
        <v>2970.7999999999997</v>
      </c>
      <c r="O390" s="765">
        <f t="shared" si="35"/>
        <v>2970.7999999999997</v>
      </c>
    </row>
    <row r="391" spans="1:15" s="98" customFormat="1" outlineLevel="1">
      <c r="A391" s="141" t="s">
        <v>3483</v>
      </c>
      <c r="B391" s="114" t="s">
        <v>642</v>
      </c>
      <c r="C391" s="100" t="s">
        <v>2064</v>
      </c>
      <c r="D391" s="181" t="s">
        <v>1468</v>
      </c>
      <c r="E391" s="491">
        <v>8</v>
      </c>
      <c r="F391" s="20">
        <f t="shared" si="32"/>
        <v>708.45818181818186</v>
      </c>
      <c r="G391" s="19">
        <f t="shared" si="36"/>
        <v>5667.6654545454548</v>
      </c>
      <c r="H391" s="19">
        <f t="shared" si="37"/>
        <v>23268.033757090907</v>
      </c>
      <c r="I391" s="114" t="s">
        <v>1521</v>
      </c>
      <c r="J391" s="210">
        <f>VLOOKUP(I391,'Reajuste Atual'!$L$19:$M$25,2,FALSE)</f>
        <v>3.1053999999999999</v>
      </c>
      <c r="K391" s="190"/>
      <c r="L391" s="20">
        <v>974.13</v>
      </c>
      <c r="M391" s="765">
        <f t="shared" si="34"/>
        <v>695.80714285714294</v>
      </c>
      <c r="N391" s="765">
        <f t="shared" si="33"/>
        <v>708.45818181818186</v>
      </c>
      <c r="O391" s="765">
        <f t="shared" si="35"/>
        <v>708.45818181818186</v>
      </c>
    </row>
    <row r="392" spans="1:15" s="98" customFormat="1" outlineLevel="1">
      <c r="A392" s="141" t="s">
        <v>3483</v>
      </c>
      <c r="B392" s="114" t="s">
        <v>643</v>
      </c>
      <c r="C392" s="100" t="s">
        <v>2065</v>
      </c>
      <c r="D392" s="181" t="s">
        <v>1468</v>
      </c>
      <c r="E392" s="491">
        <v>8</v>
      </c>
      <c r="F392" s="20">
        <f t="shared" si="32"/>
        <v>925.22181818181821</v>
      </c>
      <c r="G392" s="19">
        <f t="shared" si="36"/>
        <v>7401.7745454545457</v>
      </c>
      <c r="H392" s="19">
        <f t="shared" si="37"/>
        <v>30387.245218909087</v>
      </c>
      <c r="I392" s="114" t="s">
        <v>1521</v>
      </c>
      <c r="J392" s="210">
        <f>VLOOKUP(I392,'Reajuste Atual'!$L$19:$M$25,2,FALSE)</f>
        <v>3.1053999999999999</v>
      </c>
      <c r="K392" s="190"/>
      <c r="L392" s="20">
        <v>1272.18</v>
      </c>
      <c r="M392" s="765">
        <f t="shared" si="34"/>
        <v>908.70000000000016</v>
      </c>
      <c r="N392" s="765">
        <f t="shared" si="33"/>
        <v>925.22181818181821</v>
      </c>
      <c r="O392" s="765">
        <f t="shared" si="35"/>
        <v>925.22181818181821</v>
      </c>
    </row>
    <row r="393" spans="1:15" s="98" customFormat="1" outlineLevel="1">
      <c r="A393" s="141" t="s">
        <v>3483</v>
      </c>
      <c r="B393" s="114" t="s">
        <v>644</v>
      </c>
      <c r="C393" s="100" t="s">
        <v>2066</v>
      </c>
      <c r="D393" s="181" t="s">
        <v>1468</v>
      </c>
      <c r="E393" s="491">
        <v>4</v>
      </c>
      <c r="F393" s="20">
        <f t="shared" si="32"/>
        <v>95.192727272727268</v>
      </c>
      <c r="G393" s="19">
        <f t="shared" si="36"/>
        <v>380.77090909090907</v>
      </c>
      <c r="H393" s="19">
        <f t="shared" si="37"/>
        <v>1563.2168901818179</v>
      </c>
      <c r="I393" s="114" t="s">
        <v>1521</v>
      </c>
      <c r="J393" s="210">
        <f>VLOOKUP(I393,'Reajuste Atual'!$L$19:$M$25,2,FALSE)</f>
        <v>3.1053999999999999</v>
      </c>
      <c r="K393" s="190"/>
      <c r="L393" s="20">
        <v>130.88999999999999</v>
      </c>
      <c r="M393" s="765">
        <f t="shared" si="34"/>
        <v>93.492857142857133</v>
      </c>
      <c r="N393" s="765">
        <f t="shared" si="33"/>
        <v>95.192727272727268</v>
      </c>
      <c r="O393" s="765">
        <f t="shared" si="35"/>
        <v>95.192727272727268</v>
      </c>
    </row>
    <row r="394" spans="1:15" s="98" customFormat="1" outlineLevel="1">
      <c r="A394" s="141" t="s">
        <v>3483</v>
      </c>
      <c r="B394" s="114" t="s">
        <v>645</v>
      </c>
      <c r="C394" s="100" t="s">
        <v>2067</v>
      </c>
      <c r="D394" s="181" t="s">
        <v>1468</v>
      </c>
      <c r="E394" s="491">
        <v>8</v>
      </c>
      <c r="F394" s="20">
        <f t="shared" si="32"/>
        <v>5853.4836363636359</v>
      </c>
      <c r="G394" s="19">
        <f t="shared" si="36"/>
        <v>46827.869090909087</v>
      </c>
      <c r="H394" s="19">
        <f t="shared" si="37"/>
        <v>192247.13376581814</v>
      </c>
      <c r="I394" s="114" t="s">
        <v>1521</v>
      </c>
      <c r="J394" s="210">
        <f>VLOOKUP(I394,'Reajuste Atual'!$L$19:$M$25,2,FALSE)</f>
        <v>3.1053999999999999</v>
      </c>
      <c r="K394" s="190"/>
      <c r="L394" s="20">
        <v>8048.54</v>
      </c>
      <c r="M394" s="765">
        <f t="shared" si="34"/>
        <v>5748.9571428571435</v>
      </c>
      <c r="N394" s="765">
        <f t="shared" si="33"/>
        <v>5853.4836363636359</v>
      </c>
      <c r="O394" s="765">
        <f t="shared" si="35"/>
        <v>5853.4836363636359</v>
      </c>
    </row>
    <row r="395" spans="1:15" s="98" customFormat="1" ht="31.5" outlineLevel="1">
      <c r="A395" s="141" t="s">
        <v>3483</v>
      </c>
      <c r="B395" s="114" t="s">
        <v>646</v>
      </c>
      <c r="C395" s="100" t="s">
        <v>2068</v>
      </c>
      <c r="D395" s="181" t="s">
        <v>1468</v>
      </c>
      <c r="E395" s="491">
        <v>4</v>
      </c>
      <c r="F395" s="20">
        <f t="shared" si="32"/>
        <v>1800.1018181818181</v>
      </c>
      <c r="G395" s="19">
        <f t="shared" si="36"/>
        <v>7200.4072727272724</v>
      </c>
      <c r="H395" s="19">
        <f t="shared" si="37"/>
        <v>29560.552017454542</v>
      </c>
      <c r="I395" s="114" t="s">
        <v>1521</v>
      </c>
      <c r="J395" s="210">
        <f>VLOOKUP(I395,'Reajuste Atual'!$L$19:$M$25,2,FALSE)</f>
        <v>3.1053999999999999</v>
      </c>
      <c r="K395" s="190"/>
      <c r="L395" s="20">
        <v>2475.14</v>
      </c>
      <c r="M395" s="765">
        <f t="shared" si="34"/>
        <v>1767.9571428571428</v>
      </c>
      <c r="N395" s="765">
        <f t="shared" si="33"/>
        <v>1800.1018181818181</v>
      </c>
      <c r="O395" s="765">
        <f t="shared" si="35"/>
        <v>1800.1018181818181</v>
      </c>
    </row>
    <row r="396" spans="1:15" s="98" customFormat="1" outlineLevel="1">
      <c r="A396" s="141" t="s">
        <v>3483</v>
      </c>
      <c r="B396" s="114" t="s">
        <v>647</v>
      </c>
      <c r="C396" s="100" t="s">
        <v>2069</v>
      </c>
      <c r="D396" s="181" t="s">
        <v>1468</v>
      </c>
      <c r="E396" s="491">
        <v>4</v>
      </c>
      <c r="F396" s="20">
        <f t="shared" si="32"/>
        <v>2467.2727272727275</v>
      </c>
      <c r="G396" s="19">
        <f t="shared" si="36"/>
        <v>9869.0909090909099</v>
      </c>
      <c r="H396" s="19">
        <f t="shared" si="37"/>
        <v>40516.565818181814</v>
      </c>
      <c r="I396" s="114" t="s">
        <v>1521</v>
      </c>
      <c r="J396" s="210">
        <f>VLOOKUP(I396,'Reajuste Atual'!$L$19:$M$25,2,FALSE)</f>
        <v>3.1053999999999999</v>
      </c>
      <c r="K396" s="190"/>
      <c r="L396" s="20">
        <v>3392.5</v>
      </c>
      <c r="M396" s="765">
        <f t="shared" si="34"/>
        <v>2423.2142857142858</v>
      </c>
      <c r="N396" s="765">
        <f t="shared" si="33"/>
        <v>2467.2727272727275</v>
      </c>
      <c r="O396" s="765">
        <f t="shared" si="35"/>
        <v>2467.2727272727275</v>
      </c>
    </row>
    <row r="397" spans="1:15" s="98" customFormat="1" ht="47.25" outlineLevel="1">
      <c r="A397" s="141" t="s">
        <v>3483</v>
      </c>
      <c r="B397" s="114" t="s">
        <v>648</v>
      </c>
      <c r="C397" s="100" t="s">
        <v>1841</v>
      </c>
      <c r="D397" s="22"/>
      <c r="E397" s="491">
        <v>0</v>
      </c>
      <c r="F397" s="20">
        <f t="shared" si="32"/>
        <v>0</v>
      </c>
      <c r="G397" s="19">
        <f t="shared" si="36"/>
        <v>0</v>
      </c>
      <c r="H397" s="19">
        <f t="shared" si="37"/>
        <v>0</v>
      </c>
      <c r="I397" s="114"/>
      <c r="J397" s="210"/>
      <c r="K397" s="190"/>
      <c r="L397" s="20">
        <v>0</v>
      </c>
      <c r="M397" s="765">
        <f t="shared" si="34"/>
        <v>0</v>
      </c>
      <c r="N397" s="765">
        <f t="shared" si="33"/>
        <v>0</v>
      </c>
      <c r="O397" s="765">
        <f t="shared" si="35"/>
        <v>0</v>
      </c>
    </row>
    <row r="398" spans="1:15" s="98" customFormat="1" ht="31.5" outlineLevel="1">
      <c r="A398" s="141" t="s">
        <v>3483</v>
      </c>
      <c r="B398" s="114" t="s">
        <v>649</v>
      </c>
      <c r="C398" s="100" t="s">
        <v>2070</v>
      </c>
      <c r="D398" s="181" t="s">
        <v>1468</v>
      </c>
      <c r="E398" s="491">
        <v>4</v>
      </c>
      <c r="F398" s="20">
        <f t="shared" si="32"/>
        <v>4229.6145454545458</v>
      </c>
      <c r="G398" s="19">
        <f t="shared" si="36"/>
        <v>16918.458181818183</v>
      </c>
      <c r="H398" s="19">
        <f t="shared" si="37"/>
        <v>69457.038219636364</v>
      </c>
      <c r="I398" s="114" t="s">
        <v>1521</v>
      </c>
      <c r="J398" s="210">
        <f>VLOOKUP(I398,'Reajuste Atual'!$L$19:$M$25,2,FALSE)</f>
        <v>3.1053999999999999</v>
      </c>
      <c r="K398" s="190"/>
      <c r="L398" s="20">
        <v>5815.72</v>
      </c>
      <c r="M398" s="765">
        <f t="shared" si="34"/>
        <v>4154.0857142857149</v>
      </c>
      <c r="N398" s="765">
        <f t="shared" si="33"/>
        <v>4229.6145454545458</v>
      </c>
      <c r="O398" s="765">
        <f t="shared" si="35"/>
        <v>4229.6145454545458</v>
      </c>
    </row>
    <row r="399" spans="1:15" s="98" customFormat="1" outlineLevel="1">
      <c r="A399" s="141" t="s">
        <v>3483</v>
      </c>
      <c r="B399" s="114" t="s">
        <v>650</v>
      </c>
      <c r="C399" s="100" t="s">
        <v>2071</v>
      </c>
      <c r="D399" s="181" t="s">
        <v>1468</v>
      </c>
      <c r="E399" s="491">
        <v>4</v>
      </c>
      <c r="F399" s="20">
        <f t="shared" si="32"/>
        <v>1019.6363636363636</v>
      </c>
      <c r="G399" s="19">
        <f t="shared" si="36"/>
        <v>4078.5454545454545</v>
      </c>
      <c r="H399" s="19">
        <f t="shared" si="37"/>
        <v>16744.060509090908</v>
      </c>
      <c r="I399" s="114" t="s">
        <v>1521</v>
      </c>
      <c r="J399" s="210">
        <f>VLOOKUP(I399,'Reajuste Atual'!$L$19:$M$25,2,FALSE)</f>
        <v>3.1053999999999999</v>
      </c>
      <c r="K399" s="190"/>
      <c r="L399" s="20">
        <v>1402</v>
      </c>
      <c r="M399" s="765">
        <f t="shared" si="34"/>
        <v>1001.4285714285714</v>
      </c>
      <c r="N399" s="765">
        <f t="shared" si="33"/>
        <v>1019.6363636363636</v>
      </c>
      <c r="O399" s="765">
        <f t="shared" si="35"/>
        <v>1019.6363636363636</v>
      </c>
    </row>
    <row r="400" spans="1:15" s="98" customFormat="1" outlineLevel="1">
      <c r="A400" s="141" t="s">
        <v>3483</v>
      </c>
      <c r="B400" s="114" t="s">
        <v>651</v>
      </c>
      <c r="C400" s="100" t="s">
        <v>2072</v>
      </c>
      <c r="D400" s="181" t="s">
        <v>1468</v>
      </c>
      <c r="E400" s="491">
        <v>4</v>
      </c>
      <c r="F400" s="20">
        <f t="shared" si="32"/>
        <v>2706.4509090909091</v>
      </c>
      <c r="G400" s="19">
        <f t="shared" si="36"/>
        <v>10825.803636363637</v>
      </c>
      <c r="H400" s="19">
        <f t="shared" si="37"/>
        <v>44444.254248727266</v>
      </c>
      <c r="I400" s="114" t="s">
        <v>1521</v>
      </c>
      <c r="J400" s="210">
        <f>VLOOKUP(I400,'Reajuste Atual'!$L$19:$M$25,2,FALSE)</f>
        <v>3.1053999999999999</v>
      </c>
      <c r="K400" s="190"/>
      <c r="L400" s="20">
        <v>3721.37</v>
      </c>
      <c r="M400" s="765">
        <f t="shared" si="34"/>
        <v>2658.1214285714286</v>
      </c>
      <c r="N400" s="765">
        <f t="shared" si="33"/>
        <v>2706.4509090909091</v>
      </c>
      <c r="O400" s="765">
        <f t="shared" si="35"/>
        <v>2706.4509090909091</v>
      </c>
    </row>
    <row r="401" spans="1:15" s="98" customFormat="1" outlineLevel="1">
      <c r="A401" s="141" t="s">
        <v>3483</v>
      </c>
      <c r="B401" s="114" t="s">
        <v>652</v>
      </c>
      <c r="C401" s="100" t="s">
        <v>2073</v>
      </c>
      <c r="D401" s="181" t="s">
        <v>1468</v>
      </c>
      <c r="E401" s="491">
        <v>8</v>
      </c>
      <c r="F401" s="20">
        <f t="shared" si="32"/>
        <v>830.8145454545454</v>
      </c>
      <c r="G401" s="19">
        <f t="shared" si="36"/>
        <v>6646.5163636363632</v>
      </c>
      <c r="H401" s="19">
        <f t="shared" si="37"/>
        <v>27286.608279272721</v>
      </c>
      <c r="I401" s="114" t="s">
        <v>1521</v>
      </c>
      <c r="J401" s="210">
        <f>VLOOKUP(I401,'Reajuste Atual'!$L$19:$M$25,2,FALSE)</f>
        <v>3.1053999999999999</v>
      </c>
      <c r="K401" s="190"/>
      <c r="L401" s="20">
        <v>1142.3699999999999</v>
      </c>
      <c r="M401" s="765">
        <f t="shared" si="34"/>
        <v>815.9785714285714</v>
      </c>
      <c r="N401" s="765">
        <f t="shared" si="33"/>
        <v>830.8145454545454</v>
      </c>
      <c r="O401" s="765">
        <f t="shared" si="35"/>
        <v>830.8145454545454</v>
      </c>
    </row>
    <row r="402" spans="1:15" s="98" customFormat="1" outlineLevel="1">
      <c r="A402" s="141" t="s">
        <v>3483</v>
      </c>
      <c r="B402" s="114" t="s">
        <v>653</v>
      </c>
      <c r="C402" s="100" t="s">
        <v>2074</v>
      </c>
      <c r="D402" s="181" t="s">
        <v>1468</v>
      </c>
      <c r="E402" s="491">
        <v>4</v>
      </c>
      <c r="F402" s="20">
        <f t="shared" si="32"/>
        <v>5704.5818181818186</v>
      </c>
      <c r="G402" s="19">
        <f t="shared" si="36"/>
        <v>22818.327272727274</v>
      </c>
      <c r="H402" s="19">
        <f t="shared" si="37"/>
        <v>93678.360785454541</v>
      </c>
      <c r="I402" s="114" t="s">
        <v>1521</v>
      </c>
      <c r="J402" s="210">
        <f>VLOOKUP(I402,'Reajuste Atual'!$L$19:$M$25,2,FALSE)</f>
        <v>3.1053999999999999</v>
      </c>
      <c r="K402" s="190"/>
      <c r="L402" s="20">
        <v>7843.8</v>
      </c>
      <c r="M402" s="765">
        <f t="shared" si="34"/>
        <v>5602.7142857142862</v>
      </c>
      <c r="N402" s="765">
        <f t="shared" si="33"/>
        <v>5704.5818181818186</v>
      </c>
      <c r="O402" s="765">
        <f t="shared" si="35"/>
        <v>5704.5818181818186</v>
      </c>
    </row>
    <row r="403" spans="1:15" s="98" customFormat="1" outlineLevel="1">
      <c r="A403" s="141" t="s">
        <v>3483</v>
      </c>
      <c r="B403" s="114" t="s">
        <v>654</v>
      </c>
      <c r="C403" s="100" t="s">
        <v>2075</v>
      </c>
      <c r="D403" s="181" t="s">
        <v>1468</v>
      </c>
      <c r="E403" s="491">
        <v>4</v>
      </c>
      <c r="F403" s="20">
        <f t="shared" si="32"/>
        <v>736.4</v>
      </c>
      <c r="G403" s="19">
        <f t="shared" si="36"/>
        <v>2945.6</v>
      </c>
      <c r="H403" s="19">
        <f t="shared" si="37"/>
        <v>12092.866239999998</v>
      </c>
      <c r="I403" s="114" t="s">
        <v>1521</v>
      </c>
      <c r="J403" s="210">
        <f>VLOOKUP(I403,'Reajuste Atual'!$L$19:$M$25,2,FALSE)</f>
        <v>3.1053999999999999</v>
      </c>
      <c r="K403" s="190"/>
      <c r="L403" s="20">
        <v>1012.55</v>
      </c>
      <c r="M403" s="765">
        <f t="shared" si="34"/>
        <v>723.25</v>
      </c>
      <c r="N403" s="765">
        <f t="shared" si="33"/>
        <v>736.4</v>
      </c>
      <c r="O403" s="765">
        <f t="shared" si="35"/>
        <v>736.4</v>
      </c>
    </row>
    <row r="404" spans="1:15" s="98" customFormat="1" outlineLevel="1">
      <c r="A404" s="141" t="s">
        <v>3483</v>
      </c>
      <c r="B404" s="114" t="s">
        <v>655</v>
      </c>
      <c r="C404" s="100" t="s">
        <v>2076</v>
      </c>
      <c r="D404" s="181" t="s">
        <v>1468</v>
      </c>
      <c r="E404" s="491">
        <v>4</v>
      </c>
      <c r="F404" s="20">
        <f t="shared" si="32"/>
        <v>944.10909090909092</v>
      </c>
      <c r="G404" s="19">
        <f t="shared" si="36"/>
        <v>3776.4363636363637</v>
      </c>
      <c r="H404" s="19">
        <f t="shared" si="37"/>
        <v>15503.781847272725</v>
      </c>
      <c r="I404" s="114" t="s">
        <v>1521</v>
      </c>
      <c r="J404" s="210">
        <f>VLOOKUP(I404,'Reajuste Atual'!$L$19:$M$25,2,FALSE)</f>
        <v>3.1053999999999999</v>
      </c>
      <c r="K404" s="190"/>
      <c r="L404" s="20">
        <v>1298.1500000000001</v>
      </c>
      <c r="M404" s="765">
        <f t="shared" si="34"/>
        <v>927.25000000000011</v>
      </c>
      <c r="N404" s="765">
        <f t="shared" si="33"/>
        <v>944.10909090909092</v>
      </c>
      <c r="O404" s="765">
        <f t="shared" si="35"/>
        <v>944.10909090909092</v>
      </c>
    </row>
    <row r="405" spans="1:15" s="98" customFormat="1" outlineLevel="1">
      <c r="A405" s="141" t="s">
        <v>3483</v>
      </c>
      <c r="B405" s="114" t="s">
        <v>656</v>
      </c>
      <c r="C405" s="100" t="s">
        <v>2077</v>
      </c>
      <c r="D405" s="181" t="s">
        <v>1468</v>
      </c>
      <c r="E405" s="491">
        <v>4</v>
      </c>
      <c r="F405" s="20">
        <f t="shared" si="32"/>
        <v>1497.9854545454546</v>
      </c>
      <c r="G405" s="19">
        <f t="shared" si="36"/>
        <v>5991.9418181818182</v>
      </c>
      <c r="H405" s="19">
        <f t="shared" si="37"/>
        <v>24599.317940363635</v>
      </c>
      <c r="I405" s="114" t="s">
        <v>1521</v>
      </c>
      <c r="J405" s="210">
        <f>VLOOKUP(I405,'Reajuste Atual'!$L$19:$M$25,2,FALSE)</f>
        <v>3.1053999999999999</v>
      </c>
      <c r="K405" s="190"/>
      <c r="L405" s="20">
        <v>2059.73</v>
      </c>
      <c r="M405" s="765">
        <f t="shared" si="34"/>
        <v>1471.2357142857145</v>
      </c>
      <c r="N405" s="765">
        <f t="shared" si="33"/>
        <v>1497.9854545454546</v>
      </c>
      <c r="O405" s="765">
        <f t="shared" si="35"/>
        <v>1497.9854545454546</v>
      </c>
    </row>
    <row r="406" spans="1:15" s="98" customFormat="1" outlineLevel="1">
      <c r="A406" s="141" t="s">
        <v>3483</v>
      </c>
      <c r="B406" s="114" t="s">
        <v>657</v>
      </c>
      <c r="C406" s="100" t="s">
        <v>2078</v>
      </c>
      <c r="D406" s="181" t="s">
        <v>1468</v>
      </c>
      <c r="E406" s="491">
        <v>4</v>
      </c>
      <c r="F406" s="20">
        <f t="shared" si="32"/>
        <v>2844.9236363636364</v>
      </c>
      <c r="G406" s="19">
        <f t="shared" si="36"/>
        <v>11379.694545454546</v>
      </c>
      <c r="H406" s="19">
        <f t="shared" si="37"/>
        <v>46718.197986909086</v>
      </c>
      <c r="I406" s="114" t="s">
        <v>1521</v>
      </c>
      <c r="J406" s="210">
        <f>VLOOKUP(I406,'Reajuste Atual'!$L$19:$M$25,2,FALSE)</f>
        <v>3.1053999999999999</v>
      </c>
      <c r="K406" s="190"/>
      <c r="L406" s="20">
        <v>3911.77</v>
      </c>
      <c r="M406" s="765">
        <f t="shared" si="34"/>
        <v>2794.1214285714286</v>
      </c>
      <c r="N406" s="765">
        <f t="shared" si="33"/>
        <v>2844.9236363636364</v>
      </c>
      <c r="O406" s="765">
        <f t="shared" si="35"/>
        <v>2844.9236363636364</v>
      </c>
    </row>
    <row r="407" spans="1:15" s="98" customFormat="1" outlineLevel="1">
      <c r="A407" s="141" t="s">
        <v>3483</v>
      </c>
      <c r="B407" s="114" t="s">
        <v>658</v>
      </c>
      <c r="C407" s="100" t="s">
        <v>2079</v>
      </c>
      <c r="D407" s="181" t="s">
        <v>1468</v>
      </c>
      <c r="E407" s="491">
        <v>12</v>
      </c>
      <c r="F407" s="20">
        <f t="shared" si="32"/>
        <v>742.69818181818187</v>
      </c>
      <c r="G407" s="19">
        <f t="shared" si="36"/>
        <v>8912.3781818181815</v>
      </c>
      <c r="H407" s="19">
        <f t="shared" si="37"/>
        <v>36588.877387636356</v>
      </c>
      <c r="I407" s="114" t="s">
        <v>1521</v>
      </c>
      <c r="J407" s="210">
        <f>VLOOKUP(I407,'Reajuste Atual'!$L$19:$M$25,2,FALSE)</f>
        <v>3.1053999999999999</v>
      </c>
      <c r="K407" s="190"/>
      <c r="L407" s="20">
        <v>1021.21</v>
      </c>
      <c r="M407" s="765">
        <f t="shared" si="34"/>
        <v>729.43571428571431</v>
      </c>
      <c r="N407" s="765">
        <f t="shared" si="33"/>
        <v>742.69818181818187</v>
      </c>
      <c r="O407" s="765">
        <f t="shared" si="35"/>
        <v>742.69818181818187</v>
      </c>
    </row>
    <row r="408" spans="1:15" s="98" customFormat="1" outlineLevel="1">
      <c r="A408" s="141" t="s">
        <v>3483</v>
      </c>
      <c r="B408" s="114" t="s">
        <v>659</v>
      </c>
      <c r="C408" s="100" t="s">
        <v>2080</v>
      </c>
      <c r="D408" s="181" t="s">
        <v>1468</v>
      </c>
      <c r="E408" s="491">
        <v>4</v>
      </c>
      <c r="F408" s="20">
        <f t="shared" si="32"/>
        <v>3109.2654545454543</v>
      </c>
      <c r="G408" s="19">
        <f t="shared" si="36"/>
        <v>12437.061818181817</v>
      </c>
      <c r="H408" s="19">
        <f t="shared" si="37"/>
        <v>51059.113588363623</v>
      </c>
      <c r="I408" s="114" t="s">
        <v>1521</v>
      </c>
      <c r="J408" s="210">
        <f>VLOOKUP(I408,'Reajuste Atual'!$L$19:$M$25,2,FALSE)</f>
        <v>3.1053999999999999</v>
      </c>
      <c r="K408" s="190"/>
      <c r="L408" s="20">
        <v>4275.24</v>
      </c>
      <c r="M408" s="765">
        <f t="shared" si="34"/>
        <v>3053.7428571428572</v>
      </c>
      <c r="N408" s="765">
        <f t="shared" si="33"/>
        <v>3109.2654545454543</v>
      </c>
      <c r="O408" s="765">
        <f t="shared" si="35"/>
        <v>3109.2654545454543</v>
      </c>
    </row>
    <row r="409" spans="1:15" s="98" customFormat="1" outlineLevel="1">
      <c r="A409" s="141" t="s">
        <v>3483</v>
      </c>
      <c r="B409" s="114" t="s">
        <v>660</v>
      </c>
      <c r="C409" s="100" t="s">
        <v>2081</v>
      </c>
      <c r="D409" s="181" t="s">
        <v>1468</v>
      </c>
      <c r="E409" s="491">
        <v>4</v>
      </c>
      <c r="F409" s="20">
        <f t="shared" si="32"/>
        <v>188.82181818181817</v>
      </c>
      <c r="G409" s="19">
        <f t="shared" si="36"/>
        <v>755.28727272727269</v>
      </c>
      <c r="H409" s="19">
        <f t="shared" si="37"/>
        <v>3100.7563694545447</v>
      </c>
      <c r="I409" s="114" t="s">
        <v>1521</v>
      </c>
      <c r="J409" s="210">
        <f>VLOOKUP(I409,'Reajuste Atual'!$L$19:$M$25,2,FALSE)</f>
        <v>3.1053999999999999</v>
      </c>
      <c r="K409" s="190"/>
      <c r="L409" s="20">
        <v>259.63</v>
      </c>
      <c r="M409" s="765">
        <f t="shared" si="34"/>
        <v>185.45000000000002</v>
      </c>
      <c r="N409" s="765">
        <f t="shared" si="33"/>
        <v>188.82181818181817</v>
      </c>
      <c r="O409" s="765">
        <f t="shared" si="35"/>
        <v>188.82181818181817</v>
      </c>
    </row>
    <row r="410" spans="1:15" s="98" customFormat="1" outlineLevel="1">
      <c r="A410" s="141" t="s">
        <v>3483</v>
      </c>
      <c r="B410" s="114" t="s">
        <v>661</v>
      </c>
      <c r="C410" s="100" t="s">
        <v>2082</v>
      </c>
      <c r="D410" s="181" t="s">
        <v>1468</v>
      </c>
      <c r="E410" s="491">
        <v>4</v>
      </c>
      <c r="F410" s="20">
        <f t="shared" ref="F410:F473" si="38">O410</f>
        <v>409.11272727272723</v>
      </c>
      <c r="G410" s="19">
        <f t="shared" si="36"/>
        <v>1636.4509090909089</v>
      </c>
      <c r="H410" s="19">
        <f t="shared" si="37"/>
        <v>6718.2855621818162</v>
      </c>
      <c r="I410" s="114" t="s">
        <v>1521</v>
      </c>
      <c r="J410" s="210">
        <f>VLOOKUP(I410,'Reajuste Atual'!$L$19:$M$25,2,FALSE)</f>
        <v>3.1053999999999999</v>
      </c>
      <c r="K410" s="190"/>
      <c r="L410" s="20">
        <v>562.53</v>
      </c>
      <c r="M410" s="765">
        <f t="shared" si="34"/>
        <v>401.80714285714288</v>
      </c>
      <c r="N410" s="765">
        <f t="shared" ref="N410:N473" si="39">L410/($N$23+1)</f>
        <v>409.11272727272723</v>
      </c>
      <c r="O410" s="765">
        <f t="shared" si="35"/>
        <v>409.11272727272723</v>
      </c>
    </row>
    <row r="411" spans="1:15" s="98" customFormat="1" outlineLevel="1">
      <c r="A411" s="141" t="s">
        <v>3483</v>
      </c>
      <c r="B411" s="114" t="s">
        <v>662</v>
      </c>
      <c r="C411" s="100" t="s">
        <v>2083</v>
      </c>
      <c r="D411" s="181" t="s">
        <v>1468</v>
      </c>
      <c r="E411" s="491">
        <v>4</v>
      </c>
      <c r="F411" s="20">
        <f t="shared" si="38"/>
        <v>3927.4981818181823</v>
      </c>
      <c r="G411" s="19">
        <f t="shared" si="36"/>
        <v>15709.992727272729</v>
      </c>
      <c r="H411" s="19">
        <f t="shared" si="37"/>
        <v>64495.804142545458</v>
      </c>
      <c r="I411" s="114" t="s">
        <v>1521</v>
      </c>
      <c r="J411" s="210">
        <f>VLOOKUP(I411,'Reajuste Atual'!$L$19:$M$25,2,FALSE)</f>
        <v>3.1053999999999999</v>
      </c>
      <c r="K411" s="190"/>
      <c r="L411" s="20">
        <v>5400.31</v>
      </c>
      <c r="M411" s="765">
        <f t="shared" ref="M411:M474" si="40">L411/($M$23+1)</f>
        <v>3857.3642857142863</v>
      </c>
      <c r="N411" s="765">
        <f t="shared" si="39"/>
        <v>3927.4981818181823</v>
      </c>
      <c r="O411" s="765">
        <f t="shared" si="35"/>
        <v>3927.4981818181823</v>
      </c>
    </row>
    <row r="412" spans="1:15" s="98" customFormat="1" outlineLevel="1">
      <c r="A412" s="141" t="s">
        <v>3483</v>
      </c>
      <c r="B412" s="114" t="s">
        <v>663</v>
      </c>
      <c r="C412" s="100" t="s">
        <v>2084</v>
      </c>
      <c r="D412" s="181" t="s">
        <v>1468</v>
      </c>
      <c r="E412" s="491">
        <v>8</v>
      </c>
      <c r="F412" s="20">
        <f t="shared" si="38"/>
        <v>205.51999999999998</v>
      </c>
      <c r="G412" s="19">
        <f t="shared" si="36"/>
        <v>1644.1599999999999</v>
      </c>
      <c r="H412" s="19">
        <f t="shared" si="37"/>
        <v>6749.934463999999</v>
      </c>
      <c r="I412" s="114" t="s">
        <v>1521</v>
      </c>
      <c r="J412" s="210">
        <f>VLOOKUP(I412,'Reajuste Atual'!$L$19:$M$25,2,FALSE)</f>
        <v>3.1053999999999999</v>
      </c>
      <c r="K412" s="190"/>
      <c r="L412" s="20">
        <v>282.58999999999997</v>
      </c>
      <c r="M412" s="765">
        <f t="shared" si="40"/>
        <v>201.85</v>
      </c>
      <c r="N412" s="765">
        <f t="shared" si="39"/>
        <v>205.51999999999998</v>
      </c>
      <c r="O412" s="765">
        <f t="shared" ref="O412:O475" si="41">IF(A412="S",M412,N412)</f>
        <v>205.51999999999998</v>
      </c>
    </row>
    <row r="413" spans="1:15" s="98" customFormat="1" outlineLevel="1">
      <c r="A413" s="141" t="s">
        <v>3483</v>
      </c>
      <c r="B413" s="114" t="s">
        <v>664</v>
      </c>
      <c r="C413" s="100" t="s">
        <v>2085</v>
      </c>
      <c r="D413" s="181" t="s">
        <v>1468</v>
      </c>
      <c r="E413" s="491">
        <v>4</v>
      </c>
      <c r="F413" s="20">
        <f t="shared" si="38"/>
        <v>3267.5636363636363</v>
      </c>
      <c r="G413" s="19">
        <f t="shared" si="36"/>
        <v>13070.254545454545</v>
      </c>
      <c r="H413" s="19">
        <f t="shared" si="37"/>
        <v>53658.623010909083</v>
      </c>
      <c r="I413" s="114" t="s">
        <v>1521</v>
      </c>
      <c r="J413" s="210">
        <f>VLOOKUP(I413,'Reajuste Atual'!$L$19:$M$25,2,FALSE)</f>
        <v>3.1053999999999999</v>
      </c>
      <c r="K413" s="190"/>
      <c r="L413" s="20">
        <v>4492.8999999999996</v>
      </c>
      <c r="M413" s="765">
        <f t="shared" si="40"/>
        <v>3209.2142857142858</v>
      </c>
      <c r="N413" s="765">
        <f t="shared" si="39"/>
        <v>3267.5636363636363</v>
      </c>
      <c r="O413" s="765">
        <f t="shared" si="41"/>
        <v>3267.5636363636363</v>
      </c>
    </row>
    <row r="414" spans="1:15" s="98" customFormat="1" outlineLevel="1">
      <c r="A414" s="141" t="s">
        <v>3483</v>
      </c>
      <c r="B414" s="114" t="s">
        <v>665</v>
      </c>
      <c r="C414" s="100" t="s">
        <v>2086</v>
      </c>
      <c r="D414" s="181" t="s">
        <v>1468</v>
      </c>
      <c r="E414" s="491">
        <v>4</v>
      </c>
      <c r="F414" s="20">
        <f t="shared" si="38"/>
        <v>5481.8836363636365</v>
      </c>
      <c r="G414" s="19">
        <f t="shared" si="36"/>
        <v>21927.534545454546</v>
      </c>
      <c r="H414" s="19">
        <f t="shared" si="37"/>
        <v>90021.300322909083</v>
      </c>
      <c r="I414" s="114" t="s">
        <v>1521</v>
      </c>
      <c r="J414" s="210">
        <f>VLOOKUP(I414,'Reajuste Atual'!$L$19:$M$25,2,FALSE)</f>
        <v>3.1053999999999999</v>
      </c>
      <c r="K414" s="190"/>
      <c r="L414" s="20">
        <v>7537.59</v>
      </c>
      <c r="M414" s="765">
        <f t="shared" si="40"/>
        <v>5383.9928571428572</v>
      </c>
      <c r="N414" s="765">
        <f t="shared" si="39"/>
        <v>5481.8836363636365</v>
      </c>
      <c r="O414" s="765">
        <f t="shared" si="41"/>
        <v>5481.8836363636365</v>
      </c>
    </row>
    <row r="415" spans="1:15" s="98" customFormat="1" outlineLevel="1">
      <c r="A415" s="141" t="s">
        <v>3483</v>
      </c>
      <c r="B415" s="114" t="s">
        <v>666</v>
      </c>
      <c r="C415" s="100" t="s">
        <v>2087</v>
      </c>
      <c r="D415" s="181" t="s">
        <v>1468</v>
      </c>
      <c r="E415" s="491">
        <v>4</v>
      </c>
      <c r="F415" s="20">
        <f t="shared" si="38"/>
        <v>1048.6400000000001</v>
      </c>
      <c r="G415" s="19">
        <f t="shared" si="36"/>
        <v>4194.5600000000004</v>
      </c>
      <c r="H415" s="19">
        <f t="shared" si="37"/>
        <v>17220.346623999998</v>
      </c>
      <c r="I415" s="114" t="s">
        <v>1521</v>
      </c>
      <c r="J415" s="210">
        <f>VLOOKUP(I415,'Reajuste Atual'!$L$19:$M$25,2,FALSE)</f>
        <v>3.1053999999999999</v>
      </c>
      <c r="K415" s="190"/>
      <c r="L415" s="20">
        <v>1441.88</v>
      </c>
      <c r="M415" s="765">
        <f t="shared" si="40"/>
        <v>1029.9142857142858</v>
      </c>
      <c r="N415" s="765">
        <f t="shared" si="39"/>
        <v>1048.6400000000001</v>
      </c>
      <c r="O415" s="765">
        <f t="shared" si="41"/>
        <v>1048.6400000000001</v>
      </c>
    </row>
    <row r="416" spans="1:15" s="98" customFormat="1" outlineLevel="1">
      <c r="A416" s="141" t="s">
        <v>3483</v>
      </c>
      <c r="B416" s="114" t="s">
        <v>667</v>
      </c>
      <c r="C416" s="100" t="s">
        <v>2088</v>
      </c>
      <c r="D416" s="181" t="s">
        <v>1468</v>
      </c>
      <c r="E416" s="491">
        <v>12</v>
      </c>
      <c r="F416" s="20">
        <f t="shared" si="38"/>
        <v>545.28</v>
      </c>
      <c r="G416" s="19">
        <f t="shared" si="36"/>
        <v>6543.36</v>
      </c>
      <c r="H416" s="19">
        <f t="shared" si="37"/>
        <v>26863.110143999995</v>
      </c>
      <c r="I416" s="114" t="s">
        <v>1521</v>
      </c>
      <c r="J416" s="210">
        <f>VLOOKUP(I416,'Reajuste Atual'!$L$19:$M$25,2,FALSE)</f>
        <v>3.1053999999999999</v>
      </c>
      <c r="K416" s="190"/>
      <c r="L416" s="20">
        <v>749.76</v>
      </c>
      <c r="M416" s="765">
        <f t="shared" si="40"/>
        <v>535.5428571428572</v>
      </c>
      <c r="N416" s="765">
        <f t="shared" si="39"/>
        <v>545.28</v>
      </c>
      <c r="O416" s="765">
        <f t="shared" si="41"/>
        <v>545.28</v>
      </c>
    </row>
    <row r="417" spans="1:15" s="98" customFormat="1" outlineLevel="1">
      <c r="A417" s="141" t="s">
        <v>3483</v>
      </c>
      <c r="B417" s="114" t="s">
        <v>668</v>
      </c>
      <c r="C417" s="100" t="s">
        <v>2089</v>
      </c>
      <c r="D417" s="181" t="s">
        <v>1468</v>
      </c>
      <c r="E417" s="491">
        <v>4</v>
      </c>
      <c r="F417" s="20">
        <f t="shared" si="38"/>
        <v>352.33454545454543</v>
      </c>
      <c r="G417" s="19">
        <f t="shared" si="36"/>
        <v>1409.3381818181817</v>
      </c>
      <c r="H417" s="19">
        <f t="shared" si="37"/>
        <v>5785.8969716363627</v>
      </c>
      <c r="I417" s="114" t="s">
        <v>1521</v>
      </c>
      <c r="J417" s="210">
        <f>VLOOKUP(I417,'Reajuste Atual'!$L$19:$M$25,2,FALSE)</f>
        <v>3.1053999999999999</v>
      </c>
      <c r="K417" s="190"/>
      <c r="L417" s="20">
        <v>484.46</v>
      </c>
      <c r="M417" s="765">
        <f t="shared" si="40"/>
        <v>346.04285714285714</v>
      </c>
      <c r="N417" s="765">
        <f t="shared" si="39"/>
        <v>352.33454545454543</v>
      </c>
      <c r="O417" s="765">
        <f t="shared" si="41"/>
        <v>352.33454545454543</v>
      </c>
    </row>
    <row r="418" spans="1:15" s="98" customFormat="1" outlineLevel="1">
      <c r="A418" s="141" t="s">
        <v>3483</v>
      </c>
      <c r="B418" s="114" t="s">
        <v>669</v>
      </c>
      <c r="C418" s="100" t="s">
        <v>2090</v>
      </c>
      <c r="D418" s="181" t="s">
        <v>1468</v>
      </c>
      <c r="E418" s="491">
        <v>4</v>
      </c>
      <c r="F418" s="20">
        <f t="shared" si="38"/>
        <v>142.6109090909091</v>
      </c>
      <c r="G418" s="19">
        <f t="shared" si="36"/>
        <v>570.44363636363641</v>
      </c>
      <c r="H418" s="19">
        <f t="shared" si="37"/>
        <v>2341.8993047272725</v>
      </c>
      <c r="I418" s="114" t="s">
        <v>1521</v>
      </c>
      <c r="J418" s="210">
        <f>VLOOKUP(I418,'Reajuste Atual'!$L$19:$M$25,2,FALSE)</f>
        <v>3.1053999999999999</v>
      </c>
      <c r="K418" s="190"/>
      <c r="L418" s="20">
        <v>196.09</v>
      </c>
      <c r="M418" s="765">
        <f t="shared" si="40"/>
        <v>140.06428571428572</v>
      </c>
      <c r="N418" s="765">
        <f t="shared" si="39"/>
        <v>142.6109090909091</v>
      </c>
      <c r="O418" s="765">
        <f t="shared" si="41"/>
        <v>142.6109090909091</v>
      </c>
    </row>
    <row r="419" spans="1:15" s="98" customFormat="1" outlineLevel="1">
      <c r="A419" s="141" t="s">
        <v>3483</v>
      </c>
      <c r="B419" s="114" t="s">
        <v>670</v>
      </c>
      <c r="C419" s="100" t="s">
        <v>2091</v>
      </c>
      <c r="D419" s="181" t="s">
        <v>1468</v>
      </c>
      <c r="E419" s="491">
        <v>4</v>
      </c>
      <c r="F419" s="20">
        <f t="shared" si="38"/>
        <v>54.516363636363629</v>
      </c>
      <c r="G419" s="19">
        <f t="shared" si="36"/>
        <v>218.06545454545451</v>
      </c>
      <c r="H419" s="19">
        <f t="shared" si="37"/>
        <v>895.24591709090885</v>
      </c>
      <c r="I419" s="114" t="s">
        <v>1521</v>
      </c>
      <c r="J419" s="210">
        <f>VLOOKUP(I419,'Reajuste Atual'!$L$19:$M$25,2,FALSE)</f>
        <v>3.1053999999999999</v>
      </c>
      <c r="K419" s="190"/>
      <c r="L419" s="20">
        <v>74.959999999999994</v>
      </c>
      <c r="M419" s="765">
        <f t="shared" si="40"/>
        <v>53.542857142857144</v>
      </c>
      <c r="N419" s="765">
        <f t="shared" si="39"/>
        <v>54.516363636363629</v>
      </c>
      <c r="O419" s="765">
        <f t="shared" si="41"/>
        <v>54.516363636363629</v>
      </c>
    </row>
    <row r="420" spans="1:15" s="98" customFormat="1" outlineLevel="1">
      <c r="A420" s="141" t="s">
        <v>3483</v>
      </c>
      <c r="B420" s="114" t="s">
        <v>671</v>
      </c>
      <c r="C420" s="100" t="s">
        <v>2092</v>
      </c>
      <c r="D420" s="181" t="s">
        <v>1468</v>
      </c>
      <c r="E420" s="491">
        <v>12</v>
      </c>
      <c r="F420" s="20">
        <f t="shared" si="38"/>
        <v>88.087272727272733</v>
      </c>
      <c r="G420" s="19">
        <f t="shared" si="36"/>
        <v>1057.0472727272727</v>
      </c>
      <c r="H420" s="19">
        <f t="shared" si="37"/>
        <v>4339.6018734545451</v>
      </c>
      <c r="I420" s="114" t="s">
        <v>1521</v>
      </c>
      <c r="J420" s="210">
        <f>VLOOKUP(I420,'Reajuste Atual'!$L$19:$M$25,2,FALSE)</f>
        <v>3.1053999999999999</v>
      </c>
      <c r="K420" s="190"/>
      <c r="L420" s="20">
        <v>121.12</v>
      </c>
      <c r="M420" s="765">
        <f t="shared" si="40"/>
        <v>86.51428571428572</v>
      </c>
      <c r="N420" s="765">
        <f t="shared" si="39"/>
        <v>88.087272727272733</v>
      </c>
      <c r="O420" s="765">
        <f t="shared" si="41"/>
        <v>88.087272727272733</v>
      </c>
    </row>
    <row r="421" spans="1:15" s="98" customFormat="1" outlineLevel="1">
      <c r="A421" s="141" t="s">
        <v>3483</v>
      </c>
      <c r="B421" s="114" t="s">
        <v>672</v>
      </c>
      <c r="C421" s="100" t="s">
        <v>2093</v>
      </c>
      <c r="D421" s="181" t="s">
        <v>1468</v>
      </c>
      <c r="E421" s="491">
        <v>4</v>
      </c>
      <c r="F421" s="20">
        <f t="shared" si="38"/>
        <v>142.6109090909091</v>
      </c>
      <c r="G421" s="19">
        <f t="shared" si="36"/>
        <v>570.44363636363641</v>
      </c>
      <c r="H421" s="19">
        <f t="shared" si="37"/>
        <v>2341.8993047272725</v>
      </c>
      <c r="I421" s="114" t="s">
        <v>1521</v>
      </c>
      <c r="J421" s="210">
        <f>VLOOKUP(I421,'Reajuste Atual'!$L$19:$M$25,2,FALSE)</f>
        <v>3.1053999999999999</v>
      </c>
      <c r="K421" s="190"/>
      <c r="L421" s="20">
        <v>196.09</v>
      </c>
      <c r="M421" s="765">
        <f t="shared" si="40"/>
        <v>140.06428571428572</v>
      </c>
      <c r="N421" s="765">
        <f t="shared" si="39"/>
        <v>142.6109090909091</v>
      </c>
      <c r="O421" s="765">
        <f t="shared" si="41"/>
        <v>142.6109090909091</v>
      </c>
    </row>
    <row r="422" spans="1:15" s="98" customFormat="1" outlineLevel="1">
      <c r="A422" s="141" t="s">
        <v>3483</v>
      </c>
      <c r="B422" s="114" t="s">
        <v>673</v>
      </c>
      <c r="C422" s="100" t="s">
        <v>2094</v>
      </c>
      <c r="D422" s="181" t="s">
        <v>1468</v>
      </c>
      <c r="E422" s="491">
        <v>8</v>
      </c>
      <c r="F422" s="20">
        <f t="shared" si="38"/>
        <v>33.549090909090914</v>
      </c>
      <c r="G422" s="19">
        <f t="shared" si="36"/>
        <v>268.39272727272731</v>
      </c>
      <c r="H422" s="19">
        <f t="shared" si="37"/>
        <v>1101.8595025454547</v>
      </c>
      <c r="I422" s="114" t="s">
        <v>1521</v>
      </c>
      <c r="J422" s="210">
        <f>VLOOKUP(I422,'Reajuste Atual'!$L$19:$M$25,2,FALSE)</f>
        <v>3.1053999999999999</v>
      </c>
      <c r="K422" s="190"/>
      <c r="L422" s="20">
        <v>46.13</v>
      </c>
      <c r="M422" s="765">
        <f t="shared" si="40"/>
        <v>32.950000000000003</v>
      </c>
      <c r="N422" s="765">
        <f t="shared" si="39"/>
        <v>33.549090909090914</v>
      </c>
      <c r="O422" s="765">
        <f t="shared" si="41"/>
        <v>33.549090909090914</v>
      </c>
    </row>
    <row r="423" spans="1:15" s="98" customFormat="1" outlineLevel="1">
      <c r="A423" s="141" t="s">
        <v>3483</v>
      </c>
      <c r="B423" s="114" t="s">
        <v>674</v>
      </c>
      <c r="C423" s="100" t="s">
        <v>2095</v>
      </c>
      <c r="D423" s="181" t="s">
        <v>1468</v>
      </c>
      <c r="E423" s="491">
        <v>4</v>
      </c>
      <c r="F423" s="20">
        <f t="shared" si="38"/>
        <v>29.36</v>
      </c>
      <c r="G423" s="19">
        <f t="shared" si="36"/>
        <v>117.44</v>
      </c>
      <c r="H423" s="19">
        <f t="shared" si="37"/>
        <v>482.13817599999993</v>
      </c>
      <c r="I423" s="114" t="s">
        <v>1521</v>
      </c>
      <c r="J423" s="210">
        <f>VLOOKUP(I423,'Reajuste Atual'!$L$19:$M$25,2,FALSE)</f>
        <v>3.1053999999999999</v>
      </c>
      <c r="K423" s="190"/>
      <c r="L423" s="20">
        <v>40.369999999999997</v>
      </c>
      <c r="M423" s="765">
        <f t="shared" si="40"/>
        <v>28.835714285714285</v>
      </c>
      <c r="N423" s="765">
        <f t="shared" si="39"/>
        <v>29.36</v>
      </c>
      <c r="O423" s="765">
        <f t="shared" si="41"/>
        <v>29.36</v>
      </c>
    </row>
    <row r="424" spans="1:15" s="98" customFormat="1" outlineLevel="1">
      <c r="A424" s="141" t="s">
        <v>3483</v>
      </c>
      <c r="B424" s="114" t="s">
        <v>675</v>
      </c>
      <c r="C424" s="100" t="s">
        <v>2096</v>
      </c>
      <c r="D424" s="181" t="s">
        <v>1468</v>
      </c>
      <c r="E424" s="491">
        <v>4</v>
      </c>
      <c r="F424" s="20">
        <f t="shared" si="38"/>
        <v>109.04727272727273</v>
      </c>
      <c r="G424" s="19">
        <f t="shared" si="36"/>
        <v>436.18909090909091</v>
      </c>
      <c r="H424" s="19">
        <f t="shared" si="37"/>
        <v>1790.7306938181816</v>
      </c>
      <c r="I424" s="114" t="s">
        <v>1521</v>
      </c>
      <c r="J424" s="210">
        <f>VLOOKUP(I424,'Reajuste Atual'!$L$19:$M$25,2,FALSE)</f>
        <v>3.1053999999999999</v>
      </c>
      <c r="K424" s="190"/>
      <c r="L424" s="20">
        <v>149.94</v>
      </c>
      <c r="M424" s="765">
        <f t="shared" si="40"/>
        <v>107.10000000000001</v>
      </c>
      <c r="N424" s="765">
        <f t="shared" si="39"/>
        <v>109.04727272727273</v>
      </c>
      <c r="O424" s="765">
        <f t="shared" si="41"/>
        <v>109.04727272727273</v>
      </c>
    </row>
    <row r="425" spans="1:15" s="98" customFormat="1" outlineLevel="1">
      <c r="A425" s="141" t="s">
        <v>3483</v>
      </c>
      <c r="B425" s="114" t="s">
        <v>676</v>
      </c>
      <c r="C425" s="100" t="s">
        <v>2097</v>
      </c>
      <c r="D425" s="181" t="s">
        <v>1468</v>
      </c>
      <c r="E425" s="491">
        <v>4</v>
      </c>
      <c r="F425" s="20">
        <f t="shared" si="38"/>
        <v>255.86909090909091</v>
      </c>
      <c r="G425" s="19">
        <f t="shared" si="36"/>
        <v>1023.4763636363637</v>
      </c>
      <c r="H425" s="19">
        <f t="shared" si="37"/>
        <v>4201.7798632727272</v>
      </c>
      <c r="I425" s="114" t="s">
        <v>1521</v>
      </c>
      <c r="J425" s="210">
        <f>VLOOKUP(I425,'Reajuste Atual'!$L$19:$M$25,2,FALSE)</f>
        <v>3.1053999999999999</v>
      </c>
      <c r="K425" s="190"/>
      <c r="L425" s="20">
        <v>351.82</v>
      </c>
      <c r="M425" s="765">
        <f t="shared" si="40"/>
        <v>251.3</v>
      </c>
      <c r="N425" s="765">
        <f t="shared" si="39"/>
        <v>255.86909090909091</v>
      </c>
      <c r="O425" s="765">
        <f t="shared" si="41"/>
        <v>255.86909090909091</v>
      </c>
    </row>
    <row r="426" spans="1:15" s="98" customFormat="1" outlineLevel="1">
      <c r="A426" s="141" t="s">
        <v>3483</v>
      </c>
      <c r="B426" s="114" t="s">
        <v>677</v>
      </c>
      <c r="C426" s="100" t="s">
        <v>2098</v>
      </c>
      <c r="D426" s="181" t="s">
        <v>1468</v>
      </c>
      <c r="E426" s="491">
        <v>4</v>
      </c>
      <c r="F426" s="20">
        <f t="shared" si="38"/>
        <v>26845.149090909094</v>
      </c>
      <c r="G426" s="19">
        <f t="shared" si="36"/>
        <v>107380.59636363637</v>
      </c>
      <c r="H426" s="19">
        <f t="shared" si="37"/>
        <v>440840.30031127273</v>
      </c>
      <c r="I426" s="114" t="s">
        <v>1521</v>
      </c>
      <c r="J426" s="210">
        <f>VLOOKUP(I426,'Reajuste Atual'!$L$19:$M$25,2,FALSE)</f>
        <v>3.1053999999999999</v>
      </c>
      <c r="K426" s="190"/>
      <c r="L426" s="20">
        <v>36912.080000000002</v>
      </c>
      <c r="M426" s="765">
        <f t="shared" si="40"/>
        <v>26365.771428571432</v>
      </c>
      <c r="N426" s="765">
        <f t="shared" si="39"/>
        <v>26845.149090909094</v>
      </c>
      <c r="O426" s="765">
        <f t="shared" si="41"/>
        <v>26845.149090909094</v>
      </c>
    </row>
    <row r="427" spans="1:15" s="98" customFormat="1" ht="30" customHeight="1" outlineLevel="1">
      <c r="A427" s="141" t="s">
        <v>3483</v>
      </c>
      <c r="B427" s="114" t="s">
        <v>678</v>
      </c>
      <c r="C427" s="100" t="s">
        <v>2099</v>
      </c>
      <c r="D427" s="181" t="s">
        <v>1468</v>
      </c>
      <c r="E427" s="491">
        <v>4</v>
      </c>
      <c r="F427" s="20">
        <f t="shared" si="38"/>
        <v>249245.35272727272</v>
      </c>
      <c r="G427" s="19">
        <f>E427*F427</f>
        <v>996981.41090909089</v>
      </c>
      <c r="H427" s="19">
        <f t="shared" si="37"/>
        <v>4093007.4843461812</v>
      </c>
      <c r="I427" s="114" t="s">
        <v>1521</v>
      </c>
      <c r="J427" s="210">
        <f>VLOOKUP(I427,'Reajuste Atual'!$L$19:$M$25,2,FALSE)</f>
        <v>3.1053999999999999</v>
      </c>
      <c r="K427" s="190"/>
      <c r="L427" s="20">
        <v>342712.36</v>
      </c>
      <c r="M427" s="765">
        <f t="shared" si="40"/>
        <v>244794.54285714286</v>
      </c>
      <c r="N427" s="765">
        <f t="shared" si="39"/>
        <v>249245.35272727272</v>
      </c>
      <c r="O427" s="765">
        <f t="shared" si="41"/>
        <v>249245.35272727272</v>
      </c>
    </row>
    <row r="428" spans="1:15" s="98" customFormat="1" ht="30" customHeight="1" outlineLevel="1">
      <c r="A428" s="141" t="s">
        <v>3483</v>
      </c>
      <c r="B428" s="114" t="s">
        <v>679</v>
      </c>
      <c r="C428" s="100" t="s">
        <v>2100</v>
      </c>
      <c r="D428" s="181" t="s">
        <v>1468</v>
      </c>
      <c r="E428" s="491">
        <v>4</v>
      </c>
      <c r="F428" s="20">
        <f t="shared" si="38"/>
        <v>274169.89090909087</v>
      </c>
      <c r="G428" s="19">
        <f t="shared" si="36"/>
        <v>1096679.5636363635</v>
      </c>
      <c r="H428" s="19">
        <f t="shared" si="37"/>
        <v>4502308.2805527262</v>
      </c>
      <c r="I428" s="114" t="s">
        <v>1521</v>
      </c>
      <c r="J428" s="210">
        <f>VLOOKUP(I428,'Reajuste Atual'!$L$19:$M$25,2,FALSE)</f>
        <v>3.1053999999999999</v>
      </c>
      <c r="K428" s="190"/>
      <c r="L428" s="20">
        <v>376983.6</v>
      </c>
      <c r="M428" s="765">
        <f t="shared" si="40"/>
        <v>269274</v>
      </c>
      <c r="N428" s="765">
        <f t="shared" si="39"/>
        <v>274169.89090909087</v>
      </c>
      <c r="O428" s="765">
        <f t="shared" si="41"/>
        <v>274169.89090909087</v>
      </c>
    </row>
    <row r="429" spans="1:15" s="98" customFormat="1" outlineLevel="1">
      <c r="A429" s="141" t="s">
        <v>3483</v>
      </c>
      <c r="B429" s="114" t="s">
        <v>680</v>
      </c>
      <c r="C429" s="100" t="s">
        <v>2101</v>
      </c>
      <c r="D429" s="181" t="s">
        <v>1468</v>
      </c>
      <c r="E429" s="491">
        <v>4</v>
      </c>
      <c r="F429" s="20">
        <f t="shared" si="38"/>
        <v>920.78545454545451</v>
      </c>
      <c r="G429" s="19">
        <f t="shared" si="36"/>
        <v>3683.1418181818181</v>
      </c>
      <c r="H429" s="19">
        <f t="shared" si="37"/>
        <v>15120.770420363633</v>
      </c>
      <c r="I429" s="114" t="s">
        <v>1521</v>
      </c>
      <c r="J429" s="210">
        <f>VLOOKUP(I429,'Reajuste Atual'!$L$19:$M$25,2,FALSE)</f>
        <v>3.1053999999999999</v>
      </c>
      <c r="K429" s="190"/>
      <c r="L429" s="20">
        <v>1266.08</v>
      </c>
      <c r="M429" s="765">
        <f t="shared" si="40"/>
        <v>904.34285714285716</v>
      </c>
      <c r="N429" s="765">
        <f t="shared" si="39"/>
        <v>920.78545454545451</v>
      </c>
      <c r="O429" s="765">
        <f t="shared" si="41"/>
        <v>920.78545454545451</v>
      </c>
    </row>
    <row r="430" spans="1:15" s="98" customFormat="1" outlineLevel="1">
      <c r="A430" s="141" t="s">
        <v>3483</v>
      </c>
      <c r="B430" s="114" t="s">
        <v>681</v>
      </c>
      <c r="C430" s="100" t="s">
        <v>2102</v>
      </c>
      <c r="D430" s="181" t="s">
        <v>1468</v>
      </c>
      <c r="E430" s="491">
        <v>4</v>
      </c>
      <c r="F430" s="20">
        <f t="shared" si="38"/>
        <v>670.18909090909085</v>
      </c>
      <c r="G430" s="19">
        <f t="shared" si="36"/>
        <v>2680.7563636363634</v>
      </c>
      <c r="H430" s="19">
        <f t="shared" si="37"/>
        <v>11005.577175272725</v>
      </c>
      <c r="I430" s="114" t="s">
        <v>1521</v>
      </c>
      <c r="J430" s="210">
        <f>VLOOKUP(I430,'Reajuste Atual'!$L$19:$M$25,2,FALSE)</f>
        <v>3.1053999999999999</v>
      </c>
      <c r="K430" s="190"/>
      <c r="L430" s="20">
        <v>921.51</v>
      </c>
      <c r="M430" s="765">
        <f t="shared" si="40"/>
        <v>658.22142857142865</v>
      </c>
      <c r="N430" s="765">
        <f t="shared" si="39"/>
        <v>670.18909090909085</v>
      </c>
      <c r="O430" s="765">
        <f t="shared" si="41"/>
        <v>670.18909090909085</v>
      </c>
    </row>
    <row r="431" spans="1:15" s="98" customFormat="1" outlineLevel="1">
      <c r="A431" s="141" t="s">
        <v>3483</v>
      </c>
      <c r="B431" s="114" t="s">
        <v>682</v>
      </c>
      <c r="C431" s="100" t="s">
        <v>2103</v>
      </c>
      <c r="D431" s="181" t="s">
        <v>1468</v>
      </c>
      <c r="E431" s="491">
        <v>4</v>
      </c>
      <c r="F431" s="20">
        <f t="shared" si="38"/>
        <v>481.31636363636358</v>
      </c>
      <c r="G431" s="19">
        <f t="shared" si="36"/>
        <v>1925.2654545454543</v>
      </c>
      <c r="H431" s="19">
        <f t="shared" si="37"/>
        <v>7903.9847970909068</v>
      </c>
      <c r="I431" s="114" t="s">
        <v>1521</v>
      </c>
      <c r="J431" s="210">
        <f>VLOOKUP(I431,'Reajuste Atual'!$L$19:$M$25,2,FALSE)</f>
        <v>3.1053999999999999</v>
      </c>
      <c r="K431" s="190"/>
      <c r="L431" s="20">
        <v>661.81</v>
      </c>
      <c r="M431" s="765">
        <f t="shared" si="40"/>
        <v>472.72142857142859</v>
      </c>
      <c r="N431" s="765">
        <f t="shared" si="39"/>
        <v>481.31636363636358</v>
      </c>
      <c r="O431" s="765">
        <f t="shared" si="41"/>
        <v>481.31636363636358</v>
      </c>
    </row>
    <row r="432" spans="1:15" s="98" customFormat="1" outlineLevel="1">
      <c r="A432" s="141" t="s">
        <v>3483</v>
      </c>
      <c r="B432" s="114" t="s">
        <v>683</v>
      </c>
      <c r="C432" s="100" t="s">
        <v>2104</v>
      </c>
      <c r="D432" s="99" t="s">
        <v>1472</v>
      </c>
      <c r="E432" s="491">
        <v>128</v>
      </c>
      <c r="F432" s="20">
        <f t="shared" si="38"/>
        <v>151.0690909090909</v>
      </c>
      <c r="G432" s="19">
        <f t="shared" si="36"/>
        <v>19336.843636363636</v>
      </c>
      <c r="H432" s="19">
        <f t="shared" si="37"/>
        <v>79385.477864727261</v>
      </c>
      <c r="I432" s="114" t="s">
        <v>1521</v>
      </c>
      <c r="J432" s="210">
        <f>VLOOKUP(I432,'Reajuste Atual'!$L$19:$M$25,2,FALSE)</f>
        <v>3.1053999999999999</v>
      </c>
      <c r="K432" s="190"/>
      <c r="L432" s="20">
        <v>207.72</v>
      </c>
      <c r="M432" s="765">
        <f t="shared" si="40"/>
        <v>148.37142857142857</v>
      </c>
      <c r="N432" s="765">
        <f t="shared" si="39"/>
        <v>151.0690909090909</v>
      </c>
      <c r="O432" s="765">
        <f t="shared" si="41"/>
        <v>151.0690909090909</v>
      </c>
    </row>
    <row r="433" spans="1:15" s="98" customFormat="1" outlineLevel="1">
      <c r="A433" s="141" t="s">
        <v>3483</v>
      </c>
      <c r="B433" s="114" t="s">
        <v>684</v>
      </c>
      <c r="C433" s="100" t="s">
        <v>2105</v>
      </c>
      <c r="D433" s="181" t="s">
        <v>1468</v>
      </c>
      <c r="E433" s="491">
        <v>88</v>
      </c>
      <c r="F433" s="20">
        <f t="shared" si="38"/>
        <v>741.6</v>
      </c>
      <c r="G433" s="19">
        <f t="shared" si="36"/>
        <v>65260.800000000003</v>
      </c>
      <c r="H433" s="19">
        <f t="shared" si="37"/>
        <v>267921.68831999996</v>
      </c>
      <c r="I433" s="114" t="s">
        <v>1521</v>
      </c>
      <c r="J433" s="210">
        <f>VLOOKUP(I433,'Reajuste Atual'!$L$19:$M$25,2,FALSE)</f>
        <v>3.1053999999999999</v>
      </c>
      <c r="K433" s="190"/>
      <c r="L433" s="20">
        <v>1019.7</v>
      </c>
      <c r="M433" s="765">
        <f t="shared" si="40"/>
        <v>728.35714285714289</v>
      </c>
      <c r="N433" s="765">
        <f t="shared" si="39"/>
        <v>741.6</v>
      </c>
      <c r="O433" s="765">
        <f t="shared" si="41"/>
        <v>741.6</v>
      </c>
    </row>
    <row r="434" spans="1:15" s="98" customFormat="1" outlineLevel="1">
      <c r="A434" s="141" t="s">
        <v>3483</v>
      </c>
      <c r="B434" s="114" t="s">
        <v>685</v>
      </c>
      <c r="C434" s="100" t="s">
        <v>2106</v>
      </c>
      <c r="D434" s="181" t="s">
        <v>1468</v>
      </c>
      <c r="E434" s="491">
        <v>48</v>
      </c>
      <c r="F434" s="20">
        <f t="shared" si="38"/>
        <v>4759.1927272727271</v>
      </c>
      <c r="G434" s="19">
        <f t="shared" si="36"/>
        <v>228441.25090909092</v>
      </c>
      <c r="H434" s="19">
        <f t="shared" si="37"/>
        <v>937842.71148218168</v>
      </c>
      <c r="I434" s="114" t="s">
        <v>1521</v>
      </c>
      <c r="J434" s="210">
        <f>VLOOKUP(I434,'Reajuste Atual'!$L$19:$M$25,2,FALSE)</f>
        <v>3.1053999999999999</v>
      </c>
      <c r="K434" s="190"/>
      <c r="L434" s="20">
        <v>6543.89</v>
      </c>
      <c r="M434" s="765">
        <f t="shared" si="40"/>
        <v>4674.2071428571435</v>
      </c>
      <c r="N434" s="765">
        <f t="shared" si="39"/>
        <v>4759.1927272727271</v>
      </c>
      <c r="O434" s="765">
        <f t="shared" si="41"/>
        <v>4759.1927272727271</v>
      </c>
    </row>
    <row r="435" spans="1:15" s="98" customFormat="1" outlineLevel="1">
      <c r="A435" s="141" t="s">
        <v>3483</v>
      </c>
      <c r="B435" s="114" t="s">
        <v>686</v>
      </c>
      <c r="C435" s="100" t="s">
        <v>2107</v>
      </c>
      <c r="D435" s="181" t="s">
        <v>1468</v>
      </c>
      <c r="E435" s="491">
        <v>60</v>
      </c>
      <c r="F435" s="20">
        <f t="shared" si="38"/>
        <v>4727.352727272727</v>
      </c>
      <c r="G435" s="19">
        <f t="shared" si="36"/>
        <v>283641.16363636364</v>
      </c>
      <c r="H435" s="19">
        <f t="shared" si="37"/>
        <v>1164460.4331927272</v>
      </c>
      <c r="I435" s="114" t="s">
        <v>1521</v>
      </c>
      <c r="J435" s="210">
        <f>VLOOKUP(I435,'Reajuste Atual'!$L$19:$M$25,2,FALSE)</f>
        <v>3.1053999999999999</v>
      </c>
      <c r="K435" s="190"/>
      <c r="L435" s="20">
        <v>6500.11</v>
      </c>
      <c r="M435" s="765">
        <f t="shared" si="40"/>
        <v>4642.9357142857143</v>
      </c>
      <c r="N435" s="765">
        <f t="shared" si="39"/>
        <v>4727.352727272727</v>
      </c>
      <c r="O435" s="765">
        <f t="shared" si="41"/>
        <v>4727.352727272727</v>
      </c>
    </row>
    <row r="436" spans="1:15" s="98" customFormat="1" ht="31.5" outlineLevel="1">
      <c r="A436" s="141" t="s">
        <v>3483</v>
      </c>
      <c r="B436" s="114" t="s">
        <v>687</v>
      </c>
      <c r="C436" s="100" t="s">
        <v>2108</v>
      </c>
      <c r="D436" s="181" t="s">
        <v>1468</v>
      </c>
      <c r="E436" s="491">
        <v>12</v>
      </c>
      <c r="F436" s="20">
        <f t="shared" si="38"/>
        <v>2341.52</v>
      </c>
      <c r="G436" s="19">
        <f t="shared" si="36"/>
        <v>28098.239999999998</v>
      </c>
      <c r="H436" s="19">
        <f t="shared" si="37"/>
        <v>115354.51449599997</v>
      </c>
      <c r="I436" s="114" t="s">
        <v>1521</v>
      </c>
      <c r="J436" s="210">
        <f>VLOOKUP(I436,'Reajuste Atual'!$L$19:$M$25,2,FALSE)</f>
        <v>3.1053999999999999</v>
      </c>
      <c r="K436" s="190"/>
      <c r="L436" s="20">
        <v>3219.59</v>
      </c>
      <c r="M436" s="765">
        <f t="shared" si="40"/>
        <v>2299.707142857143</v>
      </c>
      <c r="N436" s="765">
        <f t="shared" si="39"/>
        <v>2341.52</v>
      </c>
      <c r="O436" s="765">
        <f t="shared" si="41"/>
        <v>2341.52</v>
      </c>
    </row>
    <row r="437" spans="1:15" s="98" customFormat="1" outlineLevel="1">
      <c r="A437" s="141" t="s">
        <v>3483</v>
      </c>
      <c r="B437" s="114" t="s">
        <v>688</v>
      </c>
      <c r="C437" s="100" t="s">
        <v>2109</v>
      </c>
      <c r="D437" s="181" t="s">
        <v>1468</v>
      </c>
      <c r="E437" s="491">
        <v>4</v>
      </c>
      <c r="F437" s="20">
        <f t="shared" si="38"/>
        <v>4586.1163636363635</v>
      </c>
      <c r="G437" s="19">
        <f t="shared" si="36"/>
        <v>18344.465454545454</v>
      </c>
      <c r="H437" s="19">
        <f t="shared" si="37"/>
        <v>75311.368477090902</v>
      </c>
      <c r="I437" s="114" t="s">
        <v>1521</v>
      </c>
      <c r="J437" s="210">
        <f>VLOOKUP(I437,'Reajuste Atual'!$L$19:$M$25,2,FALSE)</f>
        <v>3.1053999999999999</v>
      </c>
      <c r="K437" s="190"/>
      <c r="L437" s="20">
        <v>6305.91</v>
      </c>
      <c r="M437" s="765">
        <f t="shared" si="40"/>
        <v>4504.221428571429</v>
      </c>
      <c r="N437" s="765">
        <f t="shared" si="39"/>
        <v>4586.1163636363635</v>
      </c>
      <c r="O437" s="765">
        <f t="shared" si="41"/>
        <v>4586.1163636363635</v>
      </c>
    </row>
    <row r="438" spans="1:15" s="98" customFormat="1" outlineLevel="1">
      <c r="A438" s="141" t="s">
        <v>3483</v>
      </c>
      <c r="B438" s="114" t="s">
        <v>689</v>
      </c>
      <c r="C438" s="100" t="s">
        <v>2110</v>
      </c>
      <c r="D438" s="181" t="s">
        <v>1468</v>
      </c>
      <c r="E438" s="491">
        <v>8</v>
      </c>
      <c r="F438" s="20">
        <f t="shared" si="38"/>
        <v>2301.3672727272728</v>
      </c>
      <c r="G438" s="19">
        <f t="shared" si="36"/>
        <v>18410.938181818183</v>
      </c>
      <c r="H438" s="19">
        <f t="shared" si="37"/>
        <v>75584.265611636365</v>
      </c>
      <c r="I438" s="114" t="s">
        <v>1521</v>
      </c>
      <c r="J438" s="210">
        <f>VLOOKUP(I438,'Reajuste Atual'!$L$19:$M$25,2,FALSE)</f>
        <v>3.1053999999999999</v>
      </c>
      <c r="K438" s="190"/>
      <c r="L438" s="20">
        <v>3164.38</v>
      </c>
      <c r="M438" s="765">
        <f t="shared" si="40"/>
        <v>2260.2714285714287</v>
      </c>
      <c r="N438" s="765">
        <f t="shared" si="39"/>
        <v>2301.3672727272728</v>
      </c>
      <c r="O438" s="765">
        <f t="shared" si="41"/>
        <v>2301.3672727272728</v>
      </c>
    </row>
    <row r="439" spans="1:15" s="98" customFormat="1" outlineLevel="1">
      <c r="A439" s="141" t="s">
        <v>3483</v>
      </c>
      <c r="B439" s="114" t="s">
        <v>690</v>
      </c>
      <c r="C439" s="100" t="s">
        <v>2111</v>
      </c>
      <c r="D439" s="181" t="s">
        <v>1468</v>
      </c>
      <c r="E439" s="491">
        <v>24</v>
      </c>
      <c r="F439" s="20">
        <f t="shared" si="38"/>
        <v>599.57090909090903</v>
      </c>
      <c r="G439" s="19">
        <f t="shared" si="36"/>
        <v>14389.701818181817</v>
      </c>
      <c r="H439" s="19">
        <f t="shared" si="37"/>
        <v>59075.481844363625</v>
      </c>
      <c r="I439" s="114" t="s">
        <v>1521</v>
      </c>
      <c r="J439" s="210">
        <f>VLOOKUP(I439,'Reajuste Atual'!$L$19:$M$25,2,FALSE)</f>
        <v>3.1053999999999999</v>
      </c>
      <c r="K439" s="190"/>
      <c r="L439" s="20">
        <v>824.41</v>
      </c>
      <c r="M439" s="765">
        <f t="shared" si="40"/>
        <v>588.86428571428576</v>
      </c>
      <c r="N439" s="765">
        <f t="shared" si="39"/>
        <v>599.57090909090903</v>
      </c>
      <c r="O439" s="765">
        <f t="shared" si="41"/>
        <v>599.57090909090903</v>
      </c>
    </row>
    <row r="440" spans="1:15" s="98" customFormat="1" outlineLevel="1">
      <c r="A440" s="141" t="s">
        <v>3483</v>
      </c>
      <c r="B440" s="114" t="s">
        <v>691</v>
      </c>
      <c r="C440" s="100" t="s">
        <v>2112</v>
      </c>
      <c r="D440" s="181" t="s">
        <v>1468</v>
      </c>
      <c r="E440" s="491">
        <v>4</v>
      </c>
      <c r="F440" s="20">
        <f t="shared" si="38"/>
        <v>9190.4</v>
      </c>
      <c r="G440" s="19">
        <f t="shared" si="36"/>
        <v>36761.599999999999</v>
      </c>
      <c r="H440" s="19">
        <f t="shared" si="37"/>
        <v>150921.07263999997</v>
      </c>
      <c r="I440" s="114" t="s">
        <v>1521</v>
      </c>
      <c r="J440" s="210">
        <f>VLOOKUP(I440,'Reajuste Atual'!$L$19:$M$25,2,FALSE)</f>
        <v>3.1053999999999999</v>
      </c>
      <c r="K440" s="190"/>
      <c r="L440" s="20">
        <v>12636.8</v>
      </c>
      <c r="M440" s="765">
        <f t="shared" si="40"/>
        <v>9026.2857142857138</v>
      </c>
      <c r="N440" s="765">
        <f t="shared" si="39"/>
        <v>9190.4</v>
      </c>
      <c r="O440" s="765">
        <f t="shared" si="41"/>
        <v>9190.4</v>
      </c>
    </row>
    <row r="441" spans="1:15" s="98" customFormat="1" outlineLevel="1">
      <c r="A441" s="141" t="s">
        <v>3483</v>
      </c>
      <c r="B441" s="114" t="s">
        <v>692</v>
      </c>
      <c r="C441" s="100" t="s">
        <v>2113</v>
      </c>
      <c r="D441" s="181" t="s">
        <v>1468</v>
      </c>
      <c r="E441" s="491">
        <v>12</v>
      </c>
      <c r="F441" s="20">
        <f t="shared" si="38"/>
        <v>268.45090909090908</v>
      </c>
      <c r="G441" s="19">
        <f t="shared" si="36"/>
        <v>3221.4109090909087</v>
      </c>
      <c r="H441" s="19">
        <f t="shared" si="37"/>
        <v>13225.180346181814</v>
      </c>
      <c r="I441" s="114" t="s">
        <v>1521</v>
      </c>
      <c r="J441" s="210">
        <f>VLOOKUP(I441,'Reajuste Atual'!$L$19:$M$25,2,FALSE)</f>
        <v>3.1053999999999999</v>
      </c>
      <c r="K441" s="190"/>
      <c r="L441" s="20">
        <v>369.12</v>
      </c>
      <c r="M441" s="765">
        <f t="shared" si="40"/>
        <v>263.6571428571429</v>
      </c>
      <c r="N441" s="765">
        <f t="shared" si="39"/>
        <v>268.45090909090908</v>
      </c>
      <c r="O441" s="765">
        <f t="shared" si="41"/>
        <v>268.45090909090908</v>
      </c>
    </row>
    <row r="442" spans="1:15" s="98" customFormat="1" outlineLevel="1">
      <c r="A442" s="141" t="s">
        <v>3483</v>
      </c>
      <c r="B442" s="114" t="s">
        <v>693</v>
      </c>
      <c r="C442" s="100" t="s">
        <v>2114</v>
      </c>
      <c r="D442" s="181" t="s">
        <v>1468</v>
      </c>
      <c r="E442" s="491">
        <v>4</v>
      </c>
      <c r="F442" s="20">
        <f t="shared" si="38"/>
        <v>183.3309090909091</v>
      </c>
      <c r="G442" s="19">
        <f t="shared" si="36"/>
        <v>733.32363636363641</v>
      </c>
      <c r="H442" s="19">
        <f t="shared" si="37"/>
        <v>3010.5868567272723</v>
      </c>
      <c r="I442" s="114" t="s">
        <v>1521</v>
      </c>
      <c r="J442" s="210">
        <f>VLOOKUP(I442,'Reajuste Atual'!$L$19:$M$25,2,FALSE)</f>
        <v>3.1053999999999999</v>
      </c>
      <c r="K442" s="190"/>
      <c r="L442" s="20">
        <v>252.08</v>
      </c>
      <c r="M442" s="765">
        <f t="shared" si="40"/>
        <v>180.05714285714288</v>
      </c>
      <c r="N442" s="765">
        <f t="shared" si="39"/>
        <v>183.3309090909091</v>
      </c>
      <c r="O442" s="765">
        <f t="shared" si="41"/>
        <v>183.3309090909091</v>
      </c>
    </row>
    <row r="443" spans="1:15" s="98" customFormat="1" outlineLevel="1">
      <c r="A443" s="141" t="s">
        <v>3483</v>
      </c>
      <c r="B443" s="114" t="s">
        <v>694</v>
      </c>
      <c r="C443" s="100" t="s">
        <v>2115</v>
      </c>
      <c r="D443" s="181" t="s">
        <v>1468</v>
      </c>
      <c r="E443" s="491">
        <v>8</v>
      </c>
      <c r="F443" s="20">
        <f t="shared" si="38"/>
        <v>151.94181818181818</v>
      </c>
      <c r="G443" s="19">
        <f t="shared" ref="G443:G506" si="42">E443*F443</f>
        <v>1215.5345454545454</v>
      </c>
      <c r="H443" s="19">
        <f t="shared" ref="H443:H506" si="43">G443*(1+J443)</f>
        <v>4990.2555229090904</v>
      </c>
      <c r="I443" s="114" t="s">
        <v>1521</v>
      </c>
      <c r="J443" s="210">
        <f>VLOOKUP(I443,'Reajuste Atual'!$L$19:$M$25,2,FALSE)</f>
        <v>3.1053999999999999</v>
      </c>
      <c r="K443" s="190"/>
      <c r="L443" s="20">
        <v>208.92</v>
      </c>
      <c r="M443" s="765">
        <f t="shared" si="40"/>
        <v>149.22857142857143</v>
      </c>
      <c r="N443" s="765">
        <f t="shared" si="39"/>
        <v>151.94181818181818</v>
      </c>
      <c r="O443" s="765">
        <f t="shared" si="41"/>
        <v>151.94181818181818</v>
      </c>
    </row>
    <row r="444" spans="1:15" s="98" customFormat="1" outlineLevel="1">
      <c r="A444" s="141" t="s">
        <v>3483</v>
      </c>
      <c r="B444" s="114" t="s">
        <v>695</v>
      </c>
      <c r="C444" s="100" t="s">
        <v>2116</v>
      </c>
      <c r="D444" s="181" t="s">
        <v>1468</v>
      </c>
      <c r="E444" s="491">
        <v>4</v>
      </c>
      <c r="F444" s="20">
        <f t="shared" si="38"/>
        <v>7.7527272727272729</v>
      </c>
      <c r="G444" s="19">
        <f t="shared" si="42"/>
        <v>31.010909090909092</v>
      </c>
      <c r="H444" s="19">
        <f t="shared" si="43"/>
        <v>127.31218618181816</v>
      </c>
      <c r="I444" s="114" t="s">
        <v>1521</v>
      </c>
      <c r="J444" s="210">
        <f>VLOOKUP(I444,'Reajuste Atual'!$L$19:$M$25,2,FALSE)</f>
        <v>3.1053999999999999</v>
      </c>
      <c r="K444" s="190"/>
      <c r="L444" s="20">
        <v>10.66</v>
      </c>
      <c r="M444" s="765">
        <f t="shared" si="40"/>
        <v>7.6142857142857148</v>
      </c>
      <c r="N444" s="765">
        <f t="shared" si="39"/>
        <v>7.7527272727272729</v>
      </c>
      <c r="O444" s="765">
        <f t="shared" si="41"/>
        <v>7.7527272727272729</v>
      </c>
    </row>
    <row r="445" spans="1:15" s="98" customFormat="1" outlineLevel="1">
      <c r="A445" s="141" t="s">
        <v>3483</v>
      </c>
      <c r="B445" s="114" t="s">
        <v>696</v>
      </c>
      <c r="C445" s="100" t="s">
        <v>2117</v>
      </c>
      <c r="D445" s="181" t="s">
        <v>1468</v>
      </c>
      <c r="E445" s="491">
        <v>4</v>
      </c>
      <c r="F445" s="20">
        <f t="shared" si="38"/>
        <v>40.269090909090906</v>
      </c>
      <c r="G445" s="19">
        <f t="shared" si="42"/>
        <v>161.07636363636362</v>
      </c>
      <c r="H445" s="19">
        <f t="shared" si="43"/>
        <v>661.28290327272714</v>
      </c>
      <c r="I445" s="114" t="s">
        <v>1521</v>
      </c>
      <c r="J445" s="210">
        <f>VLOOKUP(I445,'Reajuste Atual'!$L$19:$M$25,2,FALSE)</f>
        <v>3.1053999999999999</v>
      </c>
      <c r="K445" s="190"/>
      <c r="L445" s="20">
        <v>55.37</v>
      </c>
      <c r="M445" s="765">
        <f t="shared" si="40"/>
        <v>39.549999999999997</v>
      </c>
      <c r="N445" s="765">
        <f t="shared" si="39"/>
        <v>40.269090909090906</v>
      </c>
      <c r="O445" s="765">
        <f t="shared" si="41"/>
        <v>40.269090909090906</v>
      </c>
    </row>
    <row r="446" spans="1:15" s="98" customFormat="1" outlineLevel="1">
      <c r="A446" s="141" t="s">
        <v>3483</v>
      </c>
      <c r="B446" s="114" t="s">
        <v>697</v>
      </c>
      <c r="C446" s="100" t="s">
        <v>2118</v>
      </c>
      <c r="D446" s="181" t="s">
        <v>1468</v>
      </c>
      <c r="E446" s="491">
        <v>4</v>
      </c>
      <c r="F446" s="20">
        <f t="shared" si="38"/>
        <v>3.0181818181818185</v>
      </c>
      <c r="G446" s="19">
        <f t="shared" si="42"/>
        <v>12.072727272727274</v>
      </c>
      <c r="H446" s="19">
        <f t="shared" si="43"/>
        <v>49.563374545454543</v>
      </c>
      <c r="I446" s="114" t="s">
        <v>1521</v>
      </c>
      <c r="J446" s="210">
        <f>VLOOKUP(I446,'Reajuste Atual'!$L$19:$M$25,2,FALSE)</f>
        <v>3.1053999999999999</v>
      </c>
      <c r="K446" s="190"/>
      <c r="L446" s="20">
        <v>4.1500000000000004</v>
      </c>
      <c r="M446" s="765">
        <f t="shared" si="40"/>
        <v>2.9642857142857149</v>
      </c>
      <c r="N446" s="765">
        <f t="shared" si="39"/>
        <v>3.0181818181818185</v>
      </c>
      <c r="O446" s="765">
        <f t="shared" si="41"/>
        <v>3.0181818181818185</v>
      </c>
    </row>
    <row r="447" spans="1:15" s="98" customFormat="1" outlineLevel="1">
      <c r="A447" s="141" t="s">
        <v>3483</v>
      </c>
      <c r="B447" s="114" t="s">
        <v>698</v>
      </c>
      <c r="C447" s="100" t="s">
        <v>2119</v>
      </c>
      <c r="D447" s="181" t="s">
        <v>1468</v>
      </c>
      <c r="E447" s="491">
        <v>4</v>
      </c>
      <c r="F447" s="20">
        <f t="shared" si="38"/>
        <v>152.43636363636364</v>
      </c>
      <c r="G447" s="19">
        <f t="shared" si="42"/>
        <v>609.74545454545455</v>
      </c>
      <c r="H447" s="19">
        <f t="shared" si="43"/>
        <v>2503.2489890909087</v>
      </c>
      <c r="I447" s="114" t="s">
        <v>1521</v>
      </c>
      <c r="J447" s="210">
        <f>VLOOKUP(I447,'Reajuste Atual'!$L$19:$M$25,2,FALSE)</f>
        <v>3.1053999999999999</v>
      </c>
      <c r="K447" s="190"/>
      <c r="L447" s="20">
        <v>209.6</v>
      </c>
      <c r="M447" s="765">
        <f t="shared" si="40"/>
        <v>149.71428571428572</v>
      </c>
      <c r="N447" s="765">
        <f t="shared" si="39"/>
        <v>152.43636363636364</v>
      </c>
      <c r="O447" s="765">
        <f t="shared" si="41"/>
        <v>152.43636363636364</v>
      </c>
    </row>
    <row r="448" spans="1:15" s="98" customFormat="1" outlineLevel="1">
      <c r="A448" s="141" t="s">
        <v>3483</v>
      </c>
      <c r="B448" s="114" t="s">
        <v>699</v>
      </c>
      <c r="C448" s="100" t="s">
        <v>2120</v>
      </c>
      <c r="D448" s="181" t="s">
        <v>1468</v>
      </c>
      <c r="E448" s="491">
        <v>4</v>
      </c>
      <c r="F448" s="20">
        <f t="shared" si="38"/>
        <v>1685.6727272727273</v>
      </c>
      <c r="G448" s="19">
        <f t="shared" si="42"/>
        <v>6742.6909090909094</v>
      </c>
      <c r="H448" s="19">
        <f t="shared" si="43"/>
        <v>27681.443258181815</v>
      </c>
      <c r="I448" s="114" t="s">
        <v>1521</v>
      </c>
      <c r="J448" s="210">
        <f>VLOOKUP(I448,'Reajuste Atual'!$L$19:$M$25,2,FALSE)</f>
        <v>3.1053999999999999</v>
      </c>
      <c r="K448" s="190"/>
      <c r="L448" s="20">
        <v>2317.8000000000002</v>
      </c>
      <c r="M448" s="765">
        <f t="shared" si="40"/>
        <v>1655.5714285714289</v>
      </c>
      <c r="N448" s="765">
        <f t="shared" si="39"/>
        <v>1685.6727272727273</v>
      </c>
      <c r="O448" s="765">
        <f t="shared" si="41"/>
        <v>1685.6727272727273</v>
      </c>
    </row>
    <row r="449" spans="1:15" s="98" customFormat="1" outlineLevel="1">
      <c r="A449" s="141" t="s">
        <v>3483</v>
      </c>
      <c r="B449" s="114" t="s">
        <v>700</v>
      </c>
      <c r="C449" s="100" t="s">
        <v>2121</v>
      </c>
      <c r="D449" s="181" t="s">
        <v>1468</v>
      </c>
      <c r="E449" s="491">
        <v>4</v>
      </c>
      <c r="F449" s="20">
        <f t="shared" si="38"/>
        <v>2.3418181818181818</v>
      </c>
      <c r="G449" s="19">
        <f t="shared" si="42"/>
        <v>9.3672727272727272</v>
      </c>
      <c r="H449" s="19">
        <f t="shared" si="43"/>
        <v>38.45640145454545</v>
      </c>
      <c r="I449" s="114" t="s">
        <v>1521</v>
      </c>
      <c r="J449" s="210">
        <f>VLOOKUP(I449,'Reajuste Atual'!$L$19:$M$25,2,FALSE)</f>
        <v>3.1053999999999999</v>
      </c>
      <c r="K449" s="190"/>
      <c r="L449" s="20">
        <v>3.22</v>
      </c>
      <c r="M449" s="765">
        <f t="shared" si="40"/>
        <v>2.3000000000000003</v>
      </c>
      <c r="N449" s="765">
        <f t="shared" si="39"/>
        <v>2.3418181818181818</v>
      </c>
      <c r="O449" s="765">
        <f t="shared" si="41"/>
        <v>2.3418181818181818</v>
      </c>
    </row>
    <row r="450" spans="1:15" s="98" customFormat="1" ht="31.5" outlineLevel="1">
      <c r="A450" s="141" t="s">
        <v>3483</v>
      </c>
      <c r="B450" s="114" t="s">
        <v>701</v>
      </c>
      <c r="C450" s="100" t="s">
        <v>2122</v>
      </c>
      <c r="D450" s="181" t="s">
        <v>1468</v>
      </c>
      <c r="E450" s="491">
        <v>8</v>
      </c>
      <c r="F450" s="20">
        <f t="shared" si="38"/>
        <v>13844.189090909089</v>
      </c>
      <c r="G450" s="19">
        <f t="shared" si="42"/>
        <v>110753.51272727271</v>
      </c>
      <c r="H450" s="19">
        <f t="shared" si="43"/>
        <v>454687.47115054535</v>
      </c>
      <c r="I450" s="114" t="s">
        <v>1521</v>
      </c>
      <c r="J450" s="210">
        <f>VLOOKUP(I450,'Reajuste Atual'!$L$19:$M$25,2,FALSE)</f>
        <v>3.1053999999999999</v>
      </c>
      <c r="K450" s="190"/>
      <c r="L450" s="20">
        <v>19035.759999999998</v>
      </c>
      <c r="M450" s="765">
        <f t="shared" si="40"/>
        <v>13596.971428571429</v>
      </c>
      <c r="N450" s="765">
        <f t="shared" si="39"/>
        <v>13844.189090909089</v>
      </c>
      <c r="O450" s="765">
        <f t="shared" si="41"/>
        <v>13844.189090909089</v>
      </c>
    </row>
    <row r="451" spans="1:15" s="98" customFormat="1" outlineLevel="1">
      <c r="A451" s="141" t="s">
        <v>3483</v>
      </c>
      <c r="B451" s="114" t="s">
        <v>702</v>
      </c>
      <c r="C451" s="100" t="s">
        <v>2123</v>
      </c>
      <c r="D451" s="181" t="s">
        <v>1468</v>
      </c>
      <c r="E451" s="491">
        <v>8</v>
      </c>
      <c r="F451" s="20">
        <f t="shared" si="38"/>
        <v>1906.7272727272727</v>
      </c>
      <c r="G451" s="19">
        <f t="shared" si="42"/>
        <v>15253.818181818182</v>
      </c>
      <c r="H451" s="19">
        <f t="shared" si="43"/>
        <v>62623.025163636354</v>
      </c>
      <c r="I451" s="114" t="s">
        <v>1521</v>
      </c>
      <c r="J451" s="210">
        <f>VLOOKUP(I451,'Reajuste Atual'!$L$19:$M$25,2,FALSE)</f>
        <v>3.1053999999999999</v>
      </c>
      <c r="K451" s="190"/>
      <c r="L451" s="20">
        <v>2621.75</v>
      </c>
      <c r="M451" s="765">
        <f t="shared" si="40"/>
        <v>1872.6785714285716</v>
      </c>
      <c r="N451" s="765">
        <f t="shared" si="39"/>
        <v>1906.7272727272727</v>
      </c>
      <c r="O451" s="765">
        <f t="shared" si="41"/>
        <v>1906.7272727272727</v>
      </c>
    </row>
    <row r="452" spans="1:15" s="98" customFormat="1" outlineLevel="1">
      <c r="A452" s="141" t="s">
        <v>3483</v>
      </c>
      <c r="B452" s="114" t="s">
        <v>703</v>
      </c>
      <c r="C452" s="100" t="s">
        <v>2124</v>
      </c>
      <c r="D452" s="181" t="s">
        <v>1468</v>
      </c>
      <c r="E452" s="491">
        <v>128</v>
      </c>
      <c r="F452" s="20">
        <f t="shared" si="38"/>
        <v>44.152727272727276</v>
      </c>
      <c r="G452" s="19">
        <f t="shared" si="42"/>
        <v>5651.5490909090913</v>
      </c>
      <c r="H452" s="19">
        <f t="shared" si="43"/>
        <v>23201.869637818181</v>
      </c>
      <c r="I452" s="114" t="s">
        <v>1521</v>
      </c>
      <c r="J452" s="210">
        <f>VLOOKUP(I452,'Reajuste Atual'!$L$19:$M$25,2,FALSE)</f>
        <v>3.1053999999999999</v>
      </c>
      <c r="K452" s="190"/>
      <c r="L452" s="20">
        <v>60.71</v>
      </c>
      <c r="M452" s="765">
        <f t="shared" si="40"/>
        <v>43.364285714285721</v>
      </c>
      <c r="N452" s="765">
        <f t="shared" si="39"/>
        <v>44.152727272727276</v>
      </c>
      <c r="O452" s="765">
        <f t="shared" si="41"/>
        <v>44.152727272727276</v>
      </c>
    </row>
    <row r="453" spans="1:15" s="98" customFormat="1" outlineLevel="1">
      <c r="A453" s="141" t="s">
        <v>3483</v>
      </c>
      <c r="B453" s="114" t="s">
        <v>704</v>
      </c>
      <c r="C453" s="100" t="s">
        <v>2125</v>
      </c>
      <c r="D453" s="181" t="s">
        <v>1468</v>
      </c>
      <c r="E453" s="491">
        <v>32</v>
      </c>
      <c r="F453" s="20">
        <f t="shared" si="38"/>
        <v>57.418181818181822</v>
      </c>
      <c r="G453" s="19">
        <f t="shared" si="42"/>
        <v>1837.3818181818183</v>
      </c>
      <c r="H453" s="19">
        <f t="shared" si="43"/>
        <v>7543.1873163636355</v>
      </c>
      <c r="I453" s="114" t="s">
        <v>1521</v>
      </c>
      <c r="J453" s="210">
        <f>VLOOKUP(I453,'Reajuste Atual'!$L$19:$M$25,2,FALSE)</f>
        <v>3.1053999999999999</v>
      </c>
      <c r="K453" s="190"/>
      <c r="L453" s="20">
        <v>78.95</v>
      </c>
      <c r="M453" s="765">
        <f t="shared" si="40"/>
        <v>56.392857142857146</v>
      </c>
      <c r="N453" s="765">
        <f t="shared" si="39"/>
        <v>57.418181818181822</v>
      </c>
      <c r="O453" s="765">
        <f t="shared" si="41"/>
        <v>57.418181818181822</v>
      </c>
    </row>
    <row r="454" spans="1:15" s="98" customFormat="1" outlineLevel="1">
      <c r="A454" s="141" t="s">
        <v>3483</v>
      </c>
      <c r="B454" s="114" t="s">
        <v>705</v>
      </c>
      <c r="C454" s="100" t="s">
        <v>2126</v>
      </c>
      <c r="D454" s="181" t="s">
        <v>1468</v>
      </c>
      <c r="E454" s="491">
        <v>168</v>
      </c>
      <c r="F454" s="20">
        <f t="shared" si="38"/>
        <v>74.421818181818182</v>
      </c>
      <c r="G454" s="19">
        <f t="shared" si="42"/>
        <v>12502.865454545454</v>
      </c>
      <c r="H454" s="19">
        <f t="shared" si="43"/>
        <v>51329.263837090897</v>
      </c>
      <c r="I454" s="114" t="s">
        <v>1521</v>
      </c>
      <c r="J454" s="210">
        <f>VLOOKUP(I454,'Reajuste Atual'!$L$19:$M$25,2,FALSE)</f>
        <v>3.1053999999999999</v>
      </c>
      <c r="K454" s="190"/>
      <c r="L454" s="20">
        <v>102.33</v>
      </c>
      <c r="M454" s="765">
        <f t="shared" si="40"/>
        <v>73.092857142857142</v>
      </c>
      <c r="N454" s="765">
        <f t="shared" si="39"/>
        <v>74.421818181818182</v>
      </c>
      <c r="O454" s="765">
        <f t="shared" si="41"/>
        <v>74.421818181818182</v>
      </c>
    </row>
    <row r="455" spans="1:15" s="98" customFormat="1" outlineLevel="1">
      <c r="A455" s="141" t="s">
        <v>3483</v>
      </c>
      <c r="B455" s="114" t="s">
        <v>706</v>
      </c>
      <c r="C455" s="100" t="s">
        <v>2127</v>
      </c>
      <c r="D455" s="181" t="s">
        <v>1468</v>
      </c>
      <c r="E455" s="491">
        <v>64</v>
      </c>
      <c r="F455" s="20">
        <f t="shared" si="38"/>
        <v>117.20727272727272</v>
      </c>
      <c r="G455" s="19">
        <f t="shared" si="42"/>
        <v>7501.2654545454543</v>
      </c>
      <c r="H455" s="19">
        <f t="shared" si="43"/>
        <v>30795.695197090903</v>
      </c>
      <c r="I455" s="114" t="s">
        <v>1521</v>
      </c>
      <c r="J455" s="210">
        <f>VLOOKUP(I455,'Reajuste Atual'!$L$19:$M$25,2,FALSE)</f>
        <v>3.1053999999999999</v>
      </c>
      <c r="K455" s="190"/>
      <c r="L455" s="20">
        <v>161.16</v>
      </c>
      <c r="M455" s="765">
        <f t="shared" si="40"/>
        <v>115.11428571428571</v>
      </c>
      <c r="N455" s="765">
        <f t="shared" si="39"/>
        <v>117.20727272727272</v>
      </c>
      <c r="O455" s="765">
        <f t="shared" si="41"/>
        <v>117.20727272727272</v>
      </c>
    </row>
    <row r="456" spans="1:15" s="98" customFormat="1" outlineLevel="1">
      <c r="A456" s="141" t="s">
        <v>3483</v>
      </c>
      <c r="B456" s="114" t="s">
        <v>707</v>
      </c>
      <c r="C456" s="100" t="s">
        <v>2128</v>
      </c>
      <c r="D456" s="181" t="s">
        <v>1468</v>
      </c>
      <c r="E456" s="491">
        <v>48</v>
      </c>
      <c r="F456" s="20">
        <f t="shared" si="38"/>
        <v>130.05090909090907</v>
      </c>
      <c r="G456" s="19">
        <f t="shared" si="42"/>
        <v>6242.443636363636</v>
      </c>
      <c r="H456" s="19">
        <f t="shared" si="43"/>
        <v>25627.728104727266</v>
      </c>
      <c r="I456" s="114" t="s">
        <v>1521</v>
      </c>
      <c r="J456" s="210">
        <f>VLOOKUP(I456,'Reajuste Atual'!$L$19:$M$25,2,FALSE)</f>
        <v>3.1053999999999999</v>
      </c>
      <c r="K456" s="190"/>
      <c r="L456" s="20">
        <v>178.82</v>
      </c>
      <c r="M456" s="765">
        <f t="shared" si="40"/>
        <v>127.72857142857143</v>
      </c>
      <c r="N456" s="765">
        <f t="shared" si="39"/>
        <v>130.05090909090907</v>
      </c>
      <c r="O456" s="765">
        <f t="shared" si="41"/>
        <v>130.05090909090907</v>
      </c>
    </row>
    <row r="457" spans="1:15" s="98" customFormat="1" outlineLevel="1">
      <c r="A457" s="141" t="s">
        <v>3483</v>
      </c>
      <c r="B457" s="114" t="s">
        <v>708</v>
      </c>
      <c r="C457" s="100" t="s">
        <v>2129</v>
      </c>
      <c r="D457" s="181" t="s">
        <v>1468</v>
      </c>
      <c r="E457" s="491">
        <v>48</v>
      </c>
      <c r="F457" s="20">
        <f t="shared" si="38"/>
        <v>130.05090909090907</v>
      </c>
      <c r="G457" s="19">
        <f t="shared" si="42"/>
        <v>6242.443636363636</v>
      </c>
      <c r="H457" s="19">
        <f t="shared" si="43"/>
        <v>25627.728104727266</v>
      </c>
      <c r="I457" s="114" t="s">
        <v>1521</v>
      </c>
      <c r="J457" s="210">
        <f>VLOOKUP(I457,'Reajuste Atual'!$L$19:$M$25,2,FALSE)</f>
        <v>3.1053999999999999</v>
      </c>
      <c r="K457" s="190"/>
      <c r="L457" s="20">
        <v>178.82</v>
      </c>
      <c r="M457" s="765">
        <f t="shared" si="40"/>
        <v>127.72857142857143</v>
      </c>
      <c r="N457" s="765">
        <f t="shared" si="39"/>
        <v>130.05090909090907</v>
      </c>
      <c r="O457" s="765">
        <f t="shared" si="41"/>
        <v>130.05090909090907</v>
      </c>
    </row>
    <row r="458" spans="1:15" s="98" customFormat="1" outlineLevel="1">
      <c r="A458" s="141" t="s">
        <v>3483</v>
      </c>
      <c r="B458" s="114" t="s">
        <v>709</v>
      </c>
      <c r="C458" s="100" t="s">
        <v>2130</v>
      </c>
      <c r="D458" s="181" t="s">
        <v>1468</v>
      </c>
      <c r="E458" s="491">
        <v>80</v>
      </c>
      <c r="F458" s="20">
        <f t="shared" si="38"/>
        <v>170.22545454545454</v>
      </c>
      <c r="G458" s="19">
        <f t="shared" si="42"/>
        <v>13618.036363636364</v>
      </c>
      <c r="H458" s="19">
        <f t="shared" si="43"/>
        <v>55907.486487272719</v>
      </c>
      <c r="I458" s="114" t="s">
        <v>1521</v>
      </c>
      <c r="J458" s="210">
        <f>VLOOKUP(I458,'Reajuste Atual'!$L$19:$M$25,2,FALSE)</f>
        <v>3.1053999999999999</v>
      </c>
      <c r="K458" s="190"/>
      <c r="L458" s="20">
        <v>234.06</v>
      </c>
      <c r="M458" s="765">
        <f t="shared" si="40"/>
        <v>167.18571428571431</v>
      </c>
      <c r="N458" s="765">
        <f t="shared" si="39"/>
        <v>170.22545454545454</v>
      </c>
      <c r="O458" s="765">
        <f t="shared" si="41"/>
        <v>170.22545454545454</v>
      </c>
    </row>
    <row r="459" spans="1:15" s="98" customFormat="1" outlineLevel="1">
      <c r="A459" s="141" t="s">
        <v>3483</v>
      </c>
      <c r="B459" s="114" t="s">
        <v>710</v>
      </c>
      <c r="C459" s="100" t="s">
        <v>2131</v>
      </c>
      <c r="D459" s="181" t="s">
        <v>1468</v>
      </c>
      <c r="E459" s="20">
        <v>192</v>
      </c>
      <c r="F459" s="20">
        <f t="shared" si="38"/>
        <v>303.56363636363636</v>
      </c>
      <c r="G459" s="19">
        <f t="shared" si="42"/>
        <v>58284.218181818185</v>
      </c>
      <c r="H459" s="19">
        <f t="shared" si="43"/>
        <v>239280.02932363635</v>
      </c>
      <c r="I459" s="114" t="s">
        <v>1521</v>
      </c>
      <c r="J459" s="210">
        <f>VLOOKUP(I459,'Reajuste Atual'!$L$19:$M$25,2,FALSE)</f>
        <v>3.1053999999999999</v>
      </c>
      <c r="K459" s="190"/>
      <c r="L459" s="20">
        <v>417.4</v>
      </c>
      <c r="M459" s="765">
        <f t="shared" si="40"/>
        <v>298.14285714285717</v>
      </c>
      <c r="N459" s="765">
        <f t="shared" si="39"/>
        <v>303.56363636363636</v>
      </c>
      <c r="O459" s="765">
        <f t="shared" si="41"/>
        <v>303.56363636363636</v>
      </c>
    </row>
    <row r="460" spans="1:15" s="98" customFormat="1" outlineLevel="1">
      <c r="A460" s="141" t="s">
        <v>3483</v>
      </c>
      <c r="B460" s="114" t="s">
        <v>711</v>
      </c>
      <c r="C460" s="100" t="s">
        <v>2132</v>
      </c>
      <c r="D460" s="181" t="s">
        <v>1468</v>
      </c>
      <c r="E460" s="20">
        <v>160</v>
      </c>
      <c r="F460" s="20">
        <f t="shared" si="38"/>
        <v>304.12363636363636</v>
      </c>
      <c r="G460" s="19">
        <f t="shared" si="42"/>
        <v>48659.781818181815</v>
      </c>
      <c r="H460" s="19">
        <f t="shared" si="43"/>
        <v>199767.86827636359</v>
      </c>
      <c r="I460" s="114" t="s">
        <v>1521</v>
      </c>
      <c r="J460" s="210">
        <f>VLOOKUP(I460,'Reajuste Atual'!$L$19:$M$25,2,FALSE)</f>
        <v>3.1053999999999999</v>
      </c>
      <c r="K460" s="190"/>
      <c r="L460" s="20">
        <v>418.17</v>
      </c>
      <c r="M460" s="765">
        <f t="shared" si="40"/>
        <v>298.69285714285718</v>
      </c>
      <c r="N460" s="765">
        <f t="shared" si="39"/>
        <v>304.12363636363636</v>
      </c>
      <c r="O460" s="765">
        <f t="shared" si="41"/>
        <v>304.12363636363636</v>
      </c>
    </row>
    <row r="461" spans="1:15" s="98" customFormat="1" outlineLevel="1">
      <c r="A461" s="141" t="s">
        <v>3483</v>
      </c>
      <c r="B461" s="114" t="s">
        <v>712</v>
      </c>
      <c r="C461" s="100" t="s">
        <v>2133</v>
      </c>
      <c r="D461" s="181" t="s">
        <v>1468</v>
      </c>
      <c r="E461" s="20">
        <v>96</v>
      </c>
      <c r="F461" s="20">
        <f t="shared" si="38"/>
        <v>627.31636363636358</v>
      </c>
      <c r="G461" s="19">
        <f t="shared" si="42"/>
        <v>60222.370909090903</v>
      </c>
      <c r="H461" s="19">
        <f t="shared" si="43"/>
        <v>247236.92153018177</v>
      </c>
      <c r="I461" s="114" t="s">
        <v>1521</v>
      </c>
      <c r="J461" s="210">
        <f>VLOOKUP(I461,'Reajuste Atual'!$L$19:$M$25,2,FALSE)</f>
        <v>3.1053999999999999</v>
      </c>
      <c r="K461" s="190"/>
      <c r="L461" s="20">
        <v>862.56</v>
      </c>
      <c r="M461" s="765">
        <f t="shared" si="40"/>
        <v>616.11428571428576</v>
      </c>
      <c r="N461" s="765">
        <f t="shared" si="39"/>
        <v>627.31636363636358</v>
      </c>
      <c r="O461" s="765">
        <f t="shared" si="41"/>
        <v>627.31636363636358</v>
      </c>
    </row>
    <row r="462" spans="1:15" s="98" customFormat="1" outlineLevel="1">
      <c r="A462" s="141" t="s">
        <v>3483</v>
      </c>
      <c r="B462" s="114" t="s">
        <v>713</v>
      </c>
      <c r="C462" s="100" t="s">
        <v>2134</v>
      </c>
      <c r="D462" s="181" t="s">
        <v>1468</v>
      </c>
      <c r="E462" s="20">
        <v>64</v>
      </c>
      <c r="F462" s="20">
        <f t="shared" si="38"/>
        <v>1230.370909090909</v>
      </c>
      <c r="G462" s="19">
        <f t="shared" si="42"/>
        <v>78743.738181818175</v>
      </c>
      <c r="H462" s="19">
        <f t="shared" si="43"/>
        <v>323274.54273163632</v>
      </c>
      <c r="I462" s="114" t="s">
        <v>1521</v>
      </c>
      <c r="J462" s="210">
        <f>VLOOKUP(I462,'Reajuste Atual'!$L$19:$M$25,2,FALSE)</f>
        <v>3.1053999999999999</v>
      </c>
      <c r="K462" s="190"/>
      <c r="L462" s="20">
        <v>1691.76</v>
      </c>
      <c r="M462" s="765">
        <f t="shared" si="40"/>
        <v>1208.4000000000001</v>
      </c>
      <c r="N462" s="765">
        <f t="shared" si="39"/>
        <v>1230.370909090909</v>
      </c>
      <c r="O462" s="765">
        <f t="shared" si="41"/>
        <v>1230.370909090909</v>
      </c>
    </row>
    <row r="463" spans="1:15" s="98" customFormat="1" outlineLevel="1">
      <c r="A463" s="141" t="s">
        <v>3483</v>
      </c>
      <c r="B463" s="114" t="s">
        <v>714</v>
      </c>
      <c r="C463" s="100" t="s">
        <v>2135</v>
      </c>
      <c r="D463" s="181" t="s">
        <v>1468</v>
      </c>
      <c r="E463" s="491">
        <v>12</v>
      </c>
      <c r="F463" s="20">
        <f t="shared" si="38"/>
        <v>180.00727272727272</v>
      </c>
      <c r="G463" s="19">
        <f t="shared" si="42"/>
        <v>2160.0872727272726</v>
      </c>
      <c r="H463" s="19">
        <f t="shared" si="43"/>
        <v>8868.0222894545441</v>
      </c>
      <c r="I463" s="114" t="s">
        <v>1521</v>
      </c>
      <c r="J463" s="210">
        <f>VLOOKUP(I463,'Reajuste Atual'!$L$19:$M$25,2,FALSE)</f>
        <v>3.1053999999999999</v>
      </c>
      <c r="K463" s="190"/>
      <c r="L463" s="20">
        <v>247.51</v>
      </c>
      <c r="M463" s="765">
        <f t="shared" si="40"/>
        <v>176.79285714285714</v>
      </c>
      <c r="N463" s="765">
        <f t="shared" si="39"/>
        <v>180.00727272727272</v>
      </c>
      <c r="O463" s="765">
        <f t="shared" si="41"/>
        <v>180.00727272727272</v>
      </c>
    </row>
    <row r="464" spans="1:15" s="98" customFormat="1" outlineLevel="1">
      <c r="A464" s="141" t="s">
        <v>3483</v>
      </c>
      <c r="B464" s="114" t="s">
        <v>715</v>
      </c>
      <c r="C464" s="100" t="s">
        <v>2136</v>
      </c>
      <c r="D464" s="181" t="s">
        <v>1468</v>
      </c>
      <c r="E464" s="491">
        <v>4</v>
      </c>
      <c r="F464" s="20">
        <f t="shared" si="38"/>
        <v>626.99636363636364</v>
      </c>
      <c r="G464" s="19">
        <f t="shared" si="42"/>
        <v>2507.9854545454546</v>
      </c>
      <c r="H464" s="19">
        <f t="shared" si="43"/>
        <v>10296.283485090908</v>
      </c>
      <c r="I464" s="114" t="s">
        <v>1521</v>
      </c>
      <c r="J464" s="210">
        <f>VLOOKUP(I464,'Reajuste Atual'!$L$19:$M$25,2,FALSE)</f>
        <v>3.1053999999999999</v>
      </c>
      <c r="K464" s="190"/>
      <c r="L464" s="20">
        <v>862.12</v>
      </c>
      <c r="M464" s="765">
        <f t="shared" si="40"/>
        <v>615.80000000000007</v>
      </c>
      <c r="N464" s="765">
        <f t="shared" si="39"/>
        <v>626.99636363636364</v>
      </c>
      <c r="O464" s="765">
        <f t="shared" si="41"/>
        <v>626.99636363636364</v>
      </c>
    </row>
    <row r="465" spans="1:15" s="98" customFormat="1" outlineLevel="1">
      <c r="A465" s="141" t="s">
        <v>3483</v>
      </c>
      <c r="B465" s="114" t="s">
        <v>716</v>
      </c>
      <c r="C465" s="100" t="s">
        <v>2137</v>
      </c>
      <c r="D465" s="181" t="s">
        <v>1468</v>
      </c>
      <c r="E465" s="491">
        <v>28</v>
      </c>
      <c r="F465" s="20">
        <f t="shared" si="38"/>
        <v>513.71636363636367</v>
      </c>
      <c r="G465" s="19">
        <f t="shared" si="42"/>
        <v>14384.058181818182</v>
      </c>
      <c r="H465" s="19">
        <f t="shared" si="43"/>
        <v>59052.312459636356</v>
      </c>
      <c r="I465" s="114" t="s">
        <v>1521</v>
      </c>
      <c r="J465" s="210">
        <f>VLOOKUP(I465,'Reajuste Atual'!$L$19:$M$25,2,FALSE)</f>
        <v>3.1053999999999999</v>
      </c>
      <c r="K465" s="190"/>
      <c r="L465" s="20">
        <v>706.36</v>
      </c>
      <c r="M465" s="765">
        <f t="shared" si="40"/>
        <v>504.5428571428572</v>
      </c>
      <c r="N465" s="765">
        <f t="shared" si="39"/>
        <v>513.71636363636367</v>
      </c>
      <c r="O465" s="765">
        <f t="shared" si="41"/>
        <v>513.71636363636367</v>
      </c>
    </row>
    <row r="466" spans="1:15" s="98" customFormat="1" outlineLevel="1">
      <c r="A466" s="141" t="s">
        <v>3483</v>
      </c>
      <c r="B466" s="114" t="s">
        <v>717</v>
      </c>
      <c r="C466" s="100" t="s">
        <v>2138</v>
      </c>
      <c r="D466" s="22" t="s">
        <v>1480</v>
      </c>
      <c r="E466" s="491">
        <v>24</v>
      </c>
      <c r="F466" s="20">
        <f t="shared" si="38"/>
        <v>249.23636363636362</v>
      </c>
      <c r="G466" s="19">
        <f t="shared" si="42"/>
        <v>5981.6727272727267</v>
      </c>
      <c r="H466" s="19">
        <f t="shared" si="43"/>
        <v>24557.159214545449</v>
      </c>
      <c r="I466" s="114" t="s">
        <v>1521</v>
      </c>
      <c r="J466" s="210">
        <f>VLOOKUP(I466,'Reajuste Atual'!$L$19:$M$25,2,FALSE)</f>
        <v>3.1053999999999999</v>
      </c>
      <c r="K466" s="190"/>
      <c r="L466" s="20">
        <v>342.7</v>
      </c>
      <c r="M466" s="765">
        <f t="shared" si="40"/>
        <v>244.78571428571431</v>
      </c>
      <c r="N466" s="765">
        <f t="shared" si="39"/>
        <v>249.23636363636362</v>
      </c>
      <c r="O466" s="765">
        <f t="shared" si="41"/>
        <v>249.23636363636362</v>
      </c>
    </row>
    <row r="467" spans="1:15" s="98" customFormat="1" outlineLevel="1">
      <c r="A467" s="141" t="s">
        <v>3483</v>
      </c>
      <c r="B467" s="114" t="s">
        <v>718</v>
      </c>
      <c r="C467" s="100" t="s">
        <v>2139</v>
      </c>
      <c r="D467" s="99" t="s">
        <v>1480</v>
      </c>
      <c r="E467" s="491">
        <v>12</v>
      </c>
      <c r="F467" s="20">
        <f t="shared" si="38"/>
        <v>136.10909090909092</v>
      </c>
      <c r="G467" s="19">
        <f t="shared" si="42"/>
        <v>1633.3090909090911</v>
      </c>
      <c r="H467" s="19">
        <f t="shared" si="43"/>
        <v>6705.3871418181816</v>
      </c>
      <c r="I467" s="114" t="s">
        <v>1521</v>
      </c>
      <c r="J467" s="210">
        <f>VLOOKUP(I467,'Reajuste Atual'!$L$19:$M$25,2,FALSE)</f>
        <v>3.1053999999999999</v>
      </c>
      <c r="K467" s="190"/>
      <c r="L467" s="20">
        <v>187.15</v>
      </c>
      <c r="M467" s="765">
        <f t="shared" si="40"/>
        <v>133.67857142857144</v>
      </c>
      <c r="N467" s="765">
        <f t="shared" si="39"/>
        <v>136.10909090909092</v>
      </c>
      <c r="O467" s="765">
        <f t="shared" si="41"/>
        <v>136.10909090909092</v>
      </c>
    </row>
    <row r="468" spans="1:15" s="98" customFormat="1" outlineLevel="1">
      <c r="A468" s="141" t="s">
        <v>3483</v>
      </c>
      <c r="B468" s="114" t="s">
        <v>719</v>
      </c>
      <c r="C468" s="100" t="s">
        <v>2140</v>
      </c>
      <c r="D468" s="99" t="s">
        <v>1480</v>
      </c>
      <c r="E468" s="491">
        <v>12</v>
      </c>
      <c r="F468" s="20">
        <f t="shared" si="38"/>
        <v>1661.6363636363637</v>
      </c>
      <c r="G468" s="19">
        <f t="shared" si="42"/>
        <v>19939.636363636364</v>
      </c>
      <c r="H468" s="19">
        <f t="shared" si="43"/>
        <v>81860.183127272714</v>
      </c>
      <c r="I468" s="114" t="s">
        <v>1521</v>
      </c>
      <c r="J468" s="210">
        <f>VLOOKUP(I468,'Reajuste Atual'!$L$19:$M$25,2,FALSE)</f>
        <v>3.1053999999999999</v>
      </c>
      <c r="K468" s="190"/>
      <c r="L468" s="20">
        <v>2284.75</v>
      </c>
      <c r="M468" s="765">
        <f t="shared" si="40"/>
        <v>1631.9642857142858</v>
      </c>
      <c r="N468" s="765">
        <f t="shared" si="39"/>
        <v>1661.6363636363637</v>
      </c>
      <c r="O468" s="765">
        <f t="shared" si="41"/>
        <v>1661.6363636363637</v>
      </c>
    </row>
    <row r="469" spans="1:15" s="98" customFormat="1" outlineLevel="1">
      <c r="A469" s="141" t="s">
        <v>3483</v>
      </c>
      <c r="B469" s="114" t="s">
        <v>720</v>
      </c>
      <c r="C469" s="100" t="s">
        <v>2141</v>
      </c>
      <c r="D469" s="99" t="s">
        <v>1480</v>
      </c>
      <c r="E469" s="491">
        <v>4</v>
      </c>
      <c r="F469" s="20">
        <f t="shared" si="38"/>
        <v>1107.7527272727273</v>
      </c>
      <c r="G469" s="19">
        <f t="shared" si="42"/>
        <v>4431.0109090909091</v>
      </c>
      <c r="H469" s="19">
        <f t="shared" si="43"/>
        <v>18191.072186181817</v>
      </c>
      <c r="I469" s="114" t="s">
        <v>1521</v>
      </c>
      <c r="J469" s="210">
        <f>VLOOKUP(I469,'Reajuste Atual'!$L$19:$M$25,2,FALSE)</f>
        <v>3.1053999999999999</v>
      </c>
      <c r="K469" s="190"/>
      <c r="L469" s="20">
        <v>1523.16</v>
      </c>
      <c r="M469" s="765">
        <f t="shared" si="40"/>
        <v>1087.9714285714288</v>
      </c>
      <c r="N469" s="765">
        <f t="shared" si="39"/>
        <v>1107.7527272727273</v>
      </c>
      <c r="O469" s="765">
        <f t="shared" si="41"/>
        <v>1107.7527272727273</v>
      </c>
    </row>
    <row r="470" spans="1:15" s="98" customFormat="1" outlineLevel="1">
      <c r="A470" s="141" t="s">
        <v>3483</v>
      </c>
      <c r="B470" s="114" t="s">
        <v>721</v>
      </c>
      <c r="C470" s="100" t="s">
        <v>2142</v>
      </c>
      <c r="D470" s="99" t="s">
        <v>1480</v>
      </c>
      <c r="E470" s="491">
        <v>4</v>
      </c>
      <c r="F470" s="20">
        <f t="shared" si="38"/>
        <v>13334.618181818181</v>
      </c>
      <c r="G470" s="19">
        <f t="shared" si="42"/>
        <v>53338.472727272725</v>
      </c>
      <c r="H470" s="19">
        <f t="shared" si="43"/>
        <v>218975.76593454543</v>
      </c>
      <c r="I470" s="114" t="s">
        <v>1521</v>
      </c>
      <c r="J470" s="210">
        <f>VLOOKUP(I470,'Reajuste Atual'!$L$19:$M$25,2,FALSE)</f>
        <v>3.1053999999999999</v>
      </c>
      <c r="K470" s="190"/>
      <c r="L470" s="20">
        <v>18335.099999999999</v>
      </c>
      <c r="M470" s="765">
        <f t="shared" si="40"/>
        <v>13096.5</v>
      </c>
      <c r="N470" s="765">
        <f t="shared" si="39"/>
        <v>13334.618181818181</v>
      </c>
      <c r="O470" s="765">
        <f t="shared" si="41"/>
        <v>13334.618181818181</v>
      </c>
    </row>
    <row r="471" spans="1:15" s="98" customFormat="1" outlineLevel="1">
      <c r="A471" s="141" t="s">
        <v>3483</v>
      </c>
      <c r="B471" s="114" t="s">
        <v>722</v>
      </c>
      <c r="C471" s="100" t="s">
        <v>2143</v>
      </c>
      <c r="D471" s="99" t="s">
        <v>1480</v>
      </c>
      <c r="E471" s="491">
        <v>8</v>
      </c>
      <c r="F471" s="20">
        <f t="shared" si="38"/>
        <v>25118.392727272727</v>
      </c>
      <c r="G471" s="19">
        <f t="shared" si="42"/>
        <v>200947.14181818182</v>
      </c>
      <c r="H471" s="19">
        <f t="shared" si="43"/>
        <v>824968.39602036355</v>
      </c>
      <c r="I471" s="114" t="s">
        <v>1521</v>
      </c>
      <c r="J471" s="210">
        <f>VLOOKUP(I471,'Reajuste Atual'!$L$19:$M$25,2,FALSE)</f>
        <v>3.1053999999999999</v>
      </c>
      <c r="K471" s="190"/>
      <c r="L471" s="20">
        <v>34537.79</v>
      </c>
      <c r="M471" s="765">
        <f t="shared" si="40"/>
        <v>24669.850000000002</v>
      </c>
      <c r="N471" s="765">
        <f t="shared" si="39"/>
        <v>25118.392727272727</v>
      </c>
      <c r="O471" s="765">
        <f t="shared" si="41"/>
        <v>25118.392727272727</v>
      </c>
    </row>
    <row r="472" spans="1:15" s="98" customFormat="1" outlineLevel="1">
      <c r="A472" s="141" t="s">
        <v>3483</v>
      </c>
      <c r="B472" s="114" t="s">
        <v>723</v>
      </c>
      <c r="C472" s="100" t="s">
        <v>2144</v>
      </c>
      <c r="D472" s="99" t="s">
        <v>1480</v>
      </c>
      <c r="E472" s="491">
        <v>4</v>
      </c>
      <c r="F472" s="20">
        <f t="shared" si="38"/>
        <v>15673.498181818182</v>
      </c>
      <c r="G472" s="19">
        <f t="shared" si="42"/>
        <v>62693.992727272729</v>
      </c>
      <c r="H472" s="19">
        <f t="shared" si="43"/>
        <v>257383.91774254543</v>
      </c>
      <c r="I472" s="114" t="s">
        <v>1521</v>
      </c>
      <c r="J472" s="210">
        <f>VLOOKUP(I472,'Reajuste Atual'!$L$19:$M$25,2,FALSE)</f>
        <v>3.1053999999999999</v>
      </c>
      <c r="K472" s="190"/>
      <c r="L472" s="20">
        <v>21551.06</v>
      </c>
      <c r="M472" s="765">
        <f t="shared" si="40"/>
        <v>15393.614285714288</v>
      </c>
      <c r="N472" s="765">
        <f t="shared" si="39"/>
        <v>15673.498181818182</v>
      </c>
      <c r="O472" s="765">
        <f t="shared" si="41"/>
        <v>15673.498181818182</v>
      </c>
    </row>
    <row r="473" spans="1:15" s="98" customFormat="1" outlineLevel="1">
      <c r="A473" s="141" t="s">
        <v>3483</v>
      </c>
      <c r="B473" s="114" t="s">
        <v>724</v>
      </c>
      <c r="C473" s="100" t="s">
        <v>2145</v>
      </c>
      <c r="D473" s="99" t="s">
        <v>1480</v>
      </c>
      <c r="E473" s="491">
        <v>16</v>
      </c>
      <c r="F473" s="20">
        <f t="shared" si="38"/>
        <v>415.73090909090911</v>
      </c>
      <c r="G473" s="19">
        <f t="shared" si="42"/>
        <v>6651.6945454545457</v>
      </c>
      <c r="H473" s="19">
        <f t="shared" si="43"/>
        <v>27307.86678690909</v>
      </c>
      <c r="I473" s="114" t="s">
        <v>1521</v>
      </c>
      <c r="J473" s="210">
        <f>VLOOKUP(I473,'Reajuste Atual'!$L$19:$M$25,2,FALSE)</f>
        <v>3.1053999999999999</v>
      </c>
      <c r="K473" s="190"/>
      <c r="L473" s="20">
        <v>571.63</v>
      </c>
      <c r="M473" s="765">
        <f t="shared" si="40"/>
        <v>408.30714285714288</v>
      </c>
      <c r="N473" s="765">
        <f t="shared" si="39"/>
        <v>415.73090909090911</v>
      </c>
      <c r="O473" s="765">
        <f t="shared" si="41"/>
        <v>415.73090909090911</v>
      </c>
    </row>
    <row r="474" spans="1:15" s="98" customFormat="1" outlineLevel="1">
      <c r="A474" s="141" t="s">
        <v>3483</v>
      </c>
      <c r="B474" s="114" t="s">
        <v>725</v>
      </c>
      <c r="C474" s="100" t="s">
        <v>2146</v>
      </c>
      <c r="D474" s="99" t="s">
        <v>1480</v>
      </c>
      <c r="E474" s="491">
        <v>16</v>
      </c>
      <c r="F474" s="20">
        <f t="shared" ref="F474:F537" si="44">O474</f>
        <v>498.88727272727277</v>
      </c>
      <c r="G474" s="19">
        <f t="shared" si="42"/>
        <v>7982.1963636363644</v>
      </c>
      <c r="H474" s="19">
        <f t="shared" si="43"/>
        <v>32770.108951272727</v>
      </c>
      <c r="I474" s="114" t="s">
        <v>1521</v>
      </c>
      <c r="J474" s="210">
        <f>VLOOKUP(I474,'Reajuste Atual'!$L$19:$M$25,2,FALSE)</f>
        <v>3.1053999999999999</v>
      </c>
      <c r="K474" s="190"/>
      <c r="L474" s="20">
        <v>685.97</v>
      </c>
      <c r="M474" s="765">
        <f t="shared" si="40"/>
        <v>489.97857142857146</v>
      </c>
      <c r="N474" s="765">
        <f t="shared" ref="N474:N537" si="45">L474/($N$23+1)</f>
        <v>498.88727272727277</v>
      </c>
      <c r="O474" s="765">
        <f t="shared" si="41"/>
        <v>498.88727272727277</v>
      </c>
    </row>
    <row r="475" spans="1:15" s="98" customFormat="1" outlineLevel="1">
      <c r="A475" s="141" t="s">
        <v>3483</v>
      </c>
      <c r="B475" s="114" t="s">
        <v>726</v>
      </c>
      <c r="C475" s="100" t="s">
        <v>2147</v>
      </c>
      <c r="D475" s="99" t="s">
        <v>1480</v>
      </c>
      <c r="E475" s="491">
        <v>32</v>
      </c>
      <c r="F475" s="20">
        <f t="shared" si="44"/>
        <v>685.97090909090912</v>
      </c>
      <c r="G475" s="19">
        <f t="shared" si="42"/>
        <v>21951.069090909092</v>
      </c>
      <c r="H475" s="19">
        <f t="shared" si="43"/>
        <v>90117.919045818169</v>
      </c>
      <c r="I475" s="114" t="s">
        <v>1521</v>
      </c>
      <c r="J475" s="210">
        <f>VLOOKUP(I475,'Reajuste Atual'!$L$19:$M$25,2,FALSE)</f>
        <v>3.1053999999999999</v>
      </c>
      <c r="K475" s="190"/>
      <c r="L475" s="20">
        <v>943.21</v>
      </c>
      <c r="M475" s="765">
        <f t="shared" ref="M475:M538" si="46">L475/($M$23+1)</f>
        <v>673.72142857142865</v>
      </c>
      <c r="N475" s="765">
        <f t="shared" si="45"/>
        <v>685.97090909090912</v>
      </c>
      <c r="O475" s="765">
        <f t="shared" si="41"/>
        <v>685.97090909090912</v>
      </c>
    </row>
    <row r="476" spans="1:15" s="98" customFormat="1" outlineLevel="1">
      <c r="A476" s="141" t="s">
        <v>3483</v>
      </c>
      <c r="B476" s="114" t="s">
        <v>727</v>
      </c>
      <c r="C476" s="100" t="s">
        <v>2148</v>
      </c>
      <c r="D476" s="99" t="s">
        <v>1480</v>
      </c>
      <c r="E476" s="491">
        <v>24</v>
      </c>
      <c r="F476" s="20">
        <f t="shared" si="44"/>
        <v>145.51272727272729</v>
      </c>
      <c r="G476" s="19">
        <f t="shared" si="42"/>
        <v>3492.3054545454552</v>
      </c>
      <c r="H476" s="19">
        <f t="shared" si="43"/>
        <v>14337.31081309091</v>
      </c>
      <c r="I476" s="114" t="s">
        <v>1521</v>
      </c>
      <c r="J476" s="210">
        <f>VLOOKUP(I476,'Reajuste Atual'!$L$19:$M$25,2,FALSE)</f>
        <v>3.1053999999999999</v>
      </c>
      <c r="K476" s="190"/>
      <c r="L476" s="20">
        <v>200.08</v>
      </c>
      <c r="M476" s="765">
        <f t="shared" si="46"/>
        <v>142.91428571428574</v>
      </c>
      <c r="N476" s="765">
        <f t="shared" si="45"/>
        <v>145.51272727272729</v>
      </c>
      <c r="O476" s="765">
        <f t="shared" ref="O476:O539" si="47">IF(A476="S",M476,N476)</f>
        <v>145.51272727272729</v>
      </c>
    </row>
    <row r="477" spans="1:15" s="98" customFormat="1" outlineLevel="1">
      <c r="A477" s="141" t="s">
        <v>3483</v>
      </c>
      <c r="B477" s="114" t="s">
        <v>728</v>
      </c>
      <c r="C477" s="100" t="s">
        <v>2149</v>
      </c>
      <c r="D477" s="99" t="s">
        <v>1480</v>
      </c>
      <c r="E477" s="491">
        <v>48</v>
      </c>
      <c r="F477" s="20">
        <f t="shared" si="44"/>
        <v>112.24727272727273</v>
      </c>
      <c r="G477" s="19">
        <f t="shared" si="42"/>
        <v>5387.869090909091</v>
      </c>
      <c r="H477" s="19">
        <f t="shared" si="43"/>
        <v>22119.357765818178</v>
      </c>
      <c r="I477" s="114" t="s">
        <v>1521</v>
      </c>
      <c r="J477" s="210">
        <f>VLOOKUP(I477,'Reajuste Atual'!$L$19:$M$25,2,FALSE)</f>
        <v>3.1053999999999999</v>
      </c>
      <c r="K477" s="190"/>
      <c r="L477" s="20">
        <v>154.34</v>
      </c>
      <c r="M477" s="765">
        <f t="shared" si="46"/>
        <v>110.24285714285715</v>
      </c>
      <c r="N477" s="765">
        <f t="shared" si="45"/>
        <v>112.24727272727273</v>
      </c>
      <c r="O477" s="765">
        <f t="shared" si="47"/>
        <v>112.24727272727273</v>
      </c>
    </row>
    <row r="478" spans="1:15" s="98" customFormat="1" outlineLevel="1">
      <c r="A478" s="141" t="s">
        <v>3483</v>
      </c>
      <c r="B478" s="114" t="s">
        <v>729</v>
      </c>
      <c r="C478" s="100" t="s">
        <v>2150</v>
      </c>
      <c r="D478" s="99" t="s">
        <v>1480</v>
      </c>
      <c r="E478" s="491">
        <v>8</v>
      </c>
      <c r="F478" s="20">
        <f t="shared" si="44"/>
        <v>623.62181818181818</v>
      </c>
      <c r="G478" s="19">
        <f t="shared" si="42"/>
        <v>4988.9745454545455</v>
      </c>
      <c r="H478" s="19">
        <f t="shared" si="43"/>
        <v>20481.736098909088</v>
      </c>
      <c r="I478" s="114" t="s">
        <v>1521</v>
      </c>
      <c r="J478" s="210">
        <f>VLOOKUP(I478,'Reajuste Atual'!$L$19:$M$25,2,FALSE)</f>
        <v>3.1053999999999999</v>
      </c>
      <c r="K478" s="190"/>
      <c r="L478" s="20">
        <v>857.48</v>
      </c>
      <c r="M478" s="765">
        <f t="shared" si="46"/>
        <v>612.48571428571438</v>
      </c>
      <c r="N478" s="765">
        <f t="shared" si="45"/>
        <v>623.62181818181818</v>
      </c>
      <c r="O478" s="765">
        <f t="shared" si="47"/>
        <v>623.62181818181818</v>
      </c>
    </row>
    <row r="479" spans="1:15" s="98" customFormat="1" outlineLevel="1">
      <c r="A479" s="141" t="s">
        <v>3483</v>
      </c>
      <c r="B479" s="114" t="s">
        <v>730</v>
      </c>
      <c r="C479" s="100" t="s">
        <v>2151</v>
      </c>
      <c r="D479" s="99" t="s">
        <v>1480</v>
      </c>
      <c r="E479" s="491">
        <v>48</v>
      </c>
      <c r="F479" s="20">
        <f t="shared" si="44"/>
        <v>49.898181818181818</v>
      </c>
      <c r="G479" s="19">
        <f t="shared" si="42"/>
        <v>2395.1127272727272</v>
      </c>
      <c r="H479" s="19">
        <f t="shared" si="43"/>
        <v>9832.8957905454536</v>
      </c>
      <c r="I479" s="114" t="s">
        <v>1521</v>
      </c>
      <c r="J479" s="210">
        <f>VLOOKUP(I479,'Reajuste Atual'!$L$19:$M$25,2,FALSE)</f>
        <v>3.1053999999999999</v>
      </c>
      <c r="K479" s="190"/>
      <c r="L479" s="20">
        <v>68.61</v>
      </c>
      <c r="M479" s="765">
        <f t="shared" si="46"/>
        <v>49.00714285714286</v>
      </c>
      <c r="N479" s="765">
        <f t="shared" si="45"/>
        <v>49.898181818181818</v>
      </c>
      <c r="O479" s="765">
        <f t="shared" si="47"/>
        <v>49.898181818181818</v>
      </c>
    </row>
    <row r="480" spans="1:15" s="98" customFormat="1" outlineLevel="1">
      <c r="A480" s="141" t="s">
        <v>3483</v>
      </c>
      <c r="B480" s="114" t="s">
        <v>731</v>
      </c>
      <c r="C480" s="100" t="s">
        <v>2152</v>
      </c>
      <c r="D480" s="99" t="s">
        <v>1480</v>
      </c>
      <c r="E480" s="491">
        <v>8</v>
      </c>
      <c r="F480" s="20">
        <f t="shared" si="44"/>
        <v>49.898181818181818</v>
      </c>
      <c r="G480" s="19">
        <f t="shared" si="42"/>
        <v>399.18545454545455</v>
      </c>
      <c r="H480" s="19">
        <f t="shared" si="43"/>
        <v>1638.815965090909</v>
      </c>
      <c r="I480" s="114" t="s">
        <v>1521</v>
      </c>
      <c r="J480" s="210">
        <f>VLOOKUP(I480,'Reajuste Atual'!$L$19:$M$25,2,FALSE)</f>
        <v>3.1053999999999999</v>
      </c>
      <c r="K480" s="190"/>
      <c r="L480" s="20">
        <v>68.61</v>
      </c>
      <c r="M480" s="765">
        <f t="shared" si="46"/>
        <v>49.00714285714286</v>
      </c>
      <c r="N480" s="765">
        <f t="shared" si="45"/>
        <v>49.898181818181818</v>
      </c>
      <c r="O480" s="765">
        <f t="shared" si="47"/>
        <v>49.898181818181818</v>
      </c>
    </row>
    <row r="481" spans="1:15" s="98" customFormat="1" outlineLevel="1">
      <c r="A481" s="141" t="s">
        <v>3483</v>
      </c>
      <c r="B481" s="114" t="s">
        <v>732</v>
      </c>
      <c r="C481" s="100" t="s">
        <v>2153</v>
      </c>
      <c r="D481" s="99" t="s">
        <v>1480</v>
      </c>
      <c r="E481" s="491">
        <v>20</v>
      </c>
      <c r="F481" s="20">
        <f t="shared" si="44"/>
        <v>315.97090909090906</v>
      </c>
      <c r="G481" s="19">
        <f t="shared" si="42"/>
        <v>6319.4181818181814</v>
      </c>
      <c r="H481" s="19">
        <f t="shared" si="43"/>
        <v>25943.739403636358</v>
      </c>
      <c r="I481" s="114" t="s">
        <v>1521</v>
      </c>
      <c r="J481" s="210">
        <f>VLOOKUP(I481,'Reajuste Atual'!$L$19:$M$25,2,FALSE)</f>
        <v>3.1053999999999999</v>
      </c>
      <c r="K481" s="190"/>
      <c r="L481" s="20">
        <v>434.46</v>
      </c>
      <c r="M481" s="765">
        <f t="shared" si="46"/>
        <v>310.32857142857142</v>
      </c>
      <c r="N481" s="765">
        <f t="shared" si="45"/>
        <v>315.97090909090906</v>
      </c>
      <c r="O481" s="765">
        <f t="shared" si="47"/>
        <v>315.97090909090906</v>
      </c>
    </row>
    <row r="482" spans="1:15" s="98" customFormat="1" outlineLevel="1">
      <c r="A482" s="141" t="s">
        <v>3483</v>
      </c>
      <c r="B482" s="114" t="s">
        <v>733</v>
      </c>
      <c r="C482" s="100" t="s">
        <v>2154</v>
      </c>
      <c r="D482" s="99" t="s">
        <v>1480</v>
      </c>
      <c r="E482" s="491">
        <v>48</v>
      </c>
      <c r="F482" s="20">
        <f t="shared" si="44"/>
        <v>249.44727272727275</v>
      </c>
      <c r="G482" s="19">
        <f t="shared" si="42"/>
        <v>11973.469090909091</v>
      </c>
      <c r="H482" s="19">
        <f t="shared" si="43"/>
        <v>49155.880005818181</v>
      </c>
      <c r="I482" s="114" t="s">
        <v>1521</v>
      </c>
      <c r="J482" s="210">
        <f>VLOOKUP(I482,'Reajuste Atual'!$L$19:$M$25,2,FALSE)</f>
        <v>3.1053999999999999</v>
      </c>
      <c r="K482" s="190"/>
      <c r="L482" s="20">
        <v>342.99</v>
      </c>
      <c r="M482" s="765">
        <f t="shared" si="46"/>
        <v>244.99285714285716</v>
      </c>
      <c r="N482" s="765">
        <f t="shared" si="45"/>
        <v>249.44727272727275</v>
      </c>
      <c r="O482" s="765">
        <f t="shared" si="47"/>
        <v>249.44727272727275</v>
      </c>
    </row>
    <row r="483" spans="1:15" s="98" customFormat="1" outlineLevel="1">
      <c r="A483" s="141" t="s">
        <v>3483</v>
      </c>
      <c r="B483" s="114" t="s">
        <v>734</v>
      </c>
      <c r="C483" s="100" t="s">
        <v>2155</v>
      </c>
      <c r="D483" s="99" t="s">
        <v>1480</v>
      </c>
      <c r="E483" s="491">
        <v>48</v>
      </c>
      <c r="F483" s="20">
        <f t="shared" si="44"/>
        <v>12.458181818181817</v>
      </c>
      <c r="G483" s="19">
        <f t="shared" si="42"/>
        <v>597.99272727272728</v>
      </c>
      <c r="H483" s="19">
        <f t="shared" si="43"/>
        <v>2454.9993425454541</v>
      </c>
      <c r="I483" s="114" t="s">
        <v>1521</v>
      </c>
      <c r="J483" s="210">
        <f>VLOOKUP(I483,'Reajuste Atual'!$L$19:$M$25,2,FALSE)</f>
        <v>3.1053999999999999</v>
      </c>
      <c r="K483" s="190"/>
      <c r="L483" s="20">
        <v>17.13</v>
      </c>
      <c r="M483" s="765">
        <f t="shared" si="46"/>
        <v>12.235714285714286</v>
      </c>
      <c r="N483" s="765">
        <f t="shared" si="45"/>
        <v>12.458181818181817</v>
      </c>
      <c r="O483" s="765">
        <f t="shared" si="47"/>
        <v>12.458181818181817</v>
      </c>
    </row>
    <row r="484" spans="1:15" s="98" customFormat="1" outlineLevel="1">
      <c r="A484" s="141" t="s">
        <v>3483</v>
      </c>
      <c r="B484" s="114" t="s">
        <v>735</v>
      </c>
      <c r="C484" s="100" t="s">
        <v>2156</v>
      </c>
      <c r="D484" s="99" t="s">
        <v>1480</v>
      </c>
      <c r="E484" s="20">
        <v>36</v>
      </c>
      <c r="F484" s="20">
        <f t="shared" si="44"/>
        <v>540.4727272727273</v>
      </c>
      <c r="G484" s="19">
        <f t="shared" si="42"/>
        <v>19457.018181818181</v>
      </c>
      <c r="H484" s="19">
        <f t="shared" si="43"/>
        <v>79878.842443636357</v>
      </c>
      <c r="I484" s="114" t="s">
        <v>1521</v>
      </c>
      <c r="J484" s="210">
        <f>VLOOKUP(I484,'Reajuste Atual'!$L$19:$M$25,2,FALSE)</f>
        <v>3.1053999999999999</v>
      </c>
      <c r="K484" s="190"/>
      <c r="L484" s="20">
        <v>743.15</v>
      </c>
      <c r="M484" s="765">
        <f t="shared" si="46"/>
        <v>530.82142857142856</v>
      </c>
      <c r="N484" s="765">
        <f t="shared" si="45"/>
        <v>540.4727272727273</v>
      </c>
      <c r="O484" s="765">
        <f t="shared" si="47"/>
        <v>540.4727272727273</v>
      </c>
    </row>
    <row r="485" spans="1:15" s="98" customFormat="1" outlineLevel="1">
      <c r="A485" s="141" t="s">
        <v>3483</v>
      </c>
      <c r="B485" s="114" t="s">
        <v>736</v>
      </c>
      <c r="C485" s="100" t="s">
        <v>2157</v>
      </c>
      <c r="D485" s="99" t="s">
        <v>1480</v>
      </c>
      <c r="E485" s="20">
        <v>8</v>
      </c>
      <c r="F485" s="20">
        <f t="shared" si="44"/>
        <v>665.18545454545449</v>
      </c>
      <c r="G485" s="19">
        <f t="shared" si="42"/>
        <v>5321.4836363636359</v>
      </c>
      <c r="H485" s="19">
        <f t="shared" si="43"/>
        <v>21846.81892072727</v>
      </c>
      <c r="I485" s="114" t="s">
        <v>1521</v>
      </c>
      <c r="J485" s="210">
        <f>VLOOKUP(I485,'Reajuste Atual'!$L$19:$M$25,2,FALSE)</f>
        <v>3.1053999999999999</v>
      </c>
      <c r="K485" s="190"/>
      <c r="L485" s="20">
        <v>914.63</v>
      </c>
      <c r="M485" s="765">
        <f t="shared" si="46"/>
        <v>653.30714285714294</v>
      </c>
      <c r="N485" s="765">
        <f t="shared" si="45"/>
        <v>665.18545454545449</v>
      </c>
      <c r="O485" s="765">
        <f t="shared" si="47"/>
        <v>665.18545454545449</v>
      </c>
    </row>
    <row r="486" spans="1:15" s="98" customFormat="1" outlineLevel="1">
      <c r="A486" s="141" t="s">
        <v>3483</v>
      </c>
      <c r="B486" s="114" t="s">
        <v>737</v>
      </c>
      <c r="C486" s="100" t="s">
        <v>2158</v>
      </c>
      <c r="D486" s="99" t="s">
        <v>1480</v>
      </c>
      <c r="E486" s="20">
        <v>4</v>
      </c>
      <c r="F486" s="20">
        <f t="shared" si="44"/>
        <v>665.18545454545449</v>
      </c>
      <c r="G486" s="19">
        <f t="shared" si="42"/>
        <v>2660.741818181818</v>
      </c>
      <c r="H486" s="19">
        <f t="shared" si="43"/>
        <v>10923.409460363635</v>
      </c>
      <c r="I486" s="114" t="s">
        <v>1521</v>
      </c>
      <c r="J486" s="210">
        <f>VLOOKUP(I486,'Reajuste Atual'!$L$19:$M$25,2,FALSE)</f>
        <v>3.1053999999999999</v>
      </c>
      <c r="K486" s="190"/>
      <c r="L486" s="20">
        <v>914.63</v>
      </c>
      <c r="M486" s="765">
        <f t="shared" si="46"/>
        <v>653.30714285714294</v>
      </c>
      <c r="N486" s="765">
        <f t="shared" si="45"/>
        <v>665.18545454545449</v>
      </c>
      <c r="O486" s="765">
        <f t="shared" si="47"/>
        <v>665.18545454545449</v>
      </c>
    </row>
    <row r="487" spans="1:15" s="98" customFormat="1" outlineLevel="1">
      <c r="A487" s="141" t="s">
        <v>3483</v>
      </c>
      <c r="B487" s="114" t="s">
        <v>738</v>
      </c>
      <c r="C487" s="100" t="s">
        <v>2159</v>
      </c>
      <c r="D487" s="99" t="s">
        <v>1480</v>
      </c>
      <c r="E487" s="20">
        <v>10.56</v>
      </c>
      <c r="F487" s="20">
        <f t="shared" si="44"/>
        <v>330.72727272727275</v>
      </c>
      <c r="G487" s="19">
        <f t="shared" si="42"/>
        <v>3492.4800000000005</v>
      </c>
      <c r="H487" s="19">
        <f t="shared" si="43"/>
        <v>14338.027392</v>
      </c>
      <c r="I487" s="114" t="s">
        <v>1521</v>
      </c>
      <c r="J487" s="210">
        <f>VLOOKUP(I487,'Reajuste Atual'!$L$19:$M$25,2,FALSE)</f>
        <v>3.1053999999999999</v>
      </c>
      <c r="K487" s="190"/>
      <c r="L487" s="20">
        <v>454.75</v>
      </c>
      <c r="M487" s="765">
        <f t="shared" si="46"/>
        <v>324.82142857142861</v>
      </c>
      <c r="N487" s="765">
        <f t="shared" si="45"/>
        <v>330.72727272727275</v>
      </c>
      <c r="O487" s="765">
        <f t="shared" si="47"/>
        <v>330.72727272727275</v>
      </c>
    </row>
    <row r="488" spans="1:15" s="98" customFormat="1" outlineLevel="1">
      <c r="A488" s="141" t="s">
        <v>3483</v>
      </c>
      <c r="B488" s="114" t="s">
        <v>739</v>
      </c>
      <c r="C488" s="100" t="s">
        <v>2160</v>
      </c>
      <c r="D488" s="99" t="s">
        <v>1480</v>
      </c>
      <c r="E488" s="20">
        <v>16</v>
      </c>
      <c r="F488" s="20">
        <f t="shared" si="44"/>
        <v>24.945454545454542</v>
      </c>
      <c r="G488" s="19">
        <f t="shared" si="42"/>
        <v>399.12727272727267</v>
      </c>
      <c r="H488" s="19">
        <f t="shared" si="43"/>
        <v>1638.5771054545451</v>
      </c>
      <c r="I488" s="114" t="s">
        <v>1521</v>
      </c>
      <c r="J488" s="210">
        <f>VLOOKUP(I488,'Reajuste Atual'!$L$19:$M$25,2,FALSE)</f>
        <v>3.1053999999999999</v>
      </c>
      <c r="K488" s="190"/>
      <c r="L488" s="20">
        <v>34.299999999999997</v>
      </c>
      <c r="M488" s="765">
        <f t="shared" si="46"/>
        <v>24.5</v>
      </c>
      <c r="N488" s="765">
        <f t="shared" si="45"/>
        <v>24.945454545454542</v>
      </c>
      <c r="O488" s="765">
        <f t="shared" si="47"/>
        <v>24.945454545454542</v>
      </c>
    </row>
    <row r="489" spans="1:15" s="98" customFormat="1" outlineLevel="1">
      <c r="A489" s="141" t="s">
        <v>3483</v>
      </c>
      <c r="B489" s="114" t="s">
        <v>740</v>
      </c>
      <c r="C489" s="100" t="s">
        <v>2161</v>
      </c>
      <c r="D489" s="99" t="s">
        <v>1480</v>
      </c>
      <c r="E489" s="20">
        <v>24</v>
      </c>
      <c r="F489" s="20">
        <f t="shared" si="44"/>
        <v>1.3818181818181818</v>
      </c>
      <c r="G489" s="19">
        <f t="shared" si="42"/>
        <v>33.163636363636364</v>
      </c>
      <c r="H489" s="19">
        <f t="shared" si="43"/>
        <v>136.14999272727272</v>
      </c>
      <c r="I489" s="114" t="s">
        <v>1521</v>
      </c>
      <c r="J489" s="210">
        <f>VLOOKUP(I489,'Reajuste Atual'!$L$19:$M$25,2,FALSE)</f>
        <v>3.1053999999999999</v>
      </c>
      <c r="K489" s="190"/>
      <c r="L489" s="20">
        <v>1.9</v>
      </c>
      <c r="M489" s="765">
        <f t="shared" si="46"/>
        <v>1.3571428571428572</v>
      </c>
      <c r="N489" s="765">
        <f t="shared" si="45"/>
        <v>1.3818181818181818</v>
      </c>
      <c r="O489" s="765">
        <f t="shared" si="47"/>
        <v>1.3818181818181818</v>
      </c>
    </row>
    <row r="490" spans="1:15" s="98" customFormat="1" outlineLevel="1">
      <c r="A490" s="141" t="s">
        <v>3483</v>
      </c>
      <c r="B490" s="114" t="s">
        <v>741</v>
      </c>
      <c r="C490" s="100" t="s">
        <v>2162</v>
      </c>
      <c r="D490" s="99" t="s">
        <v>1480</v>
      </c>
      <c r="E490" s="20">
        <v>96</v>
      </c>
      <c r="F490" s="20">
        <f t="shared" si="44"/>
        <v>1.2436363636363637</v>
      </c>
      <c r="G490" s="19">
        <f t="shared" si="42"/>
        <v>119.38909090909091</v>
      </c>
      <c r="H490" s="19">
        <f t="shared" si="43"/>
        <v>490.13997381818177</v>
      </c>
      <c r="I490" s="114" t="s">
        <v>1521</v>
      </c>
      <c r="J490" s="210">
        <f>VLOOKUP(I490,'Reajuste Atual'!$L$19:$M$25,2,FALSE)</f>
        <v>3.1053999999999999</v>
      </c>
      <c r="K490" s="190"/>
      <c r="L490" s="20">
        <v>1.71</v>
      </c>
      <c r="M490" s="765">
        <f t="shared" si="46"/>
        <v>1.2214285714285715</v>
      </c>
      <c r="N490" s="765">
        <f t="shared" si="45"/>
        <v>1.2436363636363637</v>
      </c>
      <c r="O490" s="765">
        <f t="shared" si="47"/>
        <v>1.2436363636363637</v>
      </c>
    </row>
    <row r="491" spans="1:15" s="98" customFormat="1" outlineLevel="1">
      <c r="A491" s="141" t="s">
        <v>3483</v>
      </c>
      <c r="B491" s="114" t="s">
        <v>742</v>
      </c>
      <c r="C491" s="100" t="s">
        <v>2163</v>
      </c>
      <c r="D491" s="99" t="s">
        <v>1480</v>
      </c>
      <c r="E491" s="20">
        <v>24</v>
      </c>
      <c r="F491" s="20">
        <f t="shared" si="44"/>
        <v>1.658181818181818</v>
      </c>
      <c r="G491" s="19">
        <f t="shared" si="42"/>
        <v>39.79636363636363</v>
      </c>
      <c r="H491" s="19">
        <f t="shared" si="43"/>
        <v>163.37999127272724</v>
      </c>
      <c r="I491" s="114" t="s">
        <v>1521</v>
      </c>
      <c r="J491" s="210">
        <f>VLOOKUP(I491,'Reajuste Atual'!$L$19:$M$25,2,FALSE)</f>
        <v>3.1053999999999999</v>
      </c>
      <c r="K491" s="190"/>
      <c r="L491" s="20">
        <v>2.2799999999999998</v>
      </c>
      <c r="M491" s="765">
        <f t="shared" si="46"/>
        <v>1.6285714285714286</v>
      </c>
      <c r="N491" s="765">
        <f t="shared" si="45"/>
        <v>1.658181818181818</v>
      </c>
      <c r="O491" s="765">
        <f t="shared" si="47"/>
        <v>1.658181818181818</v>
      </c>
    </row>
    <row r="492" spans="1:15" s="98" customFormat="1" outlineLevel="1">
      <c r="A492" s="141" t="s">
        <v>3483</v>
      </c>
      <c r="B492" s="114" t="s">
        <v>743</v>
      </c>
      <c r="C492" s="100" t="s">
        <v>2164</v>
      </c>
      <c r="D492" s="99" t="s">
        <v>1480</v>
      </c>
      <c r="E492" s="20">
        <v>72</v>
      </c>
      <c r="F492" s="20">
        <f t="shared" si="44"/>
        <v>12.458181818181817</v>
      </c>
      <c r="G492" s="19">
        <f t="shared" si="42"/>
        <v>896.98909090909081</v>
      </c>
      <c r="H492" s="19">
        <f t="shared" si="43"/>
        <v>3682.4990138181811</v>
      </c>
      <c r="I492" s="114" t="s">
        <v>1521</v>
      </c>
      <c r="J492" s="210">
        <f>VLOOKUP(I492,'Reajuste Atual'!$L$19:$M$25,2,FALSE)</f>
        <v>3.1053999999999999</v>
      </c>
      <c r="K492" s="190"/>
      <c r="L492" s="20">
        <v>17.13</v>
      </c>
      <c r="M492" s="765">
        <f t="shared" si="46"/>
        <v>12.235714285714286</v>
      </c>
      <c r="N492" s="765">
        <f t="shared" si="45"/>
        <v>12.458181818181817</v>
      </c>
      <c r="O492" s="765">
        <f t="shared" si="47"/>
        <v>12.458181818181817</v>
      </c>
    </row>
    <row r="493" spans="1:15" s="98" customFormat="1" outlineLevel="1">
      <c r="A493" s="141" t="s">
        <v>3483</v>
      </c>
      <c r="B493" s="114" t="s">
        <v>744</v>
      </c>
      <c r="C493" s="100" t="s">
        <v>2165</v>
      </c>
      <c r="D493" s="99" t="s">
        <v>1480</v>
      </c>
      <c r="E493" s="20">
        <v>60</v>
      </c>
      <c r="F493" s="20">
        <f t="shared" si="44"/>
        <v>21.599999999999998</v>
      </c>
      <c r="G493" s="19">
        <f t="shared" si="42"/>
        <v>1295.9999999999998</v>
      </c>
      <c r="H493" s="19">
        <f t="shared" si="43"/>
        <v>5320.598399999998</v>
      </c>
      <c r="I493" s="114" t="s">
        <v>1521</v>
      </c>
      <c r="J493" s="210">
        <f>VLOOKUP(I493,'Reajuste Atual'!$L$19:$M$25,2,FALSE)</f>
        <v>3.1053999999999999</v>
      </c>
      <c r="K493" s="190"/>
      <c r="L493" s="20">
        <v>29.7</v>
      </c>
      <c r="M493" s="765">
        <f t="shared" si="46"/>
        <v>21.214285714285715</v>
      </c>
      <c r="N493" s="765">
        <f t="shared" si="45"/>
        <v>21.599999999999998</v>
      </c>
      <c r="O493" s="765">
        <f t="shared" si="47"/>
        <v>21.599999999999998</v>
      </c>
    </row>
    <row r="494" spans="1:15" s="98" customFormat="1" outlineLevel="1">
      <c r="A494" s="141" t="s">
        <v>3483</v>
      </c>
      <c r="B494" s="114" t="s">
        <v>745</v>
      </c>
      <c r="C494" s="100" t="s">
        <v>2166</v>
      </c>
      <c r="D494" s="99" t="s">
        <v>1480</v>
      </c>
      <c r="E494" s="20">
        <v>120</v>
      </c>
      <c r="F494" s="20">
        <f t="shared" si="44"/>
        <v>69.229090909090914</v>
      </c>
      <c r="G494" s="19">
        <f t="shared" si="42"/>
        <v>8307.4909090909096</v>
      </c>
      <c r="H494" s="19">
        <f t="shared" si="43"/>
        <v>34105.573178181818</v>
      </c>
      <c r="I494" s="114" t="s">
        <v>1521</v>
      </c>
      <c r="J494" s="210">
        <f>VLOOKUP(I494,'Reajuste Atual'!$L$19:$M$25,2,FALSE)</f>
        <v>3.1053999999999999</v>
      </c>
      <c r="K494" s="190"/>
      <c r="L494" s="20">
        <v>95.19</v>
      </c>
      <c r="M494" s="765">
        <f t="shared" si="46"/>
        <v>67.992857142857147</v>
      </c>
      <c r="N494" s="765">
        <f t="shared" si="45"/>
        <v>69.229090909090914</v>
      </c>
      <c r="O494" s="765">
        <f t="shared" si="47"/>
        <v>69.229090909090914</v>
      </c>
    </row>
    <row r="495" spans="1:15" s="98" customFormat="1" outlineLevel="1">
      <c r="A495" s="141" t="s">
        <v>3483</v>
      </c>
      <c r="B495" s="114" t="s">
        <v>746</v>
      </c>
      <c r="C495" s="100" t="s">
        <v>2167</v>
      </c>
      <c r="D495" s="99" t="s">
        <v>1480</v>
      </c>
      <c r="E495" s="20">
        <v>72</v>
      </c>
      <c r="F495" s="20">
        <f t="shared" si="44"/>
        <v>69.229090909090914</v>
      </c>
      <c r="G495" s="19">
        <f t="shared" si="42"/>
        <v>4984.4945454545459</v>
      </c>
      <c r="H495" s="19">
        <f t="shared" si="43"/>
        <v>20463.343906909089</v>
      </c>
      <c r="I495" s="114" t="s">
        <v>1521</v>
      </c>
      <c r="J495" s="210">
        <f>VLOOKUP(I495,'Reajuste Atual'!$L$19:$M$25,2,FALSE)</f>
        <v>3.1053999999999999</v>
      </c>
      <c r="K495" s="190"/>
      <c r="L495" s="20">
        <v>95.19</v>
      </c>
      <c r="M495" s="765">
        <f t="shared" si="46"/>
        <v>67.992857142857147</v>
      </c>
      <c r="N495" s="765">
        <f t="shared" si="45"/>
        <v>69.229090909090914</v>
      </c>
      <c r="O495" s="765">
        <f t="shared" si="47"/>
        <v>69.229090909090914</v>
      </c>
    </row>
    <row r="496" spans="1:15" s="98" customFormat="1" outlineLevel="1">
      <c r="A496" s="141" t="s">
        <v>3483</v>
      </c>
      <c r="B496" s="114" t="s">
        <v>747</v>
      </c>
      <c r="C496" s="100" t="s">
        <v>2168</v>
      </c>
      <c r="D496" s="99" t="s">
        <v>1480</v>
      </c>
      <c r="E496" s="20">
        <v>24</v>
      </c>
      <c r="F496" s="20">
        <f t="shared" si="44"/>
        <v>138.45818181818183</v>
      </c>
      <c r="G496" s="19">
        <f t="shared" si="42"/>
        <v>3322.9963636363636</v>
      </c>
      <c r="H496" s="19">
        <f t="shared" si="43"/>
        <v>13642.229271272725</v>
      </c>
      <c r="I496" s="114" t="s">
        <v>1521</v>
      </c>
      <c r="J496" s="210">
        <f>VLOOKUP(I496,'Reajuste Atual'!$L$19:$M$25,2,FALSE)</f>
        <v>3.1053999999999999</v>
      </c>
      <c r="K496" s="190"/>
      <c r="L496" s="20">
        <v>190.38</v>
      </c>
      <c r="M496" s="765">
        <f t="shared" si="46"/>
        <v>135.98571428571429</v>
      </c>
      <c r="N496" s="765">
        <f t="shared" si="45"/>
        <v>138.45818181818183</v>
      </c>
      <c r="O496" s="765">
        <f t="shared" si="47"/>
        <v>138.45818181818183</v>
      </c>
    </row>
    <row r="497" spans="1:15" s="98" customFormat="1" outlineLevel="1">
      <c r="A497" s="141" t="s">
        <v>3483</v>
      </c>
      <c r="B497" s="114" t="s">
        <v>748</v>
      </c>
      <c r="C497" s="100" t="s">
        <v>2169</v>
      </c>
      <c r="D497" s="99" t="s">
        <v>1480</v>
      </c>
      <c r="E497" s="20">
        <v>72</v>
      </c>
      <c r="F497" s="20">
        <f t="shared" si="44"/>
        <v>6.2254545454545456</v>
      </c>
      <c r="G497" s="19">
        <f t="shared" si="42"/>
        <v>448.23272727272729</v>
      </c>
      <c r="H497" s="19">
        <f t="shared" si="43"/>
        <v>1840.1746385454544</v>
      </c>
      <c r="I497" s="114" t="s">
        <v>1521</v>
      </c>
      <c r="J497" s="210">
        <f>VLOOKUP(I497,'Reajuste Atual'!$L$19:$M$25,2,FALSE)</f>
        <v>3.1053999999999999</v>
      </c>
      <c r="K497" s="190"/>
      <c r="L497" s="20">
        <v>8.56</v>
      </c>
      <c r="M497" s="765">
        <f t="shared" si="46"/>
        <v>6.1142857142857148</v>
      </c>
      <c r="N497" s="765">
        <f t="shared" si="45"/>
        <v>6.2254545454545456</v>
      </c>
      <c r="O497" s="765">
        <f t="shared" si="47"/>
        <v>6.2254545454545456</v>
      </c>
    </row>
    <row r="498" spans="1:15" s="98" customFormat="1" outlineLevel="1">
      <c r="A498" s="141" t="s">
        <v>3483</v>
      </c>
      <c r="B498" s="114" t="s">
        <v>749</v>
      </c>
      <c r="C498" s="100" t="s">
        <v>2170</v>
      </c>
      <c r="D498" s="99" t="s">
        <v>1480</v>
      </c>
      <c r="E498" s="20">
        <v>72</v>
      </c>
      <c r="F498" s="20">
        <f t="shared" si="44"/>
        <v>9.4109090909090902</v>
      </c>
      <c r="G498" s="19">
        <f t="shared" si="42"/>
        <v>677.58545454545447</v>
      </c>
      <c r="H498" s="19">
        <f t="shared" si="43"/>
        <v>2781.7593250909085</v>
      </c>
      <c r="I498" s="114" t="s">
        <v>1521</v>
      </c>
      <c r="J498" s="210">
        <f>VLOOKUP(I498,'Reajuste Atual'!$L$19:$M$25,2,FALSE)</f>
        <v>3.1053999999999999</v>
      </c>
      <c r="K498" s="190"/>
      <c r="L498" s="20">
        <v>12.94</v>
      </c>
      <c r="M498" s="765">
        <f t="shared" si="46"/>
        <v>9.2428571428571438</v>
      </c>
      <c r="N498" s="765">
        <f t="shared" si="45"/>
        <v>9.4109090909090902</v>
      </c>
      <c r="O498" s="765">
        <f t="shared" si="47"/>
        <v>9.4109090909090902</v>
      </c>
    </row>
    <row r="499" spans="1:15" s="98" customFormat="1" outlineLevel="1">
      <c r="A499" s="141" t="s">
        <v>3483</v>
      </c>
      <c r="B499" s="114" t="s">
        <v>750</v>
      </c>
      <c r="C499" s="100" t="s">
        <v>2171</v>
      </c>
      <c r="D499" s="99" t="s">
        <v>1480</v>
      </c>
      <c r="E499" s="20">
        <v>56</v>
      </c>
      <c r="F499" s="20">
        <f t="shared" si="44"/>
        <v>5.9490909090909092</v>
      </c>
      <c r="G499" s="19">
        <f t="shared" si="42"/>
        <v>333.14909090909089</v>
      </c>
      <c r="H499" s="19">
        <f t="shared" si="43"/>
        <v>1367.7102778181816</v>
      </c>
      <c r="I499" s="114" t="s">
        <v>1521</v>
      </c>
      <c r="J499" s="210">
        <f>VLOOKUP(I499,'Reajuste Atual'!$L$19:$M$25,2,FALSE)</f>
        <v>3.1053999999999999</v>
      </c>
      <c r="K499" s="190"/>
      <c r="L499" s="20">
        <v>8.18</v>
      </c>
      <c r="M499" s="765">
        <f t="shared" si="46"/>
        <v>5.8428571428571434</v>
      </c>
      <c r="N499" s="765">
        <f t="shared" si="45"/>
        <v>5.9490909090909092</v>
      </c>
      <c r="O499" s="765">
        <f t="shared" si="47"/>
        <v>5.9490909090909092</v>
      </c>
    </row>
    <row r="500" spans="1:15" s="98" customFormat="1" outlineLevel="1">
      <c r="A500" s="141" t="s">
        <v>3483</v>
      </c>
      <c r="B500" s="114" t="s">
        <v>751</v>
      </c>
      <c r="C500" s="100" t="s">
        <v>2172</v>
      </c>
      <c r="D500" s="99" t="s">
        <v>1480</v>
      </c>
      <c r="E500" s="20">
        <v>24</v>
      </c>
      <c r="F500" s="20">
        <f t="shared" si="44"/>
        <v>2.4872727272727273</v>
      </c>
      <c r="G500" s="19">
        <f t="shared" si="42"/>
        <v>59.694545454545455</v>
      </c>
      <c r="H500" s="19">
        <f t="shared" si="43"/>
        <v>245.06998690909089</v>
      </c>
      <c r="I500" s="114" t="s">
        <v>1521</v>
      </c>
      <c r="J500" s="210">
        <f>VLOOKUP(I500,'Reajuste Atual'!$L$19:$M$25,2,FALSE)</f>
        <v>3.1053999999999999</v>
      </c>
      <c r="K500" s="190"/>
      <c r="L500" s="20">
        <v>3.42</v>
      </c>
      <c r="M500" s="765">
        <f t="shared" si="46"/>
        <v>2.4428571428571431</v>
      </c>
      <c r="N500" s="765">
        <f t="shared" si="45"/>
        <v>2.4872727272727273</v>
      </c>
      <c r="O500" s="765">
        <f t="shared" si="47"/>
        <v>2.4872727272727273</v>
      </c>
    </row>
    <row r="501" spans="1:15" s="98" customFormat="1" outlineLevel="1">
      <c r="A501" s="141" t="s">
        <v>3483</v>
      </c>
      <c r="B501" s="114" t="s">
        <v>752</v>
      </c>
      <c r="C501" s="100" t="s">
        <v>2173</v>
      </c>
      <c r="D501" s="99" t="s">
        <v>1480</v>
      </c>
      <c r="E501" s="20">
        <v>20</v>
      </c>
      <c r="F501" s="20">
        <f t="shared" si="44"/>
        <v>16.618181818181821</v>
      </c>
      <c r="G501" s="19">
        <f t="shared" si="42"/>
        <v>332.36363636363643</v>
      </c>
      <c r="H501" s="19">
        <f t="shared" si="43"/>
        <v>1364.4856727272729</v>
      </c>
      <c r="I501" s="114" t="s">
        <v>1521</v>
      </c>
      <c r="J501" s="210">
        <f>VLOOKUP(I501,'Reajuste Atual'!$L$19:$M$25,2,FALSE)</f>
        <v>3.1053999999999999</v>
      </c>
      <c r="K501" s="190"/>
      <c r="L501" s="20">
        <v>22.85</v>
      </c>
      <c r="M501" s="765">
        <f t="shared" si="46"/>
        <v>16.321428571428573</v>
      </c>
      <c r="N501" s="765">
        <f t="shared" si="45"/>
        <v>16.618181818181821</v>
      </c>
      <c r="O501" s="765">
        <f t="shared" si="47"/>
        <v>16.618181818181821</v>
      </c>
    </row>
    <row r="502" spans="1:15" s="98" customFormat="1" outlineLevel="1">
      <c r="A502" s="141" t="s">
        <v>3483</v>
      </c>
      <c r="B502" s="114" t="s">
        <v>753</v>
      </c>
      <c r="C502" s="100" t="s">
        <v>2174</v>
      </c>
      <c r="D502" s="99" t="s">
        <v>1472</v>
      </c>
      <c r="E502" s="20">
        <v>40</v>
      </c>
      <c r="F502" s="20">
        <f t="shared" si="44"/>
        <v>10.792727272727273</v>
      </c>
      <c r="G502" s="19">
        <f t="shared" si="42"/>
        <v>431.70909090909095</v>
      </c>
      <c r="H502" s="19">
        <f t="shared" si="43"/>
        <v>1772.3385018181818</v>
      </c>
      <c r="I502" s="114" t="s">
        <v>1521</v>
      </c>
      <c r="J502" s="210">
        <f>VLOOKUP(I502,'Reajuste Atual'!$L$19:$M$25,2,FALSE)</f>
        <v>3.1053999999999999</v>
      </c>
      <c r="K502" s="190"/>
      <c r="L502" s="20">
        <v>14.84</v>
      </c>
      <c r="M502" s="765">
        <f t="shared" si="46"/>
        <v>10.600000000000001</v>
      </c>
      <c r="N502" s="765">
        <f t="shared" si="45"/>
        <v>10.792727272727273</v>
      </c>
      <c r="O502" s="765">
        <f t="shared" si="47"/>
        <v>10.792727272727273</v>
      </c>
    </row>
    <row r="503" spans="1:15" s="98" customFormat="1" outlineLevel="1">
      <c r="A503" s="141" t="s">
        <v>3483</v>
      </c>
      <c r="B503" s="114" t="s">
        <v>754</v>
      </c>
      <c r="C503" s="100" t="s">
        <v>1614</v>
      </c>
      <c r="D503" s="99" t="s">
        <v>1472</v>
      </c>
      <c r="E503" s="20">
        <v>468</v>
      </c>
      <c r="F503" s="20">
        <f t="shared" si="44"/>
        <v>7.4763636363636357</v>
      </c>
      <c r="G503" s="19">
        <f t="shared" si="42"/>
        <v>3498.9381818181814</v>
      </c>
      <c r="H503" s="19">
        <f t="shared" si="43"/>
        <v>14364.54081163636</v>
      </c>
      <c r="I503" s="114" t="s">
        <v>1521</v>
      </c>
      <c r="J503" s="210">
        <f>VLOOKUP(I503,'Reajuste Atual'!$L$19:$M$25,2,FALSE)</f>
        <v>3.1053999999999999</v>
      </c>
      <c r="K503" s="190"/>
      <c r="L503" s="20">
        <v>10.28</v>
      </c>
      <c r="M503" s="765">
        <f t="shared" si="46"/>
        <v>7.3428571428571425</v>
      </c>
      <c r="N503" s="765">
        <f t="shared" si="45"/>
        <v>7.4763636363636357</v>
      </c>
      <c r="O503" s="765">
        <f t="shared" si="47"/>
        <v>7.4763636363636357</v>
      </c>
    </row>
    <row r="504" spans="1:15" s="98" customFormat="1" outlineLevel="1">
      <c r="A504" s="141" t="s">
        <v>3483</v>
      </c>
      <c r="B504" s="114" t="s">
        <v>755</v>
      </c>
      <c r="C504" s="100" t="s">
        <v>2175</v>
      </c>
      <c r="D504" s="99" t="s">
        <v>1472</v>
      </c>
      <c r="E504" s="20">
        <v>320</v>
      </c>
      <c r="F504" s="20">
        <f t="shared" si="44"/>
        <v>2.6327272727272728</v>
      </c>
      <c r="G504" s="19">
        <f t="shared" si="42"/>
        <v>842.4727272727273</v>
      </c>
      <c r="H504" s="19">
        <f t="shared" si="43"/>
        <v>3458.6875345454541</v>
      </c>
      <c r="I504" s="114" t="s">
        <v>1521</v>
      </c>
      <c r="J504" s="210">
        <f>VLOOKUP(I504,'Reajuste Atual'!$L$19:$M$25,2,FALSE)</f>
        <v>3.1053999999999999</v>
      </c>
      <c r="K504" s="190"/>
      <c r="L504" s="20">
        <v>3.62</v>
      </c>
      <c r="M504" s="765">
        <f t="shared" si="46"/>
        <v>2.5857142857142859</v>
      </c>
      <c r="N504" s="765">
        <f t="shared" si="45"/>
        <v>2.6327272727272728</v>
      </c>
      <c r="O504" s="765">
        <f t="shared" si="47"/>
        <v>2.6327272727272728</v>
      </c>
    </row>
    <row r="505" spans="1:15" s="98" customFormat="1" outlineLevel="1">
      <c r="A505" s="141" t="s">
        <v>3483</v>
      </c>
      <c r="B505" s="114" t="s">
        <v>756</v>
      </c>
      <c r="C505" s="100" t="s">
        <v>2176</v>
      </c>
      <c r="D505" s="99" t="s">
        <v>1480</v>
      </c>
      <c r="E505" s="20">
        <v>16</v>
      </c>
      <c r="F505" s="20">
        <f t="shared" si="44"/>
        <v>56.49454545454546</v>
      </c>
      <c r="G505" s="19">
        <f t="shared" si="42"/>
        <v>903.91272727272735</v>
      </c>
      <c r="H505" s="19">
        <f t="shared" si="43"/>
        <v>3710.9233105454546</v>
      </c>
      <c r="I505" s="114" t="s">
        <v>1521</v>
      </c>
      <c r="J505" s="210">
        <f>VLOOKUP(I505,'Reajuste Atual'!$L$19:$M$25,2,FALSE)</f>
        <v>3.1053999999999999</v>
      </c>
      <c r="K505" s="190"/>
      <c r="L505" s="20">
        <v>77.680000000000007</v>
      </c>
      <c r="M505" s="765">
        <f t="shared" si="46"/>
        <v>55.485714285714295</v>
      </c>
      <c r="N505" s="765">
        <f t="shared" si="45"/>
        <v>56.49454545454546</v>
      </c>
      <c r="O505" s="765">
        <f t="shared" si="47"/>
        <v>56.49454545454546</v>
      </c>
    </row>
    <row r="506" spans="1:15" s="98" customFormat="1" outlineLevel="1">
      <c r="A506" s="141" t="s">
        <v>3483</v>
      </c>
      <c r="B506" s="114" t="s">
        <v>757</v>
      </c>
      <c r="C506" s="100" t="s">
        <v>2177</v>
      </c>
      <c r="D506" s="99" t="s">
        <v>1480</v>
      </c>
      <c r="E506" s="20">
        <v>16</v>
      </c>
      <c r="F506" s="20">
        <f t="shared" si="44"/>
        <v>53.28</v>
      </c>
      <c r="G506" s="19">
        <f t="shared" si="42"/>
        <v>852.48</v>
      </c>
      <c r="H506" s="19">
        <f t="shared" si="43"/>
        <v>3499.7713919999997</v>
      </c>
      <c r="I506" s="114" t="s">
        <v>1521</v>
      </c>
      <c r="J506" s="210">
        <f>VLOOKUP(I506,'Reajuste Atual'!$L$19:$M$25,2,FALSE)</f>
        <v>3.1053999999999999</v>
      </c>
      <c r="K506" s="190"/>
      <c r="L506" s="20">
        <v>73.260000000000005</v>
      </c>
      <c r="M506" s="765">
        <f t="shared" si="46"/>
        <v>52.328571428571436</v>
      </c>
      <c r="N506" s="765">
        <f t="shared" si="45"/>
        <v>53.28</v>
      </c>
      <c r="O506" s="765">
        <f t="shared" si="47"/>
        <v>53.28</v>
      </c>
    </row>
    <row r="507" spans="1:15" s="98" customFormat="1" outlineLevel="1">
      <c r="A507" s="141" t="s">
        <v>3483</v>
      </c>
      <c r="B507" s="114" t="s">
        <v>758</v>
      </c>
      <c r="C507" s="100" t="s">
        <v>2178</v>
      </c>
      <c r="D507" s="99" t="s">
        <v>1480</v>
      </c>
      <c r="E507" s="20">
        <v>4</v>
      </c>
      <c r="F507" s="20">
        <f t="shared" si="44"/>
        <v>6.9454545454545462</v>
      </c>
      <c r="G507" s="19">
        <f t="shared" ref="G507:G570" si="48">E507*F507</f>
        <v>27.781818181818185</v>
      </c>
      <c r="H507" s="19">
        <f t="shared" ref="H507:H570" si="49">G507*(1+J507)</f>
        <v>114.05547636363636</v>
      </c>
      <c r="I507" s="114" t="s">
        <v>1521</v>
      </c>
      <c r="J507" s="210">
        <f>VLOOKUP(I507,'Reajuste Atual'!$L$19:$M$25,2,FALSE)</f>
        <v>3.1053999999999999</v>
      </c>
      <c r="K507" s="190"/>
      <c r="L507" s="20">
        <v>9.5500000000000007</v>
      </c>
      <c r="M507" s="765">
        <f t="shared" si="46"/>
        <v>6.8214285714285721</v>
      </c>
      <c r="N507" s="765">
        <f t="shared" si="45"/>
        <v>6.9454545454545462</v>
      </c>
      <c r="O507" s="765">
        <f t="shared" si="47"/>
        <v>6.9454545454545462</v>
      </c>
    </row>
    <row r="508" spans="1:15" s="98" customFormat="1" outlineLevel="1">
      <c r="A508" s="141" t="s">
        <v>3483</v>
      </c>
      <c r="B508" s="114" t="s">
        <v>759</v>
      </c>
      <c r="C508" s="100" t="s">
        <v>2179</v>
      </c>
      <c r="D508" s="99" t="s">
        <v>1480</v>
      </c>
      <c r="E508" s="20">
        <v>16</v>
      </c>
      <c r="F508" s="20">
        <f t="shared" si="44"/>
        <v>48.909090909090907</v>
      </c>
      <c r="G508" s="19">
        <f t="shared" si="48"/>
        <v>782.5454545454545</v>
      </c>
      <c r="H508" s="19">
        <f t="shared" si="49"/>
        <v>3212.6621090909084</v>
      </c>
      <c r="I508" s="114" t="s">
        <v>1521</v>
      </c>
      <c r="J508" s="210">
        <f>VLOOKUP(I508,'Reajuste Atual'!$L$19:$M$25,2,FALSE)</f>
        <v>3.1053999999999999</v>
      </c>
      <c r="K508" s="190"/>
      <c r="L508" s="20">
        <v>67.25</v>
      </c>
      <c r="M508" s="765">
        <f t="shared" si="46"/>
        <v>48.035714285714292</v>
      </c>
      <c r="N508" s="765">
        <f t="shared" si="45"/>
        <v>48.909090909090907</v>
      </c>
      <c r="O508" s="765">
        <f t="shared" si="47"/>
        <v>48.909090909090907</v>
      </c>
    </row>
    <row r="509" spans="1:15" s="98" customFormat="1" outlineLevel="1">
      <c r="A509" s="141" t="s">
        <v>3483</v>
      </c>
      <c r="B509" s="114" t="s">
        <v>760</v>
      </c>
      <c r="C509" s="100" t="s">
        <v>2180</v>
      </c>
      <c r="D509" s="99" t="s">
        <v>1480</v>
      </c>
      <c r="E509" s="20">
        <v>8</v>
      </c>
      <c r="F509" s="20">
        <f t="shared" si="44"/>
        <v>41.578181818181818</v>
      </c>
      <c r="G509" s="19">
        <f t="shared" si="48"/>
        <v>332.62545454545455</v>
      </c>
      <c r="H509" s="19">
        <f t="shared" si="49"/>
        <v>1365.5605410909088</v>
      </c>
      <c r="I509" s="114" t="s">
        <v>1521</v>
      </c>
      <c r="J509" s="210">
        <f>VLOOKUP(I509,'Reajuste Atual'!$L$19:$M$25,2,FALSE)</f>
        <v>3.1053999999999999</v>
      </c>
      <c r="K509" s="190"/>
      <c r="L509" s="20">
        <v>57.17</v>
      </c>
      <c r="M509" s="765">
        <f t="shared" si="46"/>
        <v>40.835714285714289</v>
      </c>
      <c r="N509" s="765">
        <f t="shared" si="45"/>
        <v>41.578181818181818</v>
      </c>
      <c r="O509" s="765">
        <f t="shared" si="47"/>
        <v>41.578181818181818</v>
      </c>
    </row>
    <row r="510" spans="1:15" s="98" customFormat="1" ht="31.5" outlineLevel="1">
      <c r="A510" s="141" t="s">
        <v>3483</v>
      </c>
      <c r="B510" s="114" t="s">
        <v>761</v>
      </c>
      <c r="C510" s="100" t="s">
        <v>2181</v>
      </c>
      <c r="D510" s="99" t="s">
        <v>1480</v>
      </c>
      <c r="E510" s="20">
        <v>4</v>
      </c>
      <c r="F510" s="20">
        <f t="shared" si="44"/>
        <v>623.62181818181818</v>
      </c>
      <c r="G510" s="19">
        <f t="shared" si="48"/>
        <v>2494.4872727272727</v>
      </c>
      <c r="H510" s="19">
        <f t="shared" si="49"/>
        <v>10240.868049454544</v>
      </c>
      <c r="I510" s="114" t="s">
        <v>1521</v>
      </c>
      <c r="J510" s="210">
        <f>VLOOKUP(I510,'Reajuste Atual'!$L$19:$M$25,2,FALSE)</f>
        <v>3.1053999999999999</v>
      </c>
      <c r="K510" s="190"/>
      <c r="L510" s="20">
        <v>857.48</v>
      </c>
      <c r="M510" s="765">
        <f t="shared" si="46"/>
        <v>612.48571428571438</v>
      </c>
      <c r="N510" s="765">
        <f t="shared" si="45"/>
        <v>623.62181818181818</v>
      </c>
      <c r="O510" s="765">
        <f t="shared" si="47"/>
        <v>623.62181818181818</v>
      </c>
    </row>
    <row r="511" spans="1:15" s="98" customFormat="1" outlineLevel="1">
      <c r="A511" s="141" t="s">
        <v>3483</v>
      </c>
      <c r="B511" s="114" t="s">
        <v>762</v>
      </c>
      <c r="C511" s="100" t="s">
        <v>2182</v>
      </c>
      <c r="D511" s="99" t="s">
        <v>1480</v>
      </c>
      <c r="E511" s="20">
        <v>8</v>
      </c>
      <c r="F511" s="20">
        <f t="shared" si="44"/>
        <v>62.356363636363632</v>
      </c>
      <c r="G511" s="19">
        <f t="shared" si="48"/>
        <v>498.85090909090906</v>
      </c>
      <c r="H511" s="19">
        <f t="shared" si="49"/>
        <v>2047.9825221818178</v>
      </c>
      <c r="I511" s="114" t="s">
        <v>1521</v>
      </c>
      <c r="J511" s="210">
        <f>VLOOKUP(I511,'Reajuste Atual'!$L$19:$M$25,2,FALSE)</f>
        <v>3.1053999999999999</v>
      </c>
      <c r="K511" s="190"/>
      <c r="L511" s="20">
        <v>85.74</v>
      </c>
      <c r="M511" s="765">
        <f t="shared" si="46"/>
        <v>61.24285714285714</v>
      </c>
      <c r="N511" s="765">
        <f t="shared" si="45"/>
        <v>62.356363636363632</v>
      </c>
      <c r="O511" s="765">
        <f t="shared" si="47"/>
        <v>62.356363636363632</v>
      </c>
    </row>
    <row r="512" spans="1:15" s="98" customFormat="1" ht="31.5" outlineLevel="1">
      <c r="A512" s="141" t="s">
        <v>3483</v>
      </c>
      <c r="B512" s="114" t="s">
        <v>763</v>
      </c>
      <c r="C512" s="100" t="s">
        <v>2183</v>
      </c>
      <c r="D512" s="99" t="s">
        <v>1480</v>
      </c>
      <c r="E512" s="20">
        <v>32</v>
      </c>
      <c r="F512" s="20">
        <f t="shared" si="44"/>
        <v>540.4727272727273</v>
      </c>
      <c r="G512" s="19">
        <f t="shared" si="48"/>
        <v>17295.127272727274</v>
      </c>
      <c r="H512" s="19">
        <f t="shared" si="49"/>
        <v>71003.415505454541</v>
      </c>
      <c r="I512" s="114" t="s">
        <v>1521</v>
      </c>
      <c r="J512" s="210">
        <f>VLOOKUP(I512,'Reajuste Atual'!$L$19:$M$25,2,FALSE)</f>
        <v>3.1053999999999999</v>
      </c>
      <c r="K512" s="190"/>
      <c r="L512" s="20">
        <v>743.15</v>
      </c>
      <c r="M512" s="765">
        <f t="shared" si="46"/>
        <v>530.82142857142856</v>
      </c>
      <c r="N512" s="765">
        <f t="shared" si="45"/>
        <v>540.4727272727273</v>
      </c>
      <c r="O512" s="765">
        <f t="shared" si="47"/>
        <v>540.4727272727273</v>
      </c>
    </row>
    <row r="513" spans="1:15" s="98" customFormat="1" ht="31.5" outlineLevel="1">
      <c r="A513" s="141" t="s">
        <v>3483</v>
      </c>
      <c r="B513" s="114" t="s">
        <v>764</v>
      </c>
      <c r="C513" s="100" t="s">
        <v>2184</v>
      </c>
      <c r="D513" s="99" t="s">
        <v>1480</v>
      </c>
      <c r="E513" s="20">
        <v>20</v>
      </c>
      <c r="F513" s="20">
        <f t="shared" si="44"/>
        <v>374.16</v>
      </c>
      <c r="G513" s="19">
        <f t="shared" si="48"/>
        <v>7483.2000000000007</v>
      </c>
      <c r="H513" s="19">
        <f t="shared" si="49"/>
        <v>30721.529279999999</v>
      </c>
      <c r="I513" s="114" t="s">
        <v>1521</v>
      </c>
      <c r="J513" s="210">
        <f>VLOOKUP(I513,'Reajuste Atual'!$L$19:$M$25,2,FALSE)</f>
        <v>3.1053999999999999</v>
      </c>
      <c r="K513" s="190"/>
      <c r="L513" s="20">
        <v>514.47</v>
      </c>
      <c r="M513" s="765">
        <f t="shared" si="46"/>
        <v>367.47857142857146</v>
      </c>
      <c r="N513" s="765">
        <f t="shared" si="45"/>
        <v>374.16</v>
      </c>
      <c r="O513" s="765">
        <f t="shared" si="47"/>
        <v>374.16</v>
      </c>
    </row>
    <row r="514" spans="1:15" s="98" customFormat="1" ht="47.25" outlineLevel="1">
      <c r="A514" s="141" t="s">
        <v>3483</v>
      </c>
      <c r="B514" s="114" t="s">
        <v>765</v>
      </c>
      <c r="C514" s="100" t="s">
        <v>2185</v>
      </c>
      <c r="D514" s="99" t="s">
        <v>1480</v>
      </c>
      <c r="E514" s="20">
        <v>84</v>
      </c>
      <c r="F514" s="20">
        <f t="shared" si="44"/>
        <v>505.40363636363634</v>
      </c>
      <c r="G514" s="19">
        <f t="shared" si="48"/>
        <v>42453.905454545449</v>
      </c>
      <c r="H514" s="19">
        <f t="shared" si="49"/>
        <v>174290.26345309085</v>
      </c>
      <c r="I514" s="114" t="s">
        <v>1521</v>
      </c>
      <c r="J514" s="210">
        <f>VLOOKUP(I514,'Reajuste Atual'!$L$19:$M$25,2,FALSE)</f>
        <v>3.1053999999999999</v>
      </c>
      <c r="K514" s="190"/>
      <c r="L514" s="20">
        <v>694.93</v>
      </c>
      <c r="M514" s="765">
        <f t="shared" si="46"/>
        <v>496.37857142857143</v>
      </c>
      <c r="N514" s="765">
        <f t="shared" si="45"/>
        <v>505.40363636363634</v>
      </c>
      <c r="O514" s="765">
        <f t="shared" si="47"/>
        <v>505.40363636363634</v>
      </c>
    </row>
    <row r="515" spans="1:15" s="98" customFormat="1" outlineLevel="1">
      <c r="A515" s="141" t="s">
        <v>3483</v>
      </c>
      <c r="B515" s="114" t="s">
        <v>766</v>
      </c>
      <c r="C515" s="100" t="s">
        <v>2186</v>
      </c>
      <c r="D515" s="99" t="s">
        <v>1480</v>
      </c>
      <c r="E515" s="20">
        <v>208</v>
      </c>
      <c r="F515" s="20">
        <f t="shared" si="44"/>
        <v>4.6254545454545459</v>
      </c>
      <c r="G515" s="19">
        <f t="shared" si="48"/>
        <v>962.0945454545456</v>
      </c>
      <c r="H515" s="19">
        <f t="shared" si="49"/>
        <v>3949.7829469090912</v>
      </c>
      <c r="I515" s="114" t="s">
        <v>1521</v>
      </c>
      <c r="J515" s="210">
        <f>VLOOKUP(I515,'Reajuste Atual'!$L$19:$M$25,2,FALSE)</f>
        <v>3.1053999999999999</v>
      </c>
      <c r="K515" s="190"/>
      <c r="L515" s="20">
        <v>6.36</v>
      </c>
      <c r="M515" s="765">
        <f t="shared" si="46"/>
        <v>4.5428571428571436</v>
      </c>
      <c r="N515" s="765">
        <f t="shared" si="45"/>
        <v>4.6254545454545459</v>
      </c>
      <c r="O515" s="765">
        <f t="shared" si="47"/>
        <v>4.6254545454545459</v>
      </c>
    </row>
    <row r="516" spans="1:15" s="98" customFormat="1" outlineLevel="1">
      <c r="A516" s="141" t="s">
        <v>3483</v>
      </c>
      <c r="B516" s="114" t="s">
        <v>767</v>
      </c>
      <c r="C516" s="100" t="s">
        <v>2187</v>
      </c>
      <c r="D516" s="99" t="s">
        <v>1480</v>
      </c>
      <c r="E516" s="20">
        <v>132</v>
      </c>
      <c r="F516" s="20">
        <f t="shared" si="44"/>
        <v>6.9454545454545462</v>
      </c>
      <c r="G516" s="19">
        <f t="shared" si="48"/>
        <v>916.80000000000007</v>
      </c>
      <c r="H516" s="19">
        <f t="shared" si="49"/>
        <v>3763.8307199999999</v>
      </c>
      <c r="I516" s="114" t="s">
        <v>1521</v>
      </c>
      <c r="J516" s="210">
        <f>VLOOKUP(I516,'Reajuste Atual'!$L$19:$M$25,2,FALSE)</f>
        <v>3.1053999999999999</v>
      </c>
      <c r="K516" s="190"/>
      <c r="L516" s="20">
        <v>9.5500000000000007</v>
      </c>
      <c r="M516" s="765">
        <f t="shared" si="46"/>
        <v>6.8214285714285721</v>
      </c>
      <c r="N516" s="765">
        <f t="shared" si="45"/>
        <v>6.9454545454545462</v>
      </c>
      <c r="O516" s="765">
        <f t="shared" si="47"/>
        <v>6.9454545454545462</v>
      </c>
    </row>
    <row r="517" spans="1:15" s="98" customFormat="1" outlineLevel="1">
      <c r="A517" s="141" t="s">
        <v>3483</v>
      </c>
      <c r="B517" s="114" t="s">
        <v>768</v>
      </c>
      <c r="C517" s="100" t="s">
        <v>2188</v>
      </c>
      <c r="D517" s="99" t="s">
        <v>1480</v>
      </c>
      <c r="E517" s="20">
        <v>52</v>
      </c>
      <c r="F517" s="20">
        <f t="shared" si="44"/>
        <v>0.96727272727272728</v>
      </c>
      <c r="G517" s="19">
        <f t="shared" si="48"/>
        <v>50.298181818181817</v>
      </c>
      <c r="H517" s="19">
        <f t="shared" si="49"/>
        <v>206.49415563636362</v>
      </c>
      <c r="I517" s="114" t="s">
        <v>1521</v>
      </c>
      <c r="J517" s="210">
        <f>VLOOKUP(I517,'Reajuste Atual'!$L$19:$M$25,2,FALSE)</f>
        <v>3.1053999999999999</v>
      </c>
      <c r="K517" s="190"/>
      <c r="L517" s="20">
        <v>1.33</v>
      </c>
      <c r="M517" s="765">
        <f t="shared" si="46"/>
        <v>0.95000000000000007</v>
      </c>
      <c r="N517" s="765">
        <f t="shared" si="45"/>
        <v>0.96727272727272728</v>
      </c>
      <c r="O517" s="765">
        <f t="shared" si="47"/>
        <v>0.96727272727272728</v>
      </c>
    </row>
    <row r="518" spans="1:15" s="98" customFormat="1" outlineLevel="1">
      <c r="A518" s="141" t="s">
        <v>3483</v>
      </c>
      <c r="B518" s="114" t="s">
        <v>769</v>
      </c>
      <c r="C518" s="100" t="s">
        <v>2189</v>
      </c>
      <c r="D518" s="99" t="s">
        <v>1480</v>
      </c>
      <c r="E518" s="20">
        <v>24</v>
      </c>
      <c r="F518" s="20">
        <f t="shared" si="44"/>
        <v>1.4254545454545455</v>
      </c>
      <c r="G518" s="19">
        <f t="shared" si="48"/>
        <v>34.210909090909091</v>
      </c>
      <c r="H518" s="19">
        <f t="shared" si="49"/>
        <v>140.44946618181817</v>
      </c>
      <c r="I518" s="114" t="s">
        <v>1521</v>
      </c>
      <c r="J518" s="210">
        <f>VLOOKUP(I518,'Reajuste Atual'!$L$19:$M$25,2,FALSE)</f>
        <v>3.1053999999999999</v>
      </c>
      <c r="K518" s="190"/>
      <c r="L518" s="20">
        <v>1.96</v>
      </c>
      <c r="M518" s="765">
        <f t="shared" si="46"/>
        <v>1.4000000000000001</v>
      </c>
      <c r="N518" s="765">
        <f t="shared" si="45"/>
        <v>1.4254545454545455</v>
      </c>
      <c r="O518" s="765">
        <f t="shared" si="47"/>
        <v>1.4254545454545455</v>
      </c>
    </row>
    <row r="519" spans="1:15" s="98" customFormat="1" outlineLevel="1">
      <c r="A519" s="141" t="s">
        <v>3483</v>
      </c>
      <c r="B519" s="114" t="s">
        <v>770</v>
      </c>
      <c r="C519" s="100" t="s">
        <v>2190</v>
      </c>
      <c r="D519" s="99" t="s">
        <v>1472</v>
      </c>
      <c r="E519" s="20">
        <v>400</v>
      </c>
      <c r="F519" s="20">
        <f t="shared" si="44"/>
        <v>1.1054545454545455</v>
      </c>
      <c r="G519" s="19">
        <f t="shared" si="48"/>
        <v>442.18181818181819</v>
      </c>
      <c r="H519" s="19">
        <f t="shared" si="49"/>
        <v>1815.3332363636362</v>
      </c>
      <c r="I519" s="114" t="s">
        <v>1521</v>
      </c>
      <c r="J519" s="210">
        <f>VLOOKUP(I519,'Reajuste Atual'!$L$19:$M$25,2,FALSE)</f>
        <v>3.1053999999999999</v>
      </c>
      <c r="K519" s="190"/>
      <c r="L519" s="20">
        <v>1.52</v>
      </c>
      <c r="M519" s="765">
        <f t="shared" si="46"/>
        <v>1.0857142857142859</v>
      </c>
      <c r="N519" s="765">
        <f t="shared" si="45"/>
        <v>1.1054545454545455</v>
      </c>
      <c r="O519" s="765">
        <f t="shared" si="47"/>
        <v>1.1054545454545455</v>
      </c>
    </row>
    <row r="520" spans="1:15" s="98" customFormat="1" outlineLevel="1">
      <c r="A520" s="141" t="s">
        <v>3483</v>
      </c>
      <c r="B520" s="114" t="s">
        <v>771</v>
      </c>
      <c r="C520" s="100" t="s">
        <v>2191</v>
      </c>
      <c r="D520" s="99" t="s">
        <v>1472</v>
      </c>
      <c r="E520" s="20">
        <v>1120</v>
      </c>
      <c r="F520" s="20">
        <f t="shared" si="44"/>
        <v>1.9272727272727272</v>
      </c>
      <c r="G520" s="19">
        <f t="shared" si="48"/>
        <v>2158.5454545454545</v>
      </c>
      <c r="H520" s="19">
        <f t="shared" si="49"/>
        <v>8861.6925090909081</v>
      </c>
      <c r="I520" s="114" t="s">
        <v>1521</v>
      </c>
      <c r="J520" s="210">
        <f>VLOOKUP(I520,'Reajuste Atual'!$L$19:$M$25,2,FALSE)</f>
        <v>3.1053999999999999</v>
      </c>
      <c r="K520" s="190"/>
      <c r="L520" s="20">
        <v>2.65</v>
      </c>
      <c r="M520" s="765">
        <f t="shared" si="46"/>
        <v>1.892857142857143</v>
      </c>
      <c r="N520" s="765">
        <f t="shared" si="45"/>
        <v>1.9272727272727272</v>
      </c>
      <c r="O520" s="765">
        <f t="shared" si="47"/>
        <v>1.9272727272727272</v>
      </c>
    </row>
    <row r="521" spans="1:15" s="98" customFormat="1" outlineLevel="1">
      <c r="A521" s="141" t="s">
        <v>3483</v>
      </c>
      <c r="B521" s="114" t="s">
        <v>772</v>
      </c>
      <c r="C521" s="100" t="s">
        <v>2192</v>
      </c>
      <c r="D521" s="99" t="s">
        <v>1472</v>
      </c>
      <c r="E521" s="20">
        <v>960</v>
      </c>
      <c r="F521" s="20">
        <f t="shared" si="44"/>
        <v>3.3090909090909091</v>
      </c>
      <c r="G521" s="19">
        <f t="shared" si="48"/>
        <v>3176.7272727272725</v>
      </c>
      <c r="H521" s="19">
        <f t="shared" si="49"/>
        <v>13041.736145454543</v>
      </c>
      <c r="I521" s="114" t="s">
        <v>1521</v>
      </c>
      <c r="J521" s="210">
        <f>VLOOKUP(I521,'Reajuste Atual'!$L$19:$M$25,2,FALSE)</f>
        <v>3.1053999999999999</v>
      </c>
      <c r="K521" s="190"/>
      <c r="L521" s="20">
        <v>4.55</v>
      </c>
      <c r="M521" s="765">
        <f t="shared" si="46"/>
        <v>3.25</v>
      </c>
      <c r="N521" s="765">
        <f t="shared" si="45"/>
        <v>3.3090909090909091</v>
      </c>
      <c r="O521" s="765">
        <f t="shared" si="47"/>
        <v>3.3090909090909091</v>
      </c>
    </row>
    <row r="522" spans="1:15" s="98" customFormat="1" outlineLevel="1">
      <c r="A522" s="141" t="s">
        <v>3483</v>
      </c>
      <c r="B522" s="114" t="s">
        <v>773</v>
      </c>
      <c r="C522" s="100" t="s">
        <v>1913</v>
      </c>
      <c r="D522" s="99" t="s">
        <v>1472</v>
      </c>
      <c r="E522" s="20">
        <v>1400</v>
      </c>
      <c r="F522" s="20">
        <f t="shared" si="44"/>
        <v>0.74181818181818182</v>
      </c>
      <c r="G522" s="19">
        <f t="shared" si="48"/>
        <v>1038.5454545454545</v>
      </c>
      <c r="H522" s="19">
        <f t="shared" si="49"/>
        <v>4263.6445090909083</v>
      </c>
      <c r="I522" s="114" t="s">
        <v>1521</v>
      </c>
      <c r="J522" s="210">
        <f>VLOOKUP(I522,'Reajuste Atual'!$L$19:$M$25,2,FALSE)</f>
        <v>3.1053999999999999</v>
      </c>
      <c r="K522" s="190"/>
      <c r="L522" s="20">
        <v>1.02</v>
      </c>
      <c r="M522" s="765">
        <f t="shared" si="46"/>
        <v>0.72857142857142865</v>
      </c>
      <c r="N522" s="765">
        <f t="shared" si="45"/>
        <v>0.74181818181818182</v>
      </c>
      <c r="O522" s="765">
        <f t="shared" si="47"/>
        <v>0.74181818181818182</v>
      </c>
    </row>
    <row r="523" spans="1:15" s="98" customFormat="1" ht="47.25" outlineLevel="1">
      <c r="A523" s="141" t="s">
        <v>3483</v>
      </c>
      <c r="B523" s="114" t="s">
        <v>774</v>
      </c>
      <c r="C523" s="100" t="s">
        <v>2193</v>
      </c>
      <c r="D523" s="99" t="s">
        <v>1480</v>
      </c>
      <c r="E523" s="20">
        <v>4</v>
      </c>
      <c r="F523" s="20">
        <f t="shared" si="44"/>
        <v>252.00727272727272</v>
      </c>
      <c r="G523" s="19">
        <f t="shared" si="48"/>
        <v>1008.0290909090909</v>
      </c>
      <c r="H523" s="19">
        <f t="shared" si="49"/>
        <v>4138.3626298181816</v>
      </c>
      <c r="I523" s="114" t="s">
        <v>1521</v>
      </c>
      <c r="J523" s="210">
        <f>VLOOKUP(I523,'Reajuste Atual'!$L$19:$M$25,2,FALSE)</f>
        <v>3.1053999999999999</v>
      </c>
      <c r="K523" s="190"/>
      <c r="L523" s="20">
        <v>346.51</v>
      </c>
      <c r="M523" s="765">
        <f t="shared" si="46"/>
        <v>247.50714285714287</v>
      </c>
      <c r="N523" s="765">
        <f t="shared" si="45"/>
        <v>252.00727272727272</v>
      </c>
      <c r="O523" s="765">
        <f t="shared" si="47"/>
        <v>252.00727272727272</v>
      </c>
    </row>
    <row r="524" spans="1:15" s="98" customFormat="1" ht="31.5" outlineLevel="1">
      <c r="A524" s="141" t="s">
        <v>3483</v>
      </c>
      <c r="B524" s="114" t="s">
        <v>775</v>
      </c>
      <c r="C524" s="100" t="s">
        <v>2194</v>
      </c>
      <c r="D524" s="99" t="s">
        <v>1480</v>
      </c>
      <c r="E524" s="20">
        <v>4</v>
      </c>
      <c r="F524" s="20">
        <f t="shared" si="44"/>
        <v>941.58545454545458</v>
      </c>
      <c r="G524" s="19">
        <f t="shared" si="48"/>
        <v>3766.3418181818183</v>
      </c>
      <c r="H524" s="19">
        <f t="shared" si="49"/>
        <v>15462.339700363635</v>
      </c>
      <c r="I524" s="114" t="s">
        <v>1521</v>
      </c>
      <c r="J524" s="210">
        <f>VLOOKUP(I524,'Reajuste Atual'!$L$19:$M$25,2,FALSE)</f>
        <v>3.1053999999999999</v>
      </c>
      <c r="K524" s="190"/>
      <c r="L524" s="20">
        <v>1294.68</v>
      </c>
      <c r="M524" s="765">
        <f t="shared" si="46"/>
        <v>924.77142857142871</v>
      </c>
      <c r="N524" s="765">
        <f t="shared" si="45"/>
        <v>941.58545454545458</v>
      </c>
      <c r="O524" s="765">
        <f t="shared" si="47"/>
        <v>941.58545454545458</v>
      </c>
    </row>
    <row r="525" spans="1:15" s="98" customFormat="1" ht="31.5" outlineLevel="1">
      <c r="A525" s="141" t="s">
        <v>3483</v>
      </c>
      <c r="B525" s="114" t="s">
        <v>776</v>
      </c>
      <c r="C525" s="100" t="s">
        <v>2841</v>
      </c>
      <c r="D525" s="99" t="s">
        <v>1480</v>
      </c>
      <c r="E525" s="20">
        <v>32</v>
      </c>
      <c r="F525" s="20">
        <f t="shared" si="44"/>
        <v>249.44727272727275</v>
      </c>
      <c r="G525" s="19">
        <f t="shared" si="48"/>
        <v>7982.3127272727279</v>
      </c>
      <c r="H525" s="19">
        <f t="shared" si="49"/>
        <v>32770.586670545454</v>
      </c>
      <c r="I525" s="114" t="s">
        <v>1521</v>
      </c>
      <c r="J525" s="210">
        <f>VLOOKUP(I525,'Reajuste Atual'!$L$19:$M$25,2,FALSE)</f>
        <v>3.1053999999999999</v>
      </c>
      <c r="K525" s="190"/>
      <c r="L525" s="20">
        <v>342.99</v>
      </c>
      <c r="M525" s="765">
        <f t="shared" si="46"/>
        <v>244.99285714285716</v>
      </c>
      <c r="N525" s="765">
        <f t="shared" si="45"/>
        <v>249.44727272727275</v>
      </c>
      <c r="O525" s="765">
        <f t="shared" si="47"/>
        <v>249.44727272727275</v>
      </c>
    </row>
    <row r="526" spans="1:15" s="98" customFormat="1" outlineLevel="1">
      <c r="A526" s="141" t="s">
        <v>3483</v>
      </c>
      <c r="B526" s="114" t="s">
        <v>777</v>
      </c>
      <c r="C526" s="100" t="s">
        <v>2195</v>
      </c>
      <c r="D526" s="99" t="s">
        <v>1480</v>
      </c>
      <c r="E526" s="20">
        <v>116</v>
      </c>
      <c r="F526" s="20">
        <f t="shared" si="44"/>
        <v>40.152727272727276</v>
      </c>
      <c r="G526" s="19">
        <f t="shared" si="48"/>
        <v>4657.7163636363639</v>
      </c>
      <c r="H526" s="19">
        <f t="shared" si="49"/>
        <v>19121.788759272727</v>
      </c>
      <c r="I526" s="114" t="s">
        <v>1521</v>
      </c>
      <c r="J526" s="210">
        <f>VLOOKUP(I526,'Reajuste Atual'!$L$19:$M$25,2,FALSE)</f>
        <v>3.1053999999999999</v>
      </c>
      <c r="K526" s="190"/>
      <c r="L526" s="20">
        <v>55.21</v>
      </c>
      <c r="M526" s="765">
        <f t="shared" si="46"/>
        <v>39.43571428571429</v>
      </c>
      <c r="N526" s="765">
        <f t="shared" si="45"/>
        <v>40.152727272727276</v>
      </c>
      <c r="O526" s="765">
        <f t="shared" si="47"/>
        <v>40.152727272727276</v>
      </c>
    </row>
    <row r="527" spans="1:15" s="98" customFormat="1" outlineLevel="1">
      <c r="A527" s="141" t="s">
        <v>3483</v>
      </c>
      <c r="B527" s="114" t="s">
        <v>778</v>
      </c>
      <c r="C527" s="100" t="s">
        <v>2196</v>
      </c>
      <c r="D527" s="99" t="s">
        <v>1480</v>
      </c>
      <c r="E527" s="20">
        <v>16</v>
      </c>
      <c r="F527" s="20">
        <f t="shared" si="44"/>
        <v>20.487272727272728</v>
      </c>
      <c r="G527" s="19">
        <f t="shared" si="48"/>
        <v>327.79636363636365</v>
      </c>
      <c r="H527" s="19">
        <f t="shared" si="49"/>
        <v>1345.7351912727272</v>
      </c>
      <c r="I527" s="114" t="s">
        <v>1521</v>
      </c>
      <c r="J527" s="210">
        <f>VLOOKUP(I527,'Reajuste Atual'!$L$19:$M$25,2,FALSE)</f>
        <v>3.1053999999999999</v>
      </c>
      <c r="K527" s="190"/>
      <c r="L527" s="20">
        <v>28.17</v>
      </c>
      <c r="M527" s="765">
        <f t="shared" si="46"/>
        <v>20.121428571428574</v>
      </c>
      <c r="N527" s="765">
        <f t="shared" si="45"/>
        <v>20.487272727272728</v>
      </c>
      <c r="O527" s="765">
        <f t="shared" si="47"/>
        <v>20.487272727272728</v>
      </c>
    </row>
    <row r="528" spans="1:15" s="98" customFormat="1" outlineLevel="1">
      <c r="A528" s="141" t="s">
        <v>3483</v>
      </c>
      <c r="B528" s="114" t="s">
        <v>779</v>
      </c>
      <c r="C528" s="100" t="s">
        <v>2197</v>
      </c>
      <c r="D528" s="99" t="s">
        <v>1480</v>
      </c>
      <c r="E528" s="20">
        <v>12</v>
      </c>
      <c r="F528" s="20">
        <f t="shared" si="44"/>
        <v>30.88</v>
      </c>
      <c r="G528" s="19">
        <f t="shared" si="48"/>
        <v>370.56</v>
      </c>
      <c r="H528" s="19">
        <f t="shared" si="49"/>
        <v>1521.2970239999997</v>
      </c>
      <c r="I528" s="114" t="s">
        <v>1521</v>
      </c>
      <c r="J528" s="210">
        <f>VLOOKUP(I528,'Reajuste Atual'!$L$19:$M$25,2,FALSE)</f>
        <v>3.1053999999999999</v>
      </c>
      <c r="K528" s="190"/>
      <c r="L528" s="20">
        <v>42.46</v>
      </c>
      <c r="M528" s="765">
        <f t="shared" si="46"/>
        <v>30.328571428571433</v>
      </c>
      <c r="N528" s="765">
        <f t="shared" si="45"/>
        <v>30.88</v>
      </c>
      <c r="O528" s="765">
        <f t="shared" si="47"/>
        <v>30.88</v>
      </c>
    </row>
    <row r="529" spans="1:15" s="98" customFormat="1" ht="31.5" outlineLevel="1">
      <c r="A529" s="141" t="s">
        <v>3483</v>
      </c>
      <c r="B529" s="114" t="s">
        <v>780</v>
      </c>
      <c r="C529" s="100" t="s">
        <v>2198</v>
      </c>
      <c r="D529" s="99" t="s">
        <v>1480</v>
      </c>
      <c r="E529" s="20">
        <v>20</v>
      </c>
      <c r="F529" s="20">
        <f t="shared" si="44"/>
        <v>443.09818181818179</v>
      </c>
      <c r="G529" s="19">
        <f t="shared" si="48"/>
        <v>8861.9636363636364</v>
      </c>
      <c r="H529" s="19">
        <f t="shared" si="49"/>
        <v>36381.905512727266</v>
      </c>
      <c r="I529" s="114" t="s">
        <v>1521</v>
      </c>
      <c r="J529" s="210">
        <f>VLOOKUP(I529,'Reajuste Atual'!$L$19:$M$25,2,FALSE)</f>
        <v>3.1053999999999999</v>
      </c>
      <c r="K529" s="190"/>
      <c r="L529" s="20">
        <v>609.26</v>
      </c>
      <c r="M529" s="765">
        <f t="shared" si="46"/>
        <v>435.18571428571431</v>
      </c>
      <c r="N529" s="765">
        <f t="shared" si="45"/>
        <v>443.09818181818179</v>
      </c>
      <c r="O529" s="765">
        <f t="shared" si="47"/>
        <v>443.09818181818179</v>
      </c>
    </row>
    <row r="530" spans="1:15" s="98" customFormat="1" outlineLevel="1">
      <c r="A530" s="141" t="s">
        <v>3483</v>
      </c>
      <c r="B530" s="114" t="s">
        <v>781</v>
      </c>
      <c r="C530" s="100" t="s">
        <v>2199</v>
      </c>
      <c r="D530" s="99" t="s">
        <v>1480</v>
      </c>
      <c r="E530" s="20">
        <v>224</v>
      </c>
      <c r="F530" s="20">
        <f t="shared" si="44"/>
        <v>4.6254545454545459</v>
      </c>
      <c r="G530" s="19">
        <f t="shared" si="48"/>
        <v>1036.1018181818183</v>
      </c>
      <c r="H530" s="19">
        <f t="shared" si="49"/>
        <v>4253.6124043636364</v>
      </c>
      <c r="I530" s="114" t="s">
        <v>1521</v>
      </c>
      <c r="J530" s="210">
        <f>VLOOKUP(I530,'Reajuste Atual'!$L$19:$M$25,2,FALSE)</f>
        <v>3.1053999999999999</v>
      </c>
      <c r="K530" s="190"/>
      <c r="L530" s="20">
        <v>6.36</v>
      </c>
      <c r="M530" s="765">
        <f t="shared" si="46"/>
        <v>4.5428571428571436</v>
      </c>
      <c r="N530" s="765">
        <f t="shared" si="45"/>
        <v>4.6254545454545459</v>
      </c>
      <c r="O530" s="765">
        <f t="shared" si="47"/>
        <v>4.6254545454545459</v>
      </c>
    </row>
    <row r="531" spans="1:15" s="98" customFormat="1" outlineLevel="1">
      <c r="A531" s="141" t="s">
        <v>3483</v>
      </c>
      <c r="B531" s="114" t="s">
        <v>782</v>
      </c>
      <c r="C531" s="100" t="s">
        <v>2200</v>
      </c>
      <c r="D531" s="99" t="s">
        <v>1480</v>
      </c>
      <c r="E531" s="20">
        <v>24</v>
      </c>
      <c r="F531" s="20">
        <f t="shared" si="44"/>
        <v>0.96727272727272728</v>
      </c>
      <c r="G531" s="19">
        <f t="shared" si="48"/>
        <v>23.214545454545455</v>
      </c>
      <c r="H531" s="19">
        <f t="shared" si="49"/>
        <v>95.304994909090894</v>
      </c>
      <c r="I531" s="114" t="s">
        <v>1521</v>
      </c>
      <c r="J531" s="210">
        <f>VLOOKUP(I531,'Reajuste Atual'!$L$19:$M$25,2,FALSE)</f>
        <v>3.1053999999999999</v>
      </c>
      <c r="K531" s="190"/>
      <c r="L531" s="20">
        <v>1.33</v>
      </c>
      <c r="M531" s="765">
        <f t="shared" si="46"/>
        <v>0.95000000000000007</v>
      </c>
      <c r="N531" s="765">
        <f t="shared" si="45"/>
        <v>0.96727272727272728</v>
      </c>
      <c r="O531" s="765">
        <f t="shared" si="47"/>
        <v>0.96727272727272728</v>
      </c>
    </row>
    <row r="532" spans="1:15" s="98" customFormat="1" outlineLevel="1">
      <c r="A532" s="141" t="s">
        <v>3483</v>
      </c>
      <c r="B532" s="114" t="s">
        <v>783</v>
      </c>
      <c r="C532" s="100" t="s">
        <v>2842</v>
      </c>
      <c r="D532" s="99" t="s">
        <v>1480</v>
      </c>
      <c r="E532" s="20">
        <v>24</v>
      </c>
      <c r="F532" s="20">
        <f t="shared" si="44"/>
        <v>0.96727272727272728</v>
      </c>
      <c r="G532" s="19">
        <f t="shared" si="48"/>
        <v>23.214545454545455</v>
      </c>
      <c r="H532" s="19">
        <f t="shared" si="49"/>
        <v>95.304994909090894</v>
      </c>
      <c r="I532" s="114" t="s">
        <v>1521</v>
      </c>
      <c r="J532" s="210">
        <f>VLOOKUP(I532,'Reajuste Atual'!$L$19:$M$25,2,FALSE)</f>
        <v>3.1053999999999999</v>
      </c>
      <c r="K532" s="190"/>
      <c r="L532" s="20">
        <v>1.33</v>
      </c>
      <c r="M532" s="765">
        <f t="shared" si="46"/>
        <v>0.95000000000000007</v>
      </c>
      <c r="N532" s="765">
        <f t="shared" si="45"/>
        <v>0.96727272727272728</v>
      </c>
      <c r="O532" s="765">
        <f t="shared" si="47"/>
        <v>0.96727272727272728</v>
      </c>
    </row>
    <row r="533" spans="1:15" s="98" customFormat="1" outlineLevel="1">
      <c r="A533" s="141" t="s">
        <v>3483</v>
      </c>
      <c r="B533" s="114" t="s">
        <v>784</v>
      </c>
      <c r="C533" s="100" t="s">
        <v>2201</v>
      </c>
      <c r="D533" s="99" t="s">
        <v>1480</v>
      </c>
      <c r="E533" s="20">
        <v>24</v>
      </c>
      <c r="F533" s="20">
        <f t="shared" si="44"/>
        <v>2.3709090909090906</v>
      </c>
      <c r="G533" s="19">
        <f t="shared" si="48"/>
        <v>56.901818181818172</v>
      </c>
      <c r="H533" s="19">
        <f t="shared" si="49"/>
        <v>233.60472436363628</v>
      </c>
      <c r="I533" s="114" t="s">
        <v>1521</v>
      </c>
      <c r="J533" s="210">
        <f>VLOOKUP(I533,'Reajuste Atual'!$L$19:$M$25,2,FALSE)</f>
        <v>3.1053999999999999</v>
      </c>
      <c r="K533" s="190"/>
      <c r="L533" s="20">
        <v>3.26</v>
      </c>
      <c r="M533" s="765">
        <f t="shared" si="46"/>
        <v>2.3285714285714287</v>
      </c>
      <c r="N533" s="765">
        <f t="shared" si="45"/>
        <v>2.3709090909090906</v>
      </c>
      <c r="O533" s="765">
        <f t="shared" si="47"/>
        <v>2.3709090909090906</v>
      </c>
    </row>
    <row r="534" spans="1:15" s="98" customFormat="1" outlineLevel="1">
      <c r="A534" s="141" t="s">
        <v>3483</v>
      </c>
      <c r="B534" s="114" t="s">
        <v>785</v>
      </c>
      <c r="C534" s="100" t="s">
        <v>2202</v>
      </c>
      <c r="D534" s="99" t="s">
        <v>1480</v>
      </c>
      <c r="E534" s="20">
        <v>12</v>
      </c>
      <c r="F534" s="20">
        <f t="shared" si="44"/>
        <v>69.229090909090914</v>
      </c>
      <c r="G534" s="19">
        <f t="shared" si="48"/>
        <v>830.74909090909091</v>
      </c>
      <c r="H534" s="19">
        <f t="shared" si="49"/>
        <v>3410.5573178181812</v>
      </c>
      <c r="I534" s="114" t="s">
        <v>1521</v>
      </c>
      <c r="J534" s="210">
        <f>VLOOKUP(I534,'Reajuste Atual'!$L$19:$M$25,2,FALSE)</f>
        <v>3.1053999999999999</v>
      </c>
      <c r="K534" s="190"/>
      <c r="L534" s="20">
        <v>95.19</v>
      </c>
      <c r="M534" s="765">
        <f t="shared" si="46"/>
        <v>67.992857142857147</v>
      </c>
      <c r="N534" s="765">
        <f t="shared" si="45"/>
        <v>69.229090909090914</v>
      </c>
      <c r="O534" s="765">
        <f t="shared" si="47"/>
        <v>69.229090909090914</v>
      </c>
    </row>
    <row r="535" spans="1:15" s="98" customFormat="1" outlineLevel="1">
      <c r="A535" s="141" t="s">
        <v>3483</v>
      </c>
      <c r="B535" s="114" t="s">
        <v>786</v>
      </c>
      <c r="C535" s="100" t="s">
        <v>2203</v>
      </c>
      <c r="D535" s="99" t="s">
        <v>1480</v>
      </c>
      <c r="E535" s="20">
        <v>1264</v>
      </c>
      <c r="F535" s="20">
        <f t="shared" si="44"/>
        <v>0.55272727272727273</v>
      </c>
      <c r="G535" s="19">
        <f t="shared" si="48"/>
        <v>698.64727272727271</v>
      </c>
      <c r="H535" s="19">
        <f t="shared" si="49"/>
        <v>2868.2265134545451</v>
      </c>
      <c r="I535" s="114" t="s">
        <v>1521</v>
      </c>
      <c r="J535" s="210">
        <f>VLOOKUP(I535,'Reajuste Atual'!$L$19:$M$25,2,FALSE)</f>
        <v>3.1053999999999999</v>
      </c>
      <c r="K535" s="190"/>
      <c r="L535" s="20">
        <v>0.76</v>
      </c>
      <c r="M535" s="765">
        <f t="shared" si="46"/>
        <v>0.54285714285714293</v>
      </c>
      <c r="N535" s="765">
        <f t="shared" si="45"/>
        <v>0.55272727272727273</v>
      </c>
      <c r="O535" s="765">
        <f t="shared" si="47"/>
        <v>0.55272727272727273</v>
      </c>
    </row>
    <row r="536" spans="1:15" s="98" customFormat="1" outlineLevel="1">
      <c r="A536" s="141" t="s">
        <v>3483</v>
      </c>
      <c r="B536" s="114" t="s">
        <v>787</v>
      </c>
      <c r="C536" s="100" t="s">
        <v>2204</v>
      </c>
      <c r="D536" s="99" t="s">
        <v>1480</v>
      </c>
      <c r="E536" s="20">
        <v>40</v>
      </c>
      <c r="F536" s="20">
        <f t="shared" si="44"/>
        <v>16.618181818181821</v>
      </c>
      <c r="G536" s="19">
        <f t="shared" si="48"/>
        <v>664.72727272727286</v>
      </c>
      <c r="H536" s="19">
        <f t="shared" si="49"/>
        <v>2728.9713454545458</v>
      </c>
      <c r="I536" s="114" t="s">
        <v>1521</v>
      </c>
      <c r="J536" s="210">
        <f>VLOOKUP(I536,'Reajuste Atual'!$L$19:$M$25,2,FALSE)</f>
        <v>3.1053999999999999</v>
      </c>
      <c r="K536" s="190"/>
      <c r="L536" s="20">
        <v>22.85</v>
      </c>
      <c r="M536" s="765">
        <f t="shared" si="46"/>
        <v>16.321428571428573</v>
      </c>
      <c r="N536" s="765">
        <f t="shared" si="45"/>
        <v>16.618181818181821</v>
      </c>
      <c r="O536" s="765">
        <f t="shared" si="47"/>
        <v>16.618181818181821</v>
      </c>
    </row>
    <row r="537" spans="1:15" s="98" customFormat="1" outlineLevel="1">
      <c r="A537" s="141" t="s">
        <v>3483</v>
      </c>
      <c r="B537" s="114" t="s">
        <v>788</v>
      </c>
      <c r="C537" s="100" t="s">
        <v>2205</v>
      </c>
      <c r="D537" s="99" t="s">
        <v>1480</v>
      </c>
      <c r="E537" s="20">
        <v>16</v>
      </c>
      <c r="F537" s="20">
        <f t="shared" si="44"/>
        <v>16.618181818181821</v>
      </c>
      <c r="G537" s="19">
        <f t="shared" si="48"/>
        <v>265.89090909090913</v>
      </c>
      <c r="H537" s="19">
        <f t="shared" si="49"/>
        <v>1091.5885381818182</v>
      </c>
      <c r="I537" s="114" t="s">
        <v>1521</v>
      </c>
      <c r="J537" s="210">
        <f>VLOOKUP(I537,'Reajuste Atual'!$L$19:$M$25,2,FALSE)</f>
        <v>3.1053999999999999</v>
      </c>
      <c r="K537" s="190"/>
      <c r="L537" s="20">
        <v>22.85</v>
      </c>
      <c r="M537" s="765">
        <f t="shared" si="46"/>
        <v>16.321428571428573</v>
      </c>
      <c r="N537" s="765">
        <f t="shared" si="45"/>
        <v>16.618181818181821</v>
      </c>
      <c r="O537" s="765">
        <f t="shared" si="47"/>
        <v>16.618181818181821</v>
      </c>
    </row>
    <row r="538" spans="1:15" s="98" customFormat="1" outlineLevel="1">
      <c r="A538" s="141" t="s">
        <v>3483</v>
      </c>
      <c r="B538" s="114" t="s">
        <v>789</v>
      </c>
      <c r="C538" s="100" t="s">
        <v>2206</v>
      </c>
      <c r="D538" s="99" t="s">
        <v>1480</v>
      </c>
      <c r="E538" s="20">
        <v>28</v>
      </c>
      <c r="F538" s="20">
        <f t="shared" ref="F538:F601" si="50">O538</f>
        <v>16.618181818181821</v>
      </c>
      <c r="G538" s="19">
        <f t="shared" si="48"/>
        <v>465.30909090909097</v>
      </c>
      <c r="H538" s="19">
        <f t="shared" si="49"/>
        <v>1910.2799418181819</v>
      </c>
      <c r="I538" s="114" t="s">
        <v>1521</v>
      </c>
      <c r="J538" s="210">
        <f>VLOOKUP(I538,'Reajuste Atual'!$L$19:$M$25,2,FALSE)</f>
        <v>3.1053999999999999</v>
      </c>
      <c r="K538" s="190"/>
      <c r="L538" s="20">
        <v>22.85</v>
      </c>
      <c r="M538" s="765">
        <f t="shared" si="46"/>
        <v>16.321428571428573</v>
      </c>
      <c r="N538" s="765">
        <f t="shared" ref="N538:N601" si="51">L538/($N$23+1)</f>
        <v>16.618181818181821</v>
      </c>
      <c r="O538" s="765">
        <f t="shared" si="47"/>
        <v>16.618181818181821</v>
      </c>
    </row>
    <row r="539" spans="1:15" s="98" customFormat="1" outlineLevel="1">
      <c r="A539" s="141" t="s">
        <v>3483</v>
      </c>
      <c r="B539" s="114" t="s">
        <v>790</v>
      </c>
      <c r="C539" s="100" t="s">
        <v>2207</v>
      </c>
      <c r="D539" s="99" t="s">
        <v>1480</v>
      </c>
      <c r="E539" s="20">
        <v>16</v>
      </c>
      <c r="F539" s="20">
        <f t="shared" si="50"/>
        <v>16.618181818181821</v>
      </c>
      <c r="G539" s="19">
        <f t="shared" si="48"/>
        <v>265.89090909090913</v>
      </c>
      <c r="H539" s="19">
        <f t="shared" si="49"/>
        <v>1091.5885381818182</v>
      </c>
      <c r="I539" s="114" t="s">
        <v>1521</v>
      </c>
      <c r="J539" s="210">
        <f>VLOOKUP(I539,'Reajuste Atual'!$L$19:$M$25,2,FALSE)</f>
        <v>3.1053999999999999</v>
      </c>
      <c r="K539" s="190"/>
      <c r="L539" s="20">
        <v>22.85</v>
      </c>
      <c r="M539" s="765">
        <f t="shared" ref="M539:M602" si="52">L539/($M$23+1)</f>
        <v>16.321428571428573</v>
      </c>
      <c r="N539" s="765">
        <f t="shared" si="51"/>
        <v>16.618181818181821</v>
      </c>
      <c r="O539" s="765">
        <f t="shared" si="47"/>
        <v>16.618181818181821</v>
      </c>
    </row>
    <row r="540" spans="1:15" s="98" customFormat="1" ht="31.5" outlineLevel="1">
      <c r="A540" s="141" t="s">
        <v>3483</v>
      </c>
      <c r="B540" s="114" t="s">
        <v>791</v>
      </c>
      <c r="C540" s="100" t="s">
        <v>2208</v>
      </c>
      <c r="D540" s="99" t="s">
        <v>1480</v>
      </c>
      <c r="E540" s="20">
        <v>96</v>
      </c>
      <c r="F540" s="20">
        <f t="shared" si="50"/>
        <v>18.829090909090908</v>
      </c>
      <c r="G540" s="19">
        <f t="shared" si="48"/>
        <v>1807.5927272727272</v>
      </c>
      <c r="H540" s="19">
        <f t="shared" si="49"/>
        <v>7420.8911825454534</v>
      </c>
      <c r="I540" s="114" t="s">
        <v>1521</v>
      </c>
      <c r="J540" s="210">
        <f>VLOOKUP(I540,'Reajuste Atual'!$L$19:$M$25,2,FALSE)</f>
        <v>3.1053999999999999</v>
      </c>
      <c r="K540" s="190"/>
      <c r="L540" s="20">
        <v>25.89</v>
      </c>
      <c r="M540" s="765">
        <f t="shared" si="52"/>
        <v>18.492857142857144</v>
      </c>
      <c r="N540" s="765">
        <f t="shared" si="51"/>
        <v>18.829090909090908</v>
      </c>
      <c r="O540" s="765">
        <f t="shared" ref="O540:O603" si="53">IF(A540="S",M540,N540)</f>
        <v>18.829090909090908</v>
      </c>
    </row>
    <row r="541" spans="1:15" s="98" customFormat="1" ht="31.5" outlineLevel="1">
      <c r="A541" s="141" t="s">
        <v>3483</v>
      </c>
      <c r="B541" s="114" t="s">
        <v>792</v>
      </c>
      <c r="C541" s="100" t="s">
        <v>2209</v>
      </c>
      <c r="D541" s="99" t="s">
        <v>1480</v>
      </c>
      <c r="E541" s="20">
        <v>40</v>
      </c>
      <c r="F541" s="20">
        <f t="shared" si="50"/>
        <v>18.829090909090908</v>
      </c>
      <c r="G541" s="19">
        <f t="shared" si="48"/>
        <v>753.16363636363633</v>
      </c>
      <c r="H541" s="19">
        <f t="shared" si="49"/>
        <v>3092.037992727272</v>
      </c>
      <c r="I541" s="114" t="s">
        <v>1521</v>
      </c>
      <c r="J541" s="210">
        <f>VLOOKUP(I541,'Reajuste Atual'!$L$19:$M$25,2,FALSE)</f>
        <v>3.1053999999999999</v>
      </c>
      <c r="K541" s="190"/>
      <c r="L541" s="20">
        <v>25.89</v>
      </c>
      <c r="M541" s="765">
        <f t="shared" si="52"/>
        <v>18.492857142857144</v>
      </c>
      <c r="N541" s="765">
        <f t="shared" si="51"/>
        <v>18.829090909090908</v>
      </c>
      <c r="O541" s="765">
        <f t="shared" si="53"/>
        <v>18.829090909090908</v>
      </c>
    </row>
    <row r="542" spans="1:15" s="98" customFormat="1" ht="31.5" outlineLevel="1">
      <c r="A542" s="141" t="s">
        <v>3483</v>
      </c>
      <c r="B542" s="114" t="s">
        <v>793</v>
      </c>
      <c r="C542" s="100" t="s">
        <v>2210</v>
      </c>
      <c r="D542" s="99" t="s">
        <v>1480</v>
      </c>
      <c r="E542" s="20">
        <v>4</v>
      </c>
      <c r="F542" s="20">
        <f t="shared" si="50"/>
        <v>18.829090909090908</v>
      </c>
      <c r="G542" s="19">
        <f t="shared" si="48"/>
        <v>75.316363636363633</v>
      </c>
      <c r="H542" s="19">
        <f t="shared" si="49"/>
        <v>309.20379927272722</v>
      </c>
      <c r="I542" s="114" t="s">
        <v>1521</v>
      </c>
      <c r="J542" s="210">
        <f>VLOOKUP(I542,'Reajuste Atual'!$L$19:$M$25,2,FALSE)</f>
        <v>3.1053999999999999</v>
      </c>
      <c r="K542" s="190"/>
      <c r="L542" s="20">
        <v>25.89</v>
      </c>
      <c r="M542" s="765">
        <f t="shared" si="52"/>
        <v>18.492857142857144</v>
      </c>
      <c r="N542" s="765">
        <f t="shared" si="51"/>
        <v>18.829090909090908</v>
      </c>
      <c r="O542" s="765">
        <f t="shared" si="53"/>
        <v>18.829090909090908</v>
      </c>
    </row>
    <row r="543" spans="1:15" s="98" customFormat="1" ht="31.5" outlineLevel="1">
      <c r="A543" s="141" t="s">
        <v>3483</v>
      </c>
      <c r="B543" s="114" t="s">
        <v>794</v>
      </c>
      <c r="C543" s="100" t="s">
        <v>2211</v>
      </c>
      <c r="D543" s="99" t="s">
        <v>1480</v>
      </c>
      <c r="E543" s="20">
        <v>8</v>
      </c>
      <c r="F543" s="20">
        <f t="shared" si="50"/>
        <v>18.829090909090908</v>
      </c>
      <c r="G543" s="19">
        <f t="shared" si="48"/>
        <v>150.63272727272727</v>
      </c>
      <c r="H543" s="19">
        <f t="shared" si="49"/>
        <v>618.40759854545445</v>
      </c>
      <c r="I543" s="114" t="s">
        <v>1521</v>
      </c>
      <c r="J543" s="210">
        <f>VLOOKUP(I543,'Reajuste Atual'!$L$19:$M$25,2,FALSE)</f>
        <v>3.1053999999999999</v>
      </c>
      <c r="K543" s="190"/>
      <c r="L543" s="20">
        <v>25.89</v>
      </c>
      <c r="M543" s="765">
        <f t="shared" si="52"/>
        <v>18.492857142857144</v>
      </c>
      <c r="N543" s="765">
        <f t="shared" si="51"/>
        <v>18.829090909090908</v>
      </c>
      <c r="O543" s="765">
        <f t="shared" si="53"/>
        <v>18.829090909090908</v>
      </c>
    </row>
    <row r="544" spans="1:15" s="98" customFormat="1" ht="31.5" outlineLevel="1">
      <c r="A544" s="141" t="s">
        <v>3483</v>
      </c>
      <c r="B544" s="114" t="s">
        <v>795</v>
      </c>
      <c r="C544" s="100" t="s">
        <v>2212</v>
      </c>
      <c r="D544" s="99" t="s">
        <v>1480</v>
      </c>
      <c r="E544" s="20">
        <v>8</v>
      </c>
      <c r="F544" s="20">
        <f t="shared" si="50"/>
        <v>17.025454545454547</v>
      </c>
      <c r="G544" s="19">
        <f t="shared" si="48"/>
        <v>136.20363636363638</v>
      </c>
      <c r="H544" s="19">
        <f t="shared" si="49"/>
        <v>559.17040872727273</v>
      </c>
      <c r="I544" s="114" t="s">
        <v>1521</v>
      </c>
      <c r="J544" s="210">
        <f>VLOOKUP(I544,'Reajuste Atual'!$L$19:$M$25,2,FALSE)</f>
        <v>3.1053999999999999</v>
      </c>
      <c r="K544" s="190"/>
      <c r="L544" s="20">
        <v>23.41</v>
      </c>
      <c r="M544" s="765">
        <f t="shared" si="52"/>
        <v>16.721428571428572</v>
      </c>
      <c r="N544" s="765">
        <f t="shared" si="51"/>
        <v>17.025454545454547</v>
      </c>
      <c r="O544" s="765">
        <f t="shared" si="53"/>
        <v>17.025454545454547</v>
      </c>
    </row>
    <row r="545" spans="1:15" s="98" customFormat="1" outlineLevel="1">
      <c r="A545" s="141" t="s">
        <v>3483</v>
      </c>
      <c r="B545" s="114" t="s">
        <v>796</v>
      </c>
      <c r="C545" s="100" t="s">
        <v>2213</v>
      </c>
      <c r="D545" s="99" t="s">
        <v>1480</v>
      </c>
      <c r="E545" s="20">
        <v>12</v>
      </c>
      <c r="F545" s="20">
        <f t="shared" si="50"/>
        <v>32.538181818181819</v>
      </c>
      <c r="G545" s="19">
        <f t="shared" si="48"/>
        <v>390.45818181818186</v>
      </c>
      <c r="H545" s="19">
        <f t="shared" si="49"/>
        <v>1602.9870196363636</v>
      </c>
      <c r="I545" s="114" t="s">
        <v>1521</v>
      </c>
      <c r="J545" s="210">
        <f>VLOOKUP(I545,'Reajuste Atual'!$L$19:$M$25,2,FALSE)</f>
        <v>3.1053999999999999</v>
      </c>
      <c r="K545" s="190"/>
      <c r="L545" s="20">
        <v>44.74</v>
      </c>
      <c r="M545" s="765">
        <f t="shared" si="52"/>
        <v>31.957142857142859</v>
      </c>
      <c r="N545" s="765">
        <f t="shared" si="51"/>
        <v>32.538181818181819</v>
      </c>
      <c r="O545" s="765">
        <f t="shared" si="53"/>
        <v>32.538181818181819</v>
      </c>
    </row>
    <row r="546" spans="1:15" s="98" customFormat="1" outlineLevel="1">
      <c r="A546" s="141" t="s">
        <v>3483</v>
      </c>
      <c r="B546" s="114" t="s">
        <v>797</v>
      </c>
      <c r="C546" s="100" t="s">
        <v>2214</v>
      </c>
      <c r="D546" s="99" t="s">
        <v>1480</v>
      </c>
      <c r="E546" s="20">
        <v>12</v>
      </c>
      <c r="F546" s="20">
        <f t="shared" si="50"/>
        <v>30.88</v>
      </c>
      <c r="G546" s="19">
        <f t="shared" si="48"/>
        <v>370.56</v>
      </c>
      <c r="H546" s="19">
        <f t="shared" si="49"/>
        <v>1521.2970239999997</v>
      </c>
      <c r="I546" s="114" t="s">
        <v>1521</v>
      </c>
      <c r="J546" s="210">
        <f>VLOOKUP(I546,'Reajuste Atual'!$L$19:$M$25,2,FALSE)</f>
        <v>3.1053999999999999</v>
      </c>
      <c r="K546" s="190"/>
      <c r="L546" s="20">
        <v>42.46</v>
      </c>
      <c r="M546" s="765">
        <f t="shared" si="52"/>
        <v>30.328571428571433</v>
      </c>
      <c r="N546" s="765">
        <f t="shared" si="51"/>
        <v>30.88</v>
      </c>
      <c r="O546" s="765">
        <f t="shared" si="53"/>
        <v>30.88</v>
      </c>
    </row>
    <row r="547" spans="1:15" s="98" customFormat="1" outlineLevel="1">
      <c r="A547" s="141" t="s">
        <v>3483</v>
      </c>
      <c r="B547" s="114" t="s">
        <v>798</v>
      </c>
      <c r="C547" s="100" t="s">
        <v>2215</v>
      </c>
      <c r="D547" s="99" t="s">
        <v>1480</v>
      </c>
      <c r="E547" s="20">
        <v>28</v>
      </c>
      <c r="F547" s="20">
        <f t="shared" si="50"/>
        <v>0.41454545454545449</v>
      </c>
      <c r="G547" s="19">
        <f t="shared" si="48"/>
        <v>11.607272727272726</v>
      </c>
      <c r="H547" s="19">
        <f t="shared" si="49"/>
        <v>47.65249745454544</v>
      </c>
      <c r="I547" s="114" t="s">
        <v>1521</v>
      </c>
      <c r="J547" s="210">
        <f>VLOOKUP(I547,'Reajuste Atual'!$L$19:$M$25,2,FALSE)</f>
        <v>3.1053999999999999</v>
      </c>
      <c r="K547" s="190"/>
      <c r="L547" s="20">
        <v>0.56999999999999995</v>
      </c>
      <c r="M547" s="765">
        <f t="shared" si="52"/>
        <v>0.40714285714285714</v>
      </c>
      <c r="N547" s="765">
        <f t="shared" si="51"/>
        <v>0.41454545454545449</v>
      </c>
      <c r="O547" s="765">
        <f t="shared" si="53"/>
        <v>0.41454545454545449</v>
      </c>
    </row>
    <row r="548" spans="1:15" s="98" customFormat="1" outlineLevel="1">
      <c r="A548" s="141" t="s">
        <v>3483</v>
      </c>
      <c r="B548" s="114" t="s">
        <v>799</v>
      </c>
      <c r="C548" s="100" t="s">
        <v>2216</v>
      </c>
      <c r="D548" s="99" t="s">
        <v>1480</v>
      </c>
      <c r="E548" s="20">
        <v>12</v>
      </c>
      <c r="F548" s="20">
        <f t="shared" si="50"/>
        <v>5.4690909090909088</v>
      </c>
      <c r="G548" s="19">
        <f t="shared" si="48"/>
        <v>65.629090909090905</v>
      </c>
      <c r="H548" s="19">
        <f t="shared" si="49"/>
        <v>269.43366981818178</v>
      </c>
      <c r="I548" s="114" t="s">
        <v>1521</v>
      </c>
      <c r="J548" s="210">
        <f>VLOOKUP(I548,'Reajuste Atual'!$L$19:$M$25,2,FALSE)</f>
        <v>3.1053999999999999</v>
      </c>
      <c r="K548" s="190"/>
      <c r="L548" s="20">
        <v>7.52</v>
      </c>
      <c r="M548" s="765">
        <f t="shared" si="52"/>
        <v>5.3714285714285719</v>
      </c>
      <c r="N548" s="765">
        <f t="shared" si="51"/>
        <v>5.4690909090909088</v>
      </c>
      <c r="O548" s="765">
        <f t="shared" si="53"/>
        <v>5.4690909090909088</v>
      </c>
    </row>
    <row r="549" spans="1:15" s="98" customFormat="1" outlineLevel="1">
      <c r="A549" s="141" t="s">
        <v>3483</v>
      </c>
      <c r="B549" s="114" t="s">
        <v>800</v>
      </c>
      <c r="C549" s="100" t="s">
        <v>2217</v>
      </c>
      <c r="D549" s="99" t="s">
        <v>1480</v>
      </c>
      <c r="E549" s="20">
        <v>120</v>
      </c>
      <c r="F549" s="20">
        <f t="shared" si="50"/>
        <v>0.2690909090909091</v>
      </c>
      <c r="G549" s="19">
        <f t="shared" si="48"/>
        <v>32.290909090909089</v>
      </c>
      <c r="H549" s="19">
        <f t="shared" si="49"/>
        <v>132.56709818181815</v>
      </c>
      <c r="I549" s="114" t="s">
        <v>1521</v>
      </c>
      <c r="J549" s="210">
        <f>VLOOKUP(I549,'Reajuste Atual'!$L$19:$M$25,2,FALSE)</f>
        <v>3.1053999999999999</v>
      </c>
      <c r="K549" s="190"/>
      <c r="L549" s="20">
        <v>0.37</v>
      </c>
      <c r="M549" s="765">
        <f t="shared" si="52"/>
        <v>0.26428571428571429</v>
      </c>
      <c r="N549" s="765">
        <f t="shared" si="51"/>
        <v>0.2690909090909091</v>
      </c>
      <c r="O549" s="765">
        <f t="shared" si="53"/>
        <v>0.2690909090909091</v>
      </c>
    </row>
    <row r="550" spans="1:15" s="98" customFormat="1" outlineLevel="1">
      <c r="A550" s="141" t="s">
        <v>3483</v>
      </c>
      <c r="B550" s="114" t="s">
        <v>801</v>
      </c>
      <c r="C550" s="100" t="s">
        <v>2218</v>
      </c>
      <c r="D550" s="99" t="s">
        <v>1480</v>
      </c>
      <c r="E550" s="20">
        <v>120</v>
      </c>
      <c r="F550" s="20">
        <f t="shared" si="50"/>
        <v>0.69090909090909092</v>
      </c>
      <c r="G550" s="19">
        <f t="shared" si="48"/>
        <v>82.909090909090907</v>
      </c>
      <c r="H550" s="19">
        <f t="shared" si="49"/>
        <v>340.37498181818177</v>
      </c>
      <c r="I550" s="114" t="s">
        <v>1521</v>
      </c>
      <c r="J550" s="210">
        <f>VLOOKUP(I550,'Reajuste Atual'!$L$19:$M$25,2,FALSE)</f>
        <v>3.1053999999999999</v>
      </c>
      <c r="K550" s="190"/>
      <c r="L550" s="20">
        <v>0.95</v>
      </c>
      <c r="M550" s="765">
        <f t="shared" si="52"/>
        <v>0.6785714285714286</v>
      </c>
      <c r="N550" s="765">
        <f t="shared" si="51"/>
        <v>0.69090909090909092</v>
      </c>
      <c r="O550" s="765">
        <f t="shared" si="53"/>
        <v>0.69090909090909092</v>
      </c>
    </row>
    <row r="551" spans="1:15" s="98" customFormat="1" outlineLevel="1">
      <c r="A551" s="141" t="s">
        <v>3483</v>
      </c>
      <c r="B551" s="114" t="s">
        <v>802</v>
      </c>
      <c r="C551" s="100" t="s">
        <v>2219</v>
      </c>
      <c r="D551" s="99" t="s">
        <v>1480</v>
      </c>
      <c r="E551" s="20">
        <v>1400</v>
      </c>
      <c r="F551" s="20">
        <f t="shared" si="50"/>
        <v>0.13818181818181818</v>
      </c>
      <c r="G551" s="19">
        <f t="shared" si="48"/>
        <v>193.45454545454547</v>
      </c>
      <c r="H551" s="19">
        <f t="shared" si="49"/>
        <v>794.20829090909092</v>
      </c>
      <c r="I551" s="114" t="s">
        <v>1521</v>
      </c>
      <c r="J551" s="210">
        <f>VLOOKUP(I551,'Reajuste Atual'!$L$19:$M$25,2,FALSE)</f>
        <v>3.1053999999999999</v>
      </c>
      <c r="K551" s="190"/>
      <c r="L551" s="20">
        <v>0.19</v>
      </c>
      <c r="M551" s="765">
        <f t="shared" si="52"/>
        <v>0.13571428571428573</v>
      </c>
      <c r="N551" s="765">
        <f t="shared" si="51"/>
        <v>0.13818181818181818</v>
      </c>
      <c r="O551" s="765">
        <f t="shared" si="53"/>
        <v>0.13818181818181818</v>
      </c>
    </row>
    <row r="552" spans="1:15" s="98" customFormat="1" outlineLevel="1">
      <c r="A552" s="141" t="s">
        <v>3483</v>
      </c>
      <c r="B552" s="114" t="s">
        <v>803</v>
      </c>
      <c r="C552" s="100" t="s">
        <v>2220</v>
      </c>
      <c r="D552" s="99" t="s">
        <v>1480</v>
      </c>
      <c r="E552" s="20">
        <v>1400</v>
      </c>
      <c r="F552" s="20">
        <f t="shared" si="50"/>
        <v>0.55272727272727273</v>
      </c>
      <c r="G552" s="19">
        <f t="shared" si="48"/>
        <v>773.81818181818187</v>
      </c>
      <c r="H552" s="19">
        <f t="shared" si="49"/>
        <v>3176.8331636363637</v>
      </c>
      <c r="I552" s="114" t="s">
        <v>1521</v>
      </c>
      <c r="J552" s="210">
        <f>VLOOKUP(I552,'Reajuste Atual'!$L$19:$M$25,2,FALSE)</f>
        <v>3.1053999999999999</v>
      </c>
      <c r="K552" s="190"/>
      <c r="L552" s="20">
        <v>0.76</v>
      </c>
      <c r="M552" s="765">
        <f t="shared" si="52"/>
        <v>0.54285714285714293</v>
      </c>
      <c r="N552" s="765">
        <f t="shared" si="51"/>
        <v>0.55272727272727273</v>
      </c>
      <c r="O552" s="765">
        <f t="shared" si="53"/>
        <v>0.55272727272727273</v>
      </c>
    </row>
    <row r="553" spans="1:15" s="98" customFormat="1" outlineLevel="1">
      <c r="A553" s="141" t="s">
        <v>3483</v>
      </c>
      <c r="B553" s="114" t="s">
        <v>804</v>
      </c>
      <c r="C553" s="100" t="s">
        <v>2221</v>
      </c>
      <c r="D553" s="99" t="s">
        <v>1472</v>
      </c>
      <c r="E553" s="20">
        <v>1720</v>
      </c>
      <c r="F553" s="20">
        <f t="shared" si="50"/>
        <v>0.74181818181818182</v>
      </c>
      <c r="G553" s="19">
        <f t="shared" si="48"/>
        <v>1275.9272727272728</v>
      </c>
      <c r="H553" s="19">
        <f t="shared" si="49"/>
        <v>5238.1918254545453</v>
      </c>
      <c r="I553" s="114" t="s">
        <v>1521</v>
      </c>
      <c r="J553" s="210">
        <f>VLOOKUP(I553,'Reajuste Atual'!$L$19:$M$25,2,FALSE)</f>
        <v>3.1053999999999999</v>
      </c>
      <c r="K553" s="190"/>
      <c r="L553" s="20">
        <v>1.02</v>
      </c>
      <c r="M553" s="765">
        <f t="shared" si="52"/>
        <v>0.72857142857142865</v>
      </c>
      <c r="N553" s="765">
        <f t="shared" si="51"/>
        <v>0.74181818181818182</v>
      </c>
      <c r="O553" s="765">
        <f t="shared" si="53"/>
        <v>0.74181818181818182</v>
      </c>
    </row>
    <row r="554" spans="1:15" s="98" customFormat="1" outlineLevel="1">
      <c r="A554" s="141" t="s">
        <v>3483</v>
      </c>
      <c r="B554" s="114" t="s">
        <v>805</v>
      </c>
      <c r="C554" s="100" t="s">
        <v>2222</v>
      </c>
      <c r="D554" s="99" t="s">
        <v>1473</v>
      </c>
      <c r="E554" s="20">
        <v>4</v>
      </c>
      <c r="F554" s="20">
        <f t="shared" si="50"/>
        <v>41540.887272727276</v>
      </c>
      <c r="G554" s="19">
        <f t="shared" si="48"/>
        <v>166163.5490909091</v>
      </c>
      <c r="H554" s="19">
        <f t="shared" si="49"/>
        <v>682167.83443781815</v>
      </c>
      <c r="I554" s="114" t="s">
        <v>1521</v>
      </c>
      <c r="J554" s="210">
        <f>VLOOKUP(I554,'Reajuste Atual'!$L$19:$M$25,2,FALSE)</f>
        <v>3.1053999999999999</v>
      </c>
      <c r="K554" s="190"/>
      <c r="L554" s="20">
        <v>57118.720000000001</v>
      </c>
      <c r="M554" s="765">
        <f t="shared" si="52"/>
        <v>40799.08571428572</v>
      </c>
      <c r="N554" s="765">
        <f t="shared" si="51"/>
        <v>41540.887272727276</v>
      </c>
      <c r="O554" s="765">
        <f t="shared" si="53"/>
        <v>41540.887272727276</v>
      </c>
    </row>
    <row r="555" spans="1:15" s="98" customFormat="1" outlineLevel="1">
      <c r="A555" s="141" t="s">
        <v>3483</v>
      </c>
      <c r="B555" s="114" t="s">
        <v>806</v>
      </c>
      <c r="C555" s="100" t="s">
        <v>1600</v>
      </c>
      <c r="D555" s="99" t="s">
        <v>1480</v>
      </c>
      <c r="E555" s="20">
        <v>4</v>
      </c>
      <c r="F555" s="20">
        <f t="shared" si="50"/>
        <v>13846.96</v>
      </c>
      <c r="G555" s="19">
        <f t="shared" si="48"/>
        <v>55387.839999999997</v>
      </c>
      <c r="H555" s="19">
        <f t="shared" si="49"/>
        <v>227389.23833599995</v>
      </c>
      <c r="I555" s="114" t="s">
        <v>1521</v>
      </c>
      <c r="J555" s="210">
        <f>VLOOKUP(I555,'Reajuste Atual'!$L$19:$M$25,2,FALSE)</f>
        <v>3.1053999999999999</v>
      </c>
      <c r="K555" s="190"/>
      <c r="L555" s="20">
        <v>19039.57</v>
      </c>
      <c r="M555" s="765">
        <f t="shared" si="52"/>
        <v>13599.692857142858</v>
      </c>
      <c r="N555" s="765">
        <f t="shared" si="51"/>
        <v>13846.96</v>
      </c>
      <c r="O555" s="765">
        <f t="shared" si="53"/>
        <v>13846.96</v>
      </c>
    </row>
    <row r="556" spans="1:15" s="98" customFormat="1" outlineLevel="1">
      <c r="A556" s="141" t="s">
        <v>3483</v>
      </c>
      <c r="B556" s="114" t="s">
        <v>807</v>
      </c>
      <c r="C556" s="100" t="s">
        <v>2223</v>
      </c>
      <c r="D556" s="99" t="s">
        <v>1480</v>
      </c>
      <c r="E556" s="20">
        <v>1</v>
      </c>
      <c r="F556" s="20">
        <f t="shared" si="50"/>
        <v>2643.5054545454545</v>
      </c>
      <c r="G556" s="19">
        <f t="shared" si="48"/>
        <v>2643.5054545454545</v>
      </c>
      <c r="H556" s="19">
        <f t="shared" si="49"/>
        <v>10852.647293090908</v>
      </c>
      <c r="I556" s="114" t="s">
        <v>1521</v>
      </c>
      <c r="J556" s="210">
        <f>VLOOKUP(I556,'Reajuste Atual'!$L$19:$M$25,2,FALSE)</f>
        <v>3.1053999999999999</v>
      </c>
      <c r="K556" s="190"/>
      <c r="L556" s="20">
        <v>3634.82</v>
      </c>
      <c r="M556" s="765">
        <f t="shared" si="52"/>
        <v>2596.3000000000002</v>
      </c>
      <c r="N556" s="765">
        <f t="shared" si="51"/>
        <v>2643.5054545454545</v>
      </c>
      <c r="O556" s="765">
        <f t="shared" si="53"/>
        <v>2643.5054545454545</v>
      </c>
    </row>
    <row r="557" spans="1:15" s="98" customFormat="1" ht="31.5" outlineLevel="1">
      <c r="A557" s="141" t="s">
        <v>3483</v>
      </c>
      <c r="B557" s="114" t="s">
        <v>808</v>
      </c>
      <c r="C557" s="100" t="s">
        <v>2224</v>
      </c>
      <c r="D557" s="99" t="s">
        <v>1480</v>
      </c>
      <c r="E557" s="20">
        <v>16</v>
      </c>
      <c r="F557" s="20">
        <f t="shared" si="50"/>
        <v>26686.872727272726</v>
      </c>
      <c r="G557" s="19">
        <f t="shared" si="48"/>
        <v>426989.96363636362</v>
      </c>
      <c r="H557" s="19">
        <f t="shared" si="49"/>
        <v>1752964.5967127271</v>
      </c>
      <c r="I557" s="114" t="s">
        <v>1521</v>
      </c>
      <c r="J557" s="210">
        <f>VLOOKUP(I557,'Reajuste Atual'!$L$19:$M$25,2,FALSE)</f>
        <v>3.1053999999999999</v>
      </c>
      <c r="K557" s="190"/>
      <c r="L557" s="20">
        <v>36694.449999999997</v>
      </c>
      <c r="M557" s="765">
        <f t="shared" si="52"/>
        <v>26210.321428571428</v>
      </c>
      <c r="N557" s="765">
        <f t="shared" si="51"/>
        <v>26686.872727272726</v>
      </c>
      <c r="O557" s="765">
        <f t="shared" si="53"/>
        <v>26686.872727272726</v>
      </c>
    </row>
    <row r="558" spans="1:15" s="98" customFormat="1" ht="31.5" outlineLevel="1">
      <c r="A558" s="141" t="s">
        <v>3483</v>
      </c>
      <c r="B558" s="114" t="s">
        <v>809</v>
      </c>
      <c r="C558" s="100" t="s">
        <v>2225</v>
      </c>
      <c r="D558" s="99" t="s">
        <v>1480</v>
      </c>
      <c r="E558" s="20">
        <v>3</v>
      </c>
      <c r="F558" s="20">
        <f t="shared" si="50"/>
        <v>16588.654545454545</v>
      </c>
      <c r="G558" s="19">
        <f t="shared" si="48"/>
        <v>49765.963636363638</v>
      </c>
      <c r="H558" s="19">
        <f t="shared" si="49"/>
        <v>204309.18711272726</v>
      </c>
      <c r="I558" s="114" t="s">
        <v>1521</v>
      </c>
      <c r="J558" s="210">
        <f>VLOOKUP(I558,'Reajuste Atual'!$L$19:$M$25,2,FALSE)</f>
        <v>3.1053999999999999</v>
      </c>
      <c r="K558" s="190"/>
      <c r="L558" s="20">
        <v>22809.4</v>
      </c>
      <c r="M558" s="765">
        <f t="shared" si="52"/>
        <v>16292.428571428574</v>
      </c>
      <c r="N558" s="765">
        <f t="shared" si="51"/>
        <v>16588.654545454545</v>
      </c>
      <c r="O558" s="765">
        <f t="shared" si="53"/>
        <v>16588.654545454545</v>
      </c>
    </row>
    <row r="559" spans="1:15" s="98" customFormat="1" ht="31.5" outlineLevel="1">
      <c r="A559" s="141" t="s">
        <v>3483</v>
      </c>
      <c r="B559" s="114" t="s">
        <v>810</v>
      </c>
      <c r="C559" s="100" t="s">
        <v>2226</v>
      </c>
      <c r="D559" s="99" t="s">
        <v>1480</v>
      </c>
      <c r="E559" s="20">
        <v>6</v>
      </c>
      <c r="F559" s="20">
        <f t="shared" si="50"/>
        <v>11492.981818181819</v>
      </c>
      <c r="G559" s="19">
        <f t="shared" si="48"/>
        <v>68957.890909090915</v>
      </c>
      <c r="H559" s="19">
        <f t="shared" si="49"/>
        <v>283099.72533818183</v>
      </c>
      <c r="I559" s="114" t="s">
        <v>1521</v>
      </c>
      <c r="J559" s="210">
        <f>VLOOKUP(I559,'Reajuste Atual'!$L$19:$M$25,2,FALSE)</f>
        <v>3.1053999999999999</v>
      </c>
      <c r="K559" s="190"/>
      <c r="L559" s="20">
        <v>15802.85</v>
      </c>
      <c r="M559" s="765">
        <f t="shared" si="52"/>
        <v>11287.750000000002</v>
      </c>
      <c r="N559" s="765">
        <f t="shared" si="51"/>
        <v>11492.981818181819</v>
      </c>
      <c r="O559" s="765">
        <f t="shared" si="53"/>
        <v>11492.981818181819</v>
      </c>
    </row>
    <row r="560" spans="1:15" s="98" customFormat="1" outlineLevel="1">
      <c r="A560" s="141" t="s">
        <v>3483</v>
      </c>
      <c r="B560" s="114" t="s">
        <v>811</v>
      </c>
      <c r="C560" s="100" t="s">
        <v>2227</v>
      </c>
      <c r="D560" s="99" t="s">
        <v>1480</v>
      </c>
      <c r="E560" s="20">
        <v>3</v>
      </c>
      <c r="F560" s="20">
        <f t="shared" si="50"/>
        <v>29078.618181818179</v>
      </c>
      <c r="G560" s="19">
        <f t="shared" si="48"/>
        <v>87235.854545454538</v>
      </c>
      <c r="H560" s="19">
        <f t="shared" si="49"/>
        <v>358138.077250909</v>
      </c>
      <c r="I560" s="114" t="s">
        <v>1521</v>
      </c>
      <c r="J560" s="210">
        <f>VLOOKUP(I560,'Reajuste Atual'!$L$19:$M$25,2,FALSE)</f>
        <v>3.1053999999999999</v>
      </c>
      <c r="K560" s="190"/>
      <c r="L560" s="20">
        <v>39983.1</v>
      </c>
      <c r="M560" s="765">
        <f t="shared" si="52"/>
        <v>28559.357142857145</v>
      </c>
      <c r="N560" s="765">
        <f t="shared" si="51"/>
        <v>29078.618181818179</v>
      </c>
      <c r="O560" s="765">
        <f t="shared" si="53"/>
        <v>29078.618181818179</v>
      </c>
    </row>
    <row r="561" spans="1:15" s="98" customFormat="1" outlineLevel="1">
      <c r="A561" s="141" t="s">
        <v>3483</v>
      </c>
      <c r="B561" s="114" t="s">
        <v>812</v>
      </c>
      <c r="C561" s="100" t="s">
        <v>2228</v>
      </c>
      <c r="D561" s="99" t="s">
        <v>1480</v>
      </c>
      <c r="E561" s="20">
        <v>4</v>
      </c>
      <c r="F561" s="20">
        <f t="shared" si="50"/>
        <v>2077.0327272727272</v>
      </c>
      <c r="G561" s="19">
        <f t="shared" si="48"/>
        <v>8308.130909090909</v>
      </c>
      <c r="H561" s="19">
        <f t="shared" si="49"/>
        <v>34108.200634181812</v>
      </c>
      <c r="I561" s="114" t="s">
        <v>1521</v>
      </c>
      <c r="J561" s="210">
        <f>VLOOKUP(I561,'Reajuste Atual'!$L$19:$M$25,2,FALSE)</f>
        <v>3.1053999999999999</v>
      </c>
      <c r="K561" s="190"/>
      <c r="L561" s="20">
        <v>2855.92</v>
      </c>
      <c r="M561" s="765">
        <f t="shared" si="52"/>
        <v>2039.9428571428573</v>
      </c>
      <c r="N561" s="765">
        <f t="shared" si="51"/>
        <v>2077.0327272727272</v>
      </c>
      <c r="O561" s="765">
        <f t="shared" si="53"/>
        <v>2077.0327272727272</v>
      </c>
    </row>
    <row r="562" spans="1:15" s="98" customFormat="1" outlineLevel="1">
      <c r="A562" s="141" t="s">
        <v>3483</v>
      </c>
      <c r="B562" s="114" t="s">
        <v>813</v>
      </c>
      <c r="C562" s="100" t="s">
        <v>2229</v>
      </c>
      <c r="D562" s="99" t="s">
        <v>1480</v>
      </c>
      <c r="E562" s="20">
        <v>4</v>
      </c>
      <c r="F562" s="20">
        <f t="shared" si="50"/>
        <v>360.01454545454544</v>
      </c>
      <c r="G562" s="19">
        <f t="shared" si="48"/>
        <v>1440.0581818181818</v>
      </c>
      <c r="H562" s="19">
        <f t="shared" si="49"/>
        <v>5912.0148596363624</v>
      </c>
      <c r="I562" s="114" t="s">
        <v>1521</v>
      </c>
      <c r="J562" s="210">
        <f>VLOOKUP(I562,'Reajuste Atual'!$L$19:$M$25,2,FALSE)</f>
        <v>3.1053999999999999</v>
      </c>
      <c r="K562" s="190"/>
      <c r="L562" s="20">
        <v>495.02</v>
      </c>
      <c r="M562" s="765">
        <f t="shared" si="52"/>
        <v>353.58571428571429</v>
      </c>
      <c r="N562" s="765">
        <f t="shared" si="51"/>
        <v>360.01454545454544</v>
      </c>
      <c r="O562" s="765">
        <f t="shared" si="53"/>
        <v>360.01454545454544</v>
      </c>
    </row>
    <row r="563" spans="1:15" s="98" customFormat="1" outlineLevel="1">
      <c r="A563" s="141" t="s">
        <v>3483</v>
      </c>
      <c r="B563" s="114" t="s">
        <v>814</v>
      </c>
      <c r="C563" s="100" t="s">
        <v>2230</v>
      </c>
      <c r="D563" s="99" t="s">
        <v>1480</v>
      </c>
      <c r="E563" s="20">
        <v>76</v>
      </c>
      <c r="F563" s="20">
        <f t="shared" si="50"/>
        <v>95.541818181818186</v>
      </c>
      <c r="G563" s="19">
        <f t="shared" si="48"/>
        <v>7261.1781818181826</v>
      </c>
      <c r="H563" s="19">
        <f t="shared" si="49"/>
        <v>29810.040907636361</v>
      </c>
      <c r="I563" s="114" t="s">
        <v>1521</v>
      </c>
      <c r="J563" s="210">
        <f>VLOOKUP(I563,'Reajuste Atual'!$L$19:$M$25,2,FALSE)</f>
        <v>3.1053999999999999</v>
      </c>
      <c r="K563" s="190"/>
      <c r="L563" s="20">
        <v>131.37</v>
      </c>
      <c r="M563" s="765">
        <f t="shared" si="52"/>
        <v>93.835714285714289</v>
      </c>
      <c r="N563" s="765">
        <f t="shared" si="51"/>
        <v>95.541818181818186</v>
      </c>
      <c r="O563" s="765">
        <f t="shared" si="53"/>
        <v>95.541818181818186</v>
      </c>
    </row>
    <row r="564" spans="1:15" s="98" customFormat="1" outlineLevel="1">
      <c r="A564" s="141" t="s">
        <v>3483</v>
      </c>
      <c r="B564" s="114" t="s">
        <v>815</v>
      </c>
      <c r="C564" s="100" t="s">
        <v>2231</v>
      </c>
      <c r="D564" s="99" t="s">
        <v>1480</v>
      </c>
      <c r="E564" s="20">
        <v>56</v>
      </c>
      <c r="F564" s="20">
        <f t="shared" si="50"/>
        <v>123.23636363636363</v>
      </c>
      <c r="G564" s="19">
        <f t="shared" si="48"/>
        <v>6901.2363636363634</v>
      </c>
      <c r="H564" s="19">
        <f t="shared" si="49"/>
        <v>28332.335767272722</v>
      </c>
      <c r="I564" s="114" t="s">
        <v>1521</v>
      </c>
      <c r="J564" s="210">
        <f>VLOOKUP(I564,'Reajuste Atual'!$L$19:$M$25,2,FALSE)</f>
        <v>3.1053999999999999</v>
      </c>
      <c r="K564" s="190"/>
      <c r="L564" s="20">
        <v>169.45</v>
      </c>
      <c r="M564" s="765">
        <f t="shared" si="52"/>
        <v>121.03571428571429</v>
      </c>
      <c r="N564" s="765">
        <f t="shared" si="51"/>
        <v>123.23636363636363</v>
      </c>
      <c r="O564" s="765">
        <f t="shared" si="53"/>
        <v>123.23636363636363</v>
      </c>
    </row>
    <row r="565" spans="1:15" s="98" customFormat="1" outlineLevel="1">
      <c r="A565" s="141" t="s">
        <v>3483</v>
      </c>
      <c r="B565" s="114" t="s">
        <v>816</v>
      </c>
      <c r="C565" s="100" t="s">
        <v>2232</v>
      </c>
      <c r="D565" s="99" t="s">
        <v>1480</v>
      </c>
      <c r="E565" s="20">
        <v>8</v>
      </c>
      <c r="F565" s="20">
        <f t="shared" si="50"/>
        <v>132.92363636363638</v>
      </c>
      <c r="G565" s="19">
        <f t="shared" si="48"/>
        <v>1063.389090909091</v>
      </c>
      <c r="H565" s="19">
        <f t="shared" si="49"/>
        <v>4365.6375738181814</v>
      </c>
      <c r="I565" s="114" t="s">
        <v>1521</v>
      </c>
      <c r="J565" s="210">
        <f>VLOOKUP(I565,'Reajuste Atual'!$L$19:$M$25,2,FALSE)</f>
        <v>3.1053999999999999</v>
      </c>
      <c r="K565" s="190"/>
      <c r="L565" s="20">
        <v>182.77</v>
      </c>
      <c r="M565" s="765">
        <f t="shared" si="52"/>
        <v>130.55000000000001</v>
      </c>
      <c r="N565" s="765">
        <f t="shared" si="51"/>
        <v>132.92363636363638</v>
      </c>
      <c r="O565" s="765">
        <f t="shared" si="53"/>
        <v>132.92363636363638</v>
      </c>
    </row>
    <row r="566" spans="1:15" s="98" customFormat="1" outlineLevel="1">
      <c r="A566" s="141" t="s">
        <v>3483</v>
      </c>
      <c r="B566" s="114" t="s">
        <v>817</v>
      </c>
      <c r="C566" s="100" t="s">
        <v>2233</v>
      </c>
      <c r="D566" s="99" t="s">
        <v>1480</v>
      </c>
      <c r="E566" s="20">
        <v>52</v>
      </c>
      <c r="F566" s="20">
        <f t="shared" si="50"/>
        <v>166.16</v>
      </c>
      <c r="G566" s="19">
        <f t="shared" si="48"/>
        <v>8640.32</v>
      </c>
      <c r="H566" s="19">
        <f t="shared" si="49"/>
        <v>35471.969727999996</v>
      </c>
      <c r="I566" s="114" t="s">
        <v>1521</v>
      </c>
      <c r="J566" s="210">
        <f>VLOOKUP(I566,'Reajuste Atual'!$L$19:$M$25,2,FALSE)</f>
        <v>3.1053999999999999</v>
      </c>
      <c r="K566" s="190"/>
      <c r="L566" s="20">
        <v>228.47</v>
      </c>
      <c r="M566" s="765">
        <f t="shared" si="52"/>
        <v>163.19285714285715</v>
      </c>
      <c r="N566" s="765">
        <f t="shared" si="51"/>
        <v>166.16</v>
      </c>
      <c r="O566" s="765">
        <f t="shared" si="53"/>
        <v>166.16</v>
      </c>
    </row>
    <row r="567" spans="1:15" s="98" customFormat="1" outlineLevel="1">
      <c r="A567" s="141" t="s">
        <v>3483</v>
      </c>
      <c r="B567" s="114" t="s">
        <v>818</v>
      </c>
      <c r="C567" s="100" t="s">
        <v>2234</v>
      </c>
      <c r="D567" s="99" t="s">
        <v>1480</v>
      </c>
      <c r="E567" s="20">
        <v>328</v>
      </c>
      <c r="F567" s="20">
        <f t="shared" si="50"/>
        <v>49.847272727272731</v>
      </c>
      <c r="G567" s="19">
        <f t="shared" si="48"/>
        <v>16349.905454545456</v>
      </c>
      <c r="H567" s="19">
        <f t="shared" si="49"/>
        <v>67122.901853090909</v>
      </c>
      <c r="I567" s="114" t="s">
        <v>1521</v>
      </c>
      <c r="J567" s="210">
        <f>VLOOKUP(I567,'Reajuste Atual'!$L$19:$M$25,2,FALSE)</f>
        <v>3.1053999999999999</v>
      </c>
      <c r="K567" s="190"/>
      <c r="L567" s="20">
        <v>68.540000000000006</v>
      </c>
      <c r="M567" s="765">
        <f t="shared" si="52"/>
        <v>48.957142857142863</v>
      </c>
      <c r="N567" s="765">
        <f t="shared" si="51"/>
        <v>49.847272727272731</v>
      </c>
      <c r="O567" s="765">
        <f t="shared" si="53"/>
        <v>49.847272727272731</v>
      </c>
    </row>
    <row r="568" spans="1:15" s="98" customFormat="1" outlineLevel="1">
      <c r="A568" s="141" t="s">
        <v>3483</v>
      </c>
      <c r="B568" s="114" t="s">
        <v>819</v>
      </c>
      <c r="C568" s="100" t="s">
        <v>2235</v>
      </c>
      <c r="D568" s="99" t="s">
        <v>1480</v>
      </c>
      <c r="E568" s="20">
        <v>64</v>
      </c>
      <c r="F568" s="20">
        <f t="shared" si="50"/>
        <v>36.007272727272728</v>
      </c>
      <c r="G568" s="19">
        <f t="shared" si="48"/>
        <v>2304.4654545454546</v>
      </c>
      <c r="H568" s="19">
        <f t="shared" si="49"/>
        <v>9460.7524770909076</v>
      </c>
      <c r="I568" s="114" t="s">
        <v>1521</v>
      </c>
      <c r="J568" s="210">
        <f>VLOOKUP(I568,'Reajuste Atual'!$L$19:$M$25,2,FALSE)</f>
        <v>3.1053999999999999</v>
      </c>
      <c r="K568" s="190"/>
      <c r="L568" s="20">
        <v>49.51</v>
      </c>
      <c r="M568" s="765">
        <f t="shared" si="52"/>
        <v>35.364285714285714</v>
      </c>
      <c r="N568" s="765">
        <f t="shared" si="51"/>
        <v>36.007272727272728</v>
      </c>
      <c r="O568" s="765">
        <f t="shared" si="53"/>
        <v>36.007272727272728</v>
      </c>
    </row>
    <row r="569" spans="1:15" s="98" customFormat="1" outlineLevel="1">
      <c r="A569" s="141" t="s">
        <v>3483</v>
      </c>
      <c r="B569" s="114" t="s">
        <v>820</v>
      </c>
      <c r="C569" s="100" t="s">
        <v>2236</v>
      </c>
      <c r="D569" s="99" t="s">
        <v>1480</v>
      </c>
      <c r="E569" s="20">
        <v>176</v>
      </c>
      <c r="F569" s="20">
        <f t="shared" si="50"/>
        <v>24.923636363636366</v>
      </c>
      <c r="G569" s="19">
        <f t="shared" si="48"/>
        <v>4386.5600000000004</v>
      </c>
      <c r="H569" s="19">
        <f t="shared" si="49"/>
        <v>18008.583424</v>
      </c>
      <c r="I569" s="114" t="s">
        <v>1521</v>
      </c>
      <c r="J569" s="210">
        <f>VLOOKUP(I569,'Reajuste Atual'!$L$19:$M$25,2,FALSE)</f>
        <v>3.1053999999999999</v>
      </c>
      <c r="K569" s="190"/>
      <c r="L569" s="20">
        <v>34.270000000000003</v>
      </c>
      <c r="M569" s="765">
        <f t="shared" si="52"/>
        <v>24.478571428571431</v>
      </c>
      <c r="N569" s="765">
        <f t="shared" si="51"/>
        <v>24.923636363636366</v>
      </c>
      <c r="O569" s="765">
        <f t="shared" si="53"/>
        <v>24.923636363636366</v>
      </c>
    </row>
    <row r="570" spans="1:15" s="98" customFormat="1" outlineLevel="1">
      <c r="A570" s="141" t="s">
        <v>3483</v>
      </c>
      <c r="B570" s="114" t="s">
        <v>821</v>
      </c>
      <c r="C570" s="100" t="s">
        <v>2237</v>
      </c>
      <c r="D570" s="99" t="s">
        <v>1480</v>
      </c>
      <c r="E570" s="20">
        <v>464</v>
      </c>
      <c r="F570" s="20">
        <f t="shared" si="50"/>
        <v>24.923636363636366</v>
      </c>
      <c r="G570" s="19">
        <f t="shared" si="48"/>
        <v>11564.567272727274</v>
      </c>
      <c r="H570" s="19">
        <f t="shared" si="49"/>
        <v>47477.174481454545</v>
      </c>
      <c r="I570" s="114" t="s">
        <v>1521</v>
      </c>
      <c r="J570" s="210">
        <f>VLOOKUP(I570,'Reajuste Atual'!$L$19:$M$25,2,FALSE)</f>
        <v>3.1053999999999999</v>
      </c>
      <c r="K570" s="190"/>
      <c r="L570" s="20">
        <v>34.270000000000003</v>
      </c>
      <c r="M570" s="765">
        <f t="shared" si="52"/>
        <v>24.478571428571431</v>
      </c>
      <c r="N570" s="765">
        <f t="shared" si="51"/>
        <v>24.923636363636366</v>
      </c>
      <c r="O570" s="765">
        <f t="shared" si="53"/>
        <v>24.923636363636366</v>
      </c>
    </row>
    <row r="571" spans="1:15" s="98" customFormat="1" outlineLevel="1">
      <c r="A571" s="141" t="s">
        <v>3483</v>
      </c>
      <c r="B571" s="114" t="s">
        <v>822</v>
      </c>
      <c r="C571" s="100" t="s">
        <v>2238</v>
      </c>
      <c r="D571" s="99" t="s">
        <v>1480</v>
      </c>
      <c r="E571" s="20">
        <v>560</v>
      </c>
      <c r="F571" s="20">
        <f t="shared" si="50"/>
        <v>4.1527272727272724</v>
      </c>
      <c r="G571" s="19">
        <f t="shared" ref="G571:G634" si="54">E571*F571</f>
        <v>2325.5272727272727</v>
      </c>
      <c r="H571" s="19">
        <f t="shared" ref="H571:H634" si="55">G571*(1+J571)</f>
        <v>9547.2196654545442</v>
      </c>
      <c r="I571" s="114" t="s">
        <v>1521</v>
      </c>
      <c r="J571" s="210">
        <f>VLOOKUP(I571,'Reajuste Atual'!$L$19:$M$25,2,FALSE)</f>
        <v>3.1053999999999999</v>
      </c>
      <c r="K571" s="190"/>
      <c r="L571" s="20">
        <v>5.71</v>
      </c>
      <c r="M571" s="765">
        <f t="shared" si="52"/>
        <v>4.0785714285714292</v>
      </c>
      <c r="N571" s="765">
        <f t="shared" si="51"/>
        <v>4.1527272727272724</v>
      </c>
      <c r="O571" s="765">
        <f t="shared" si="53"/>
        <v>4.1527272727272724</v>
      </c>
    </row>
    <row r="572" spans="1:15" s="98" customFormat="1" outlineLevel="1">
      <c r="A572" s="141" t="s">
        <v>3483</v>
      </c>
      <c r="B572" s="114" t="s">
        <v>823</v>
      </c>
      <c r="C572" s="100" t="s">
        <v>2239</v>
      </c>
      <c r="D572" s="99" t="s">
        <v>1480</v>
      </c>
      <c r="E572" s="20">
        <v>656</v>
      </c>
      <c r="F572" s="20">
        <f t="shared" si="50"/>
        <v>2.08</v>
      </c>
      <c r="G572" s="19">
        <f t="shared" si="54"/>
        <v>1364.48</v>
      </c>
      <c r="H572" s="19">
        <f t="shared" si="55"/>
        <v>5601.7361919999994</v>
      </c>
      <c r="I572" s="114" t="s">
        <v>1521</v>
      </c>
      <c r="J572" s="210">
        <f>VLOOKUP(I572,'Reajuste Atual'!$L$19:$M$25,2,FALSE)</f>
        <v>3.1053999999999999</v>
      </c>
      <c r="K572" s="190"/>
      <c r="L572" s="20">
        <v>2.86</v>
      </c>
      <c r="M572" s="765">
        <f t="shared" si="52"/>
        <v>2.0428571428571427</v>
      </c>
      <c r="N572" s="765">
        <f t="shared" si="51"/>
        <v>2.08</v>
      </c>
      <c r="O572" s="765">
        <f t="shared" si="53"/>
        <v>2.08</v>
      </c>
    </row>
    <row r="573" spans="1:15" s="98" customFormat="1" outlineLevel="1">
      <c r="A573" s="141" t="s">
        <v>3483</v>
      </c>
      <c r="B573" s="114" t="s">
        <v>824</v>
      </c>
      <c r="C573" s="100" t="s">
        <v>2240</v>
      </c>
      <c r="D573" s="99" t="s">
        <v>1480</v>
      </c>
      <c r="E573" s="20">
        <v>656</v>
      </c>
      <c r="F573" s="20">
        <f t="shared" si="50"/>
        <v>1.4545454545454546</v>
      </c>
      <c r="G573" s="19">
        <f t="shared" si="54"/>
        <v>954.18181818181824</v>
      </c>
      <c r="H573" s="19">
        <f t="shared" si="55"/>
        <v>3917.2980363636361</v>
      </c>
      <c r="I573" s="114" t="s">
        <v>1521</v>
      </c>
      <c r="J573" s="210">
        <f>VLOOKUP(I573,'Reajuste Atual'!$L$19:$M$25,2,FALSE)</f>
        <v>3.1053999999999999</v>
      </c>
      <c r="K573" s="190"/>
      <c r="L573" s="20">
        <v>2</v>
      </c>
      <c r="M573" s="765">
        <f t="shared" si="52"/>
        <v>1.4285714285714286</v>
      </c>
      <c r="N573" s="765">
        <f t="shared" si="51"/>
        <v>1.4545454545454546</v>
      </c>
      <c r="O573" s="765">
        <f t="shared" si="53"/>
        <v>1.4545454545454546</v>
      </c>
    </row>
    <row r="574" spans="1:15" s="98" customFormat="1" ht="31.5" outlineLevel="1">
      <c r="A574" s="141" t="s">
        <v>3483</v>
      </c>
      <c r="B574" s="114" t="s">
        <v>825</v>
      </c>
      <c r="C574" s="100" t="s">
        <v>2241</v>
      </c>
      <c r="D574" s="99" t="s">
        <v>1480</v>
      </c>
      <c r="E574" s="20">
        <v>2208</v>
      </c>
      <c r="F574" s="20">
        <f t="shared" si="50"/>
        <v>0.74181818181818182</v>
      </c>
      <c r="G574" s="19">
        <f t="shared" si="54"/>
        <v>1637.9345454545455</v>
      </c>
      <c r="H574" s="19">
        <f t="shared" si="55"/>
        <v>6724.3764829090906</v>
      </c>
      <c r="I574" s="114" t="s">
        <v>1521</v>
      </c>
      <c r="J574" s="210">
        <f>VLOOKUP(I574,'Reajuste Atual'!$L$19:$M$25,2,FALSE)</f>
        <v>3.1053999999999999</v>
      </c>
      <c r="K574" s="190"/>
      <c r="L574" s="20">
        <v>1.02</v>
      </c>
      <c r="M574" s="765">
        <f t="shared" si="52"/>
        <v>0.72857142857142865</v>
      </c>
      <c r="N574" s="765">
        <f t="shared" si="51"/>
        <v>0.74181818181818182</v>
      </c>
      <c r="O574" s="765">
        <f t="shared" si="53"/>
        <v>0.74181818181818182</v>
      </c>
    </row>
    <row r="575" spans="1:15" s="98" customFormat="1" outlineLevel="1">
      <c r="A575" s="141" t="s">
        <v>3483</v>
      </c>
      <c r="B575" s="114" t="s">
        <v>826</v>
      </c>
      <c r="C575" s="100" t="s">
        <v>2242</v>
      </c>
      <c r="D575" s="99" t="s">
        <v>1480</v>
      </c>
      <c r="E575" s="20">
        <v>12</v>
      </c>
      <c r="F575" s="20">
        <f t="shared" si="50"/>
        <v>34.421818181818182</v>
      </c>
      <c r="G575" s="19">
        <f t="shared" si="54"/>
        <v>413.06181818181818</v>
      </c>
      <c r="H575" s="19">
        <f t="shared" si="55"/>
        <v>1695.7839883636361</v>
      </c>
      <c r="I575" s="114" t="s">
        <v>1521</v>
      </c>
      <c r="J575" s="210">
        <f>VLOOKUP(I575,'Reajuste Atual'!$L$19:$M$25,2,FALSE)</f>
        <v>3.1053999999999999</v>
      </c>
      <c r="K575" s="190"/>
      <c r="L575" s="20">
        <v>47.33</v>
      </c>
      <c r="M575" s="765">
        <f t="shared" si="52"/>
        <v>33.807142857142857</v>
      </c>
      <c r="N575" s="765">
        <f t="shared" si="51"/>
        <v>34.421818181818182</v>
      </c>
      <c r="O575" s="765">
        <f t="shared" si="53"/>
        <v>34.421818181818182</v>
      </c>
    </row>
    <row r="576" spans="1:15" s="98" customFormat="1" outlineLevel="1">
      <c r="A576" s="141" t="s">
        <v>3483</v>
      </c>
      <c r="B576" s="114" t="s">
        <v>827</v>
      </c>
      <c r="C576" s="100" t="s">
        <v>2243</v>
      </c>
      <c r="D576" s="99" t="s">
        <v>1480</v>
      </c>
      <c r="E576" s="20">
        <v>72</v>
      </c>
      <c r="F576" s="20">
        <f t="shared" si="50"/>
        <v>26.632727272727269</v>
      </c>
      <c r="G576" s="19">
        <f t="shared" si="54"/>
        <v>1917.5563636363634</v>
      </c>
      <c r="H576" s="19">
        <f t="shared" si="55"/>
        <v>7872.3358952727249</v>
      </c>
      <c r="I576" s="114" t="s">
        <v>1521</v>
      </c>
      <c r="J576" s="210">
        <f>VLOOKUP(I576,'Reajuste Atual'!$L$19:$M$25,2,FALSE)</f>
        <v>3.1053999999999999</v>
      </c>
      <c r="K576" s="190"/>
      <c r="L576" s="20">
        <v>36.619999999999997</v>
      </c>
      <c r="M576" s="765">
        <f t="shared" si="52"/>
        <v>26.157142857142858</v>
      </c>
      <c r="N576" s="765">
        <f t="shared" si="51"/>
        <v>26.632727272727269</v>
      </c>
      <c r="O576" s="765">
        <f t="shared" si="53"/>
        <v>26.632727272727269</v>
      </c>
    </row>
    <row r="577" spans="1:15" s="98" customFormat="1" outlineLevel="1">
      <c r="A577" s="141" t="s">
        <v>3483</v>
      </c>
      <c r="B577" s="114" t="s">
        <v>828</v>
      </c>
      <c r="C577" s="100" t="s">
        <v>2244</v>
      </c>
      <c r="D577" s="99" t="s">
        <v>1480</v>
      </c>
      <c r="E577" s="20">
        <v>60</v>
      </c>
      <c r="F577" s="20">
        <f t="shared" si="50"/>
        <v>17.112727272727273</v>
      </c>
      <c r="G577" s="19">
        <f t="shared" si="54"/>
        <v>1026.7636363636364</v>
      </c>
      <c r="H577" s="19">
        <f t="shared" si="55"/>
        <v>4215.2754327272723</v>
      </c>
      <c r="I577" s="114" t="s">
        <v>1521</v>
      </c>
      <c r="J577" s="210">
        <f>VLOOKUP(I577,'Reajuste Atual'!$L$19:$M$25,2,FALSE)</f>
        <v>3.1053999999999999</v>
      </c>
      <c r="K577" s="190"/>
      <c r="L577" s="20">
        <v>23.53</v>
      </c>
      <c r="M577" s="765">
        <f t="shared" si="52"/>
        <v>16.80714285714286</v>
      </c>
      <c r="N577" s="765">
        <f t="shared" si="51"/>
        <v>17.112727272727273</v>
      </c>
      <c r="O577" s="765">
        <f t="shared" si="53"/>
        <v>17.112727272727273</v>
      </c>
    </row>
    <row r="578" spans="1:15" s="98" customFormat="1" outlineLevel="1">
      <c r="A578" s="141" t="s">
        <v>3483</v>
      </c>
      <c r="B578" s="114" t="s">
        <v>829</v>
      </c>
      <c r="C578" s="100" t="s">
        <v>2245</v>
      </c>
      <c r="D578" s="99" t="s">
        <v>1480</v>
      </c>
      <c r="E578" s="20">
        <v>36</v>
      </c>
      <c r="F578" s="20">
        <f t="shared" si="50"/>
        <v>11.178181818181818</v>
      </c>
      <c r="G578" s="19">
        <f t="shared" si="54"/>
        <v>402.41454545454542</v>
      </c>
      <c r="H578" s="19">
        <f t="shared" si="55"/>
        <v>1652.0726749090907</v>
      </c>
      <c r="I578" s="114" t="s">
        <v>1521</v>
      </c>
      <c r="J578" s="210">
        <f>VLOOKUP(I578,'Reajuste Atual'!$L$19:$M$25,2,FALSE)</f>
        <v>3.1053999999999999</v>
      </c>
      <c r="K578" s="190"/>
      <c r="L578" s="20">
        <v>15.37</v>
      </c>
      <c r="M578" s="765">
        <f t="shared" si="52"/>
        <v>10.97857142857143</v>
      </c>
      <c r="N578" s="765">
        <f t="shared" si="51"/>
        <v>11.178181818181818</v>
      </c>
      <c r="O578" s="765">
        <f t="shared" si="53"/>
        <v>11.178181818181818</v>
      </c>
    </row>
    <row r="579" spans="1:15" s="98" customFormat="1" outlineLevel="1">
      <c r="A579" s="141" t="s">
        <v>3483</v>
      </c>
      <c r="B579" s="114" t="s">
        <v>830</v>
      </c>
      <c r="C579" s="100" t="s">
        <v>2246</v>
      </c>
      <c r="D579" s="99" t="s">
        <v>1480</v>
      </c>
      <c r="E579" s="20">
        <v>28</v>
      </c>
      <c r="F579" s="20">
        <f t="shared" si="50"/>
        <v>9.6218181818181829</v>
      </c>
      <c r="G579" s="19">
        <f t="shared" si="54"/>
        <v>269.41090909090912</v>
      </c>
      <c r="H579" s="19">
        <f t="shared" si="55"/>
        <v>1106.0395461818182</v>
      </c>
      <c r="I579" s="114" t="s">
        <v>1521</v>
      </c>
      <c r="J579" s="210">
        <f>VLOOKUP(I579,'Reajuste Atual'!$L$19:$M$25,2,FALSE)</f>
        <v>3.1053999999999999</v>
      </c>
      <c r="K579" s="190"/>
      <c r="L579" s="20">
        <v>13.23</v>
      </c>
      <c r="M579" s="765">
        <f t="shared" si="52"/>
        <v>9.4500000000000011</v>
      </c>
      <c r="N579" s="765">
        <f t="shared" si="51"/>
        <v>9.6218181818181829</v>
      </c>
      <c r="O579" s="765">
        <f t="shared" si="53"/>
        <v>9.6218181818181829</v>
      </c>
    </row>
    <row r="580" spans="1:15" s="98" customFormat="1" outlineLevel="1">
      <c r="A580" s="141" t="s">
        <v>3483</v>
      </c>
      <c r="B580" s="114" t="s">
        <v>831</v>
      </c>
      <c r="C580" s="100" t="s">
        <v>2247</v>
      </c>
      <c r="D580" s="99" t="s">
        <v>1480</v>
      </c>
      <c r="E580" s="20">
        <v>192</v>
      </c>
      <c r="F580" s="20">
        <f t="shared" si="50"/>
        <v>6.9454545454545462</v>
      </c>
      <c r="G580" s="19">
        <f t="shared" si="54"/>
        <v>1333.5272727272729</v>
      </c>
      <c r="H580" s="19">
        <f t="shared" si="55"/>
        <v>5474.6628654545457</v>
      </c>
      <c r="I580" s="114" t="s">
        <v>1521</v>
      </c>
      <c r="J580" s="210">
        <f>VLOOKUP(I580,'Reajuste Atual'!$L$19:$M$25,2,FALSE)</f>
        <v>3.1053999999999999</v>
      </c>
      <c r="K580" s="190"/>
      <c r="L580" s="20">
        <v>9.5500000000000007</v>
      </c>
      <c r="M580" s="765">
        <f t="shared" si="52"/>
        <v>6.8214285714285721</v>
      </c>
      <c r="N580" s="765">
        <f t="shared" si="51"/>
        <v>6.9454545454545462</v>
      </c>
      <c r="O580" s="765">
        <f t="shared" si="53"/>
        <v>6.9454545454545462</v>
      </c>
    </row>
    <row r="581" spans="1:15" s="98" customFormat="1" outlineLevel="1">
      <c r="A581" s="141" t="s">
        <v>3483</v>
      </c>
      <c r="B581" s="114" t="s">
        <v>832</v>
      </c>
      <c r="C581" s="100" t="s">
        <v>2248</v>
      </c>
      <c r="D581" s="99" t="s">
        <v>1480</v>
      </c>
      <c r="E581" s="20">
        <v>120</v>
      </c>
      <c r="F581" s="20">
        <f t="shared" si="50"/>
        <v>4.6254545454545459</v>
      </c>
      <c r="G581" s="19">
        <f t="shared" si="54"/>
        <v>555.05454545454552</v>
      </c>
      <c r="H581" s="19">
        <f t="shared" si="55"/>
        <v>2278.7209309090908</v>
      </c>
      <c r="I581" s="114" t="s">
        <v>1521</v>
      </c>
      <c r="J581" s="210">
        <f>VLOOKUP(I581,'Reajuste Atual'!$L$19:$M$25,2,FALSE)</f>
        <v>3.1053999999999999</v>
      </c>
      <c r="K581" s="190"/>
      <c r="L581" s="20">
        <v>6.36</v>
      </c>
      <c r="M581" s="765">
        <f t="shared" si="52"/>
        <v>4.5428571428571436</v>
      </c>
      <c r="N581" s="765">
        <f t="shared" si="51"/>
        <v>4.6254545454545459</v>
      </c>
      <c r="O581" s="765">
        <f t="shared" si="53"/>
        <v>4.6254545454545459</v>
      </c>
    </row>
    <row r="582" spans="1:15" s="98" customFormat="1" outlineLevel="1">
      <c r="A582" s="141" t="s">
        <v>3483</v>
      </c>
      <c r="B582" s="114" t="s">
        <v>833</v>
      </c>
      <c r="C582" s="100" t="s">
        <v>2249</v>
      </c>
      <c r="D582" s="99" t="s">
        <v>1480</v>
      </c>
      <c r="E582" s="20">
        <v>24</v>
      </c>
      <c r="F582" s="20">
        <f t="shared" si="50"/>
        <v>21.141818181818181</v>
      </c>
      <c r="G582" s="19">
        <f t="shared" si="54"/>
        <v>507.40363636363634</v>
      </c>
      <c r="H582" s="19">
        <f t="shared" si="55"/>
        <v>2083.0948887272725</v>
      </c>
      <c r="I582" s="114" t="s">
        <v>1521</v>
      </c>
      <c r="J582" s="210">
        <f>VLOOKUP(I582,'Reajuste Atual'!$L$19:$M$25,2,FALSE)</f>
        <v>3.1053999999999999</v>
      </c>
      <c r="K582" s="190"/>
      <c r="L582" s="20">
        <v>29.07</v>
      </c>
      <c r="M582" s="765">
        <f t="shared" si="52"/>
        <v>20.764285714285716</v>
      </c>
      <c r="N582" s="765">
        <f t="shared" si="51"/>
        <v>21.141818181818181</v>
      </c>
      <c r="O582" s="765">
        <f t="shared" si="53"/>
        <v>21.141818181818181</v>
      </c>
    </row>
    <row r="583" spans="1:15" s="98" customFormat="1" outlineLevel="1">
      <c r="A583" s="141" t="s">
        <v>3483</v>
      </c>
      <c r="B583" s="114" t="s">
        <v>834</v>
      </c>
      <c r="C583" s="100" t="s">
        <v>2250</v>
      </c>
      <c r="D583" s="99" t="s">
        <v>1480</v>
      </c>
      <c r="E583" s="20">
        <v>8</v>
      </c>
      <c r="F583" s="20">
        <f t="shared" si="50"/>
        <v>7.9345454545454546</v>
      </c>
      <c r="G583" s="19">
        <f t="shared" si="54"/>
        <v>63.476363636363637</v>
      </c>
      <c r="H583" s="19">
        <f t="shared" si="55"/>
        <v>260.59586327272723</v>
      </c>
      <c r="I583" s="114" t="s">
        <v>1521</v>
      </c>
      <c r="J583" s="210">
        <f>VLOOKUP(I583,'Reajuste Atual'!$L$19:$M$25,2,FALSE)</f>
        <v>3.1053999999999999</v>
      </c>
      <c r="K583" s="190"/>
      <c r="L583" s="20">
        <v>10.91</v>
      </c>
      <c r="M583" s="765">
        <f t="shared" si="52"/>
        <v>7.7928571428571436</v>
      </c>
      <c r="N583" s="765">
        <f t="shared" si="51"/>
        <v>7.9345454545454546</v>
      </c>
      <c r="O583" s="765">
        <f t="shared" si="53"/>
        <v>7.9345454545454546</v>
      </c>
    </row>
    <row r="584" spans="1:15" s="98" customFormat="1" outlineLevel="1">
      <c r="A584" s="141" t="s">
        <v>3483</v>
      </c>
      <c r="B584" s="114" t="s">
        <v>835</v>
      </c>
      <c r="C584" s="100" t="s">
        <v>2251</v>
      </c>
      <c r="D584" s="99" t="s">
        <v>1480</v>
      </c>
      <c r="E584" s="20">
        <v>12</v>
      </c>
      <c r="F584" s="20">
        <f t="shared" si="50"/>
        <v>4.6254545454545459</v>
      </c>
      <c r="G584" s="19">
        <f t="shared" si="54"/>
        <v>55.505454545454555</v>
      </c>
      <c r="H584" s="19">
        <f t="shared" si="55"/>
        <v>227.87209309090909</v>
      </c>
      <c r="I584" s="114" t="s">
        <v>1521</v>
      </c>
      <c r="J584" s="210">
        <f>VLOOKUP(I584,'Reajuste Atual'!$L$19:$M$25,2,FALSE)</f>
        <v>3.1053999999999999</v>
      </c>
      <c r="K584" s="190"/>
      <c r="L584" s="20">
        <v>6.36</v>
      </c>
      <c r="M584" s="765">
        <f t="shared" si="52"/>
        <v>4.5428571428571436</v>
      </c>
      <c r="N584" s="765">
        <f t="shared" si="51"/>
        <v>4.6254545454545459</v>
      </c>
      <c r="O584" s="765">
        <f t="shared" si="53"/>
        <v>4.6254545454545459</v>
      </c>
    </row>
    <row r="585" spans="1:15" s="98" customFormat="1" outlineLevel="1">
      <c r="A585" s="141" t="s">
        <v>3483</v>
      </c>
      <c r="B585" s="114" t="s">
        <v>836</v>
      </c>
      <c r="C585" s="100" t="s">
        <v>2252</v>
      </c>
      <c r="D585" s="99" t="s">
        <v>1480</v>
      </c>
      <c r="E585" s="20">
        <v>32</v>
      </c>
      <c r="F585" s="20">
        <f t="shared" si="50"/>
        <v>3.9636363636363638</v>
      </c>
      <c r="G585" s="19">
        <f t="shared" si="54"/>
        <v>126.83636363636364</v>
      </c>
      <c r="H585" s="19">
        <f t="shared" si="55"/>
        <v>520.71400727272726</v>
      </c>
      <c r="I585" s="114" t="s">
        <v>1521</v>
      </c>
      <c r="J585" s="210">
        <f>VLOOKUP(I585,'Reajuste Atual'!$L$19:$M$25,2,FALSE)</f>
        <v>3.1053999999999999</v>
      </c>
      <c r="K585" s="190"/>
      <c r="L585" s="20">
        <v>5.45</v>
      </c>
      <c r="M585" s="765">
        <f t="shared" si="52"/>
        <v>3.8928571428571432</v>
      </c>
      <c r="N585" s="765">
        <f t="shared" si="51"/>
        <v>3.9636363636363638</v>
      </c>
      <c r="O585" s="765">
        <f t="shared" si="53"/>
        <v>3.9636363636363638</v>
      </c>
    </row>
    <row r="586" spans="1:15" s="98" customFormat="1" outlineLevel="1">
      <c r="A586" s="141" t="s">
        <v>3483</v>
      </c>
      <c r="B586" s="114" t="s">
        <v>837</v>
      </c>
      <c r="C586" s="100" t="s">
        <v>2253</v>
      </c>
      <c r="D586" s="99" t="s">
        <v>1480</v>
      </c>
      <c r="E586" s="20">
        <v>184</v>
      </c>
      <c r="F586" s="20">
        <f t="shared" si="50"/>
        <v>1.4254545454545455</v>
      </c>
      <c r="G586" s="19">
        <f t="shared" si="54"/>
        <v>262.28363636363639</v>
      </c>
      <c r="H586" s="19">
        <f t="shared" si="55"/>
        <v>1076.7792407272727</v>
      </c>
      <c r="I586" s="114" t="s">
        <v>1521</v>
      </c>
      <c r="J586" s="210">
        <f>VLOOKUP(I586,'Reajuste Atual'!$L$19:$M$25,2,FALSE)</f>
        <v>3.1053999999999999</v>
      </c>
      <c r="K586" s="190"/>
      <c r="L586" s="20">
        <v>1.96</v>
      </c>
      <c r="M586" s="765">
        <f t="shared" si="52"/>
        <v>1.4000000000000001</v>
      </c>
      <c r="N586" s="765">
        <f t="shared" si="51"/>
        <v>1.4254545454545455</v>
      </c>
      <c r="O586" s="765">
        <f t="shared" si="53"/>
        <v>1.4254545454545455</v>
      </c>
    </row>
    <row r="587" spans="1:15" s="98" customFormat="1" outlineLevel="1">
      <c r="A587" s="141" t="s">
        <v>3483</v>
      </c>
      <c r="B587" s="114" t="s">
        <v>838</v>
      </c>
      <c r="C587" s="100" t="s">
        <v>2188</v>
      </c>
      <c r="D587" s="99" t="s">
        <v>1480</v>
      </c>
      <c r="E587" s="20">
        <v>128</v>
      </c>
      <c r="F587" s="20">
        <f t="shared" si="50"/>
        <v>0.96727272727272728</v>
      </c>
      <c r="G587" s="19">
        <f t="shared" si="54"/>
        <v>123.81090909090909</v>
      </c>
      <c r="H587" s="19">
        <f t="shared" si="55"/>
        <v>508.29330618181814</v>
      </c>
      <c r="I587" s="114" t="s">
        <v>1521</v>
      </c>
      <c r="J587" s="210">
        <f>VLOOKUP(I587,'Reajuste Atual'!$L$19:$M$25,2,FALSE)</f>
        <v>3.1053999999999999</v>
      </c>
      <c r="K587" s="190"/>
      <c r="L587" s="20">
        <v>1.33</v>
      </c>
      <c r="M587" s="765">
        <f t="shared" si="52"/>
        <v>0.95000000000000007</v>
      </c>
      <c r="N587" s="765">
        <f t="shared" si="51"/>
        <v>0.96727272727272728</v>
      </c>
      <c r="O587" s="765">
        <f t="shared" si="53"/>
        <v>0.96727272727272728</v>
      </c>
    </row>
    <row r="588" spans="1:15" s="98" customFormat="1" outlineLevel="1">
      <c r="A588" s="141" t="s">
        <v>3483</v>
      </c>
      <c r="B588" s="114" t="s">
        <v>839</v>
      </c>
      <c r="C588" s="100" t="s">
        <v>2254</v>
      </c>
      <c r="D588" s="99" t="s">
        <v>1480</v>
      </c>
      <c r="E588" s="20">
        <v>12</v>
      </c>
      <c r="F588" s="20">
        <f t="shared" si="50"/>
        <v>21.141818181818181</v>
      </c>
      <c r="G588" s="19">
        <f t="shared" si="54"/>
        <v>253.70181818181817</v>
      </c>
      <c r="H588" s="19">
        <f t="shared" si="55"/>
        <v>1041.5474443636363</v>
      </c>
      <c r="I588" s="114" t="s">
        <v>1521</v>
      </c>
      <c r="J588" s="210">
        <f>VLOOKUP(I588,'Reajuste Atual'!$L$19:$M$25,2,FALSE)</f>
        <v>3.1053999999999999</v>
      </c>
      <c r="K588" s="190"/>
      <c r="L588" s="20">
        <v>29.07</v>
      </c>
      <c r="M588" s="765">
        <f t="shared" si="52"/>
        <v>20.764285714285716</v>
      </c>
      <c r="N588" s="765">
        <f t="shared" si="51"/>
        <v>21.141818181818181</v>
      </c>
      <c r="O588" s="765">
        <f t="shared" si="53"/>
        <v>21.141818181818181</v>
      </c>
    </row>
    <row r="589" spans="1:15" s="98" customFormat="1" outlineLevel="1">
      <c r="A589" s="141" t="s">
        <v>3483</v>
      </c>
      <c r="B589" s="114" t="s">
        <v>840</v>
      </c>
      <c r="C589" s="100" t="s">
        <v>2255</v>
      </c>
      <c r="D589" s="99" t="s">
        <v>1480</v>
      </c>
      <c r="E589" s="20">
        <v>4</v>
      </c>
      <c r="F589" s="20">
        <f t="shared" si="50"/>
        <v>19.818181818181817</v>
      </c>
      <c r="G589" s="19">
        <f t="shared" si="54"/>
        <v>79.272727272727266</v>
      </c>
      <c r="H589" s="19">
        <f t="shared" si="55"/>
        <v>325.44625454545445</v>
      </c>
      <c r="I589" s="114" t="s">
        <v>1521</v>
      </c>
      <c r="J589" s="210">
        <f>VLOOKUP(I589,'Reajuste Atual'!$L$19:$M$25,2,FALSE)</f>
        <v>3.1053999999999999</v>
      </c>
      <c r="K589" s="190"/>
      <c r="L589" s="20">
        <v>27.25</v>
      </c>
      <c r="M589" s="765">
        <f t="shared" si="52"/>
        <v>19.464285714285715</v>
      </c>
      <c r="N589" s="765">
        <f t="shared" si="51"/>
        <v>19.818181818181817</v>
      </c>
      <c r="O589" s="765">
        <f t="shared" si="53"/>
        <v>19.818181818181817</v>
      </c>
    </row>
    <row r="590" spans="1:15" s="98" customFormat="1" outlineLevel="1">
      <c r="A590" s="141" t="s">
        <v>3483</v>
      </c>
      <c r="B590" s="114" t="s">
        <v>841</v>
      </c>
      <c r="C590" s="100" t="s">
        <v>2256</v>
      </c>
      <c r="D590" s="99" t="s">
        <v>1480</v>
      </c>
      <c r="E590" s="20">
        <v>8</v>
      </c>
      <c r="F590" s="20">
        <f t="shared" si="50"/>
        <v>8.8509090909090915</v>
      </c>
      <c r="G590" s="19">
        <f t="shared" si="54"/>
        <v>70.807272727272732</v>
      </c>
      <c r="H590" s="19">
        <f t="shared" si="55"/>
        <v>290.69217745454546</v>
      </c>
      <c r="I590" s="114" t="s">
        <v>1521</v>
      </c>
      <c r="J590" s="210">
        <f>VLOOKUP(I590,'Reajuste Atual'!$L$19:$M$25,2,FALSE)</f>
        <v>3.1053999999999999</v>
      </c>
      <c r="K590" s="190"/>
      <c r="L590" s="20">
        <v>12.17</v>
      </c>
      <c r="M590" s="765">
        <f t="shared" si="52"/>
        <v>8.6928571428571431</v>
      </c>
      <c r="N590" s="765">
        <f t="shared" si="51"/>
        <v>8.8509090909090915</v>
      </c>
      <c r="O590" s="765">
        <f t="shared" si="53"/>
        <v>8.8509090909090915</v>
      </c>
    </row>
    <row r="591" spans="1:15" s="98" customFormat="1" outlineLevel="1">
      <c r="A591" s="141" t="s">
        <v>3483</v>
      </c>
      <c r="B591" s="114" t="s">
        <v>842</v>
      </c>
      <c r="C591" s="100" t="s">
        <v>2257</v>
      </c>
      <c r="D591" s="99" t="s">
        <v>1480</v>
      </c>
      <c r="E591" s="20">
        <v>8</v>
      </c>
      <c r="F591" s="20">
        <f t="shared" si="50"/>
        <v>10.698181818181819</v>
      </c>
      <c r="G591" s="19">
        <f t="shared" si="54"/>
        <v>85.585454545454553</v>
      </c>
      <c r="H591" s="19">
        <f t="shared" si="55"/>
        <v>351.36252509090906</v>
      </c>
      <c r="I591" s="114" t="s">
        <v>1521</v>
      </c>
      <c r="J591" s="210">
        <f>VLOOKUP(I591,'Reajuste Atual'!$L$19:$M$25,2,FALSE)</f>
        <v>3.1053999999999999</v>
      </c>
      <c r="K591" s="190"/>
      <c r="L591" s="20">
        <v>14.71</v>
      </c>
      <c r="M591" s="765">
        <f t="shared" si="52"/>
        <v>10.507142857142858</v>
      </c>
      <c r="N591" s="765">
        <f t="shared" si="51"/>
        <v>10.698181818181819</v>
      </c>
      <c r="O591" s="765">
        <f t="shared" si="53"/>
        <v>10.698181818181819</v>
      </c>
    </row>
    <row r="592" spans="1:15" s="98" customFormat="1" outlineLevel="1">
      <c r="A592" s="141" t="s">
        <v>3483</v>
      </c>
      <c r="B592" s="114" t="s">
        <v>843</v>
      </c>
      <c r="C592" s="100" t="s">
        <v>2258</v>
      </c>
      <c r="D592" s="99" t="s">
        <v>1480</v>
      </c>
      <c r="E592" s="20">
        <v>24</v>
      </c>
      <c r="F592" s="20">
        <f t="shared" si="50"/>
        <v>4.4872727272727273</v>
      </c>
      <c r="G592" s="19">
        <f t="shared" si="54"/>
        <v>107.69454545454545</v>
      </c>
      <c r="H592" s="19">
        <f t="shared" si="55"/>
        <v>442.12918690909083</v>
      </c>
      <c r="I592" s="114" t="s">
        <v>1521</v>
      </c>
      <c r="J592" s="210">
        <f>VLOOKUP(I592,'Reajuste Atual'!$L$19:$M$25,2,FALSE)</f>
        <v>3.1053999999999999</v>
      </c>
      <c r="K592" s="190"/>
      <c r="L592" s="20">
        <v>6.17</v>
      </c>
      <c r="M592" s="765">
        <f t="shared" si="52"/>
        <v>4.4071428571428575</v>
      </c>
      <c r="N592" s="765">
        <f t="shared" si="51"/>
        <v>4.4872727272727273</v>
      </c>
      <c r="O592" s="765">
        <f t="shared" si="53"/>
        <v>4.4872727272727273</v>
      </c>
    </row>
    <row r="593" spans="1:15" s="98" customFormat="1" outlineLevel="1">
      <c r="A593" s="141" t="s">
        <v>3483</v>
      </c>
      <c r="B593" s="114" t="s">
        <v>844</v>
      </c>
      <c r="C593" s="100" t="s">
        <v>2259</v>
      </c>
      <c r="D593" s="99" t="s">
        <v>1480</v>
      </c>
      <c r="E593" s="20">
        <v>52</v>
      </c>
      <c r="F593" s="20">
        <f t="shared" si="50"/>
        <v>2.3709090909090906</v>
      </c>
      <c r="G593" s="19">
        <f t="shared" si="54"/>
        <v>123.28727272727271</v>
      </c>
      <c r="H593" s="19">
        <f t="shared" si="55"/>
        <v>506.14356945454529</v>
      </c>
      <c r="I593" s="114" t="s">
        <v>1521</v>
      </c>
      <c r="J593" s="210">
        <f>VLOOKUP(I593,'Reajuste Atual'!$L$19:$M$25,2,FALSE)</f>
        <v>3.1053999999999999</v>
      </c>
      <c r="K593" s="190"/>
      <c r="L593" s="20">
        <v>3.26</v>
      </c>
      <c r="M593" s="765">
        <f t="shared" si="52"/>
        <v>2.3285714285714287</v>
      </c>
      <c r="N593" s="765">
        <f t="shared" si="51"/>
        <v>2.3709090909090906</v>
      </c>
      <c r="O593" s="765">
        <f t="shared" si="53"/>
        <v>2.3709090909090906</v>
      </c>
    </row>
    <row r="594" spans="1:15" s="98" customFormat="1" outlineLevel="1">
      <c r="A594" s="141" t="s">
        <v>3483</v>
      </c>
      <c r="B594" s="114" t="s">
        <v>845</v>
      </c>
      <c r="C594" s="100" t="s">
        <v>1957</v>
      </c>
      <c r="D594" s="99" t="s">
        <v>1480</v>
      </c>
      <c r="E594" s="20">
        <v>12</v>
      </c>
      <c r="F594" s="20">
        <f t="shared" si="50"/>
        <v>48.458181818181814</v>
      </c>
      <c r="G594" s="19">
        <f t="shared" si="54"/>
        <v>581.49818181818182</v>
      </c>
      <c r="H594" s="19">
        <f t="shared" si="55"/>
        <v>2387.2826356363635</v>
      </c>
      <c r="I594" s="114" t="s">
        <v>1521</v>
      </c>
      <c r="J594" s="210">
        <f>VLOOKUP(I594,'Reajuste Atual'!$L$19:$M$25,2,FALSE)</f>
        <v>3.1053999999999999</v>
      </c>
      <c r="K594" s="190"/>
      <c r="L594" s="20">
        <v>66.63</v>
      </c>
      <c r="M594" s="765">
        <f t="shared" si="52"/>
        <v>47.592857142857142</v>
      </c>
      <c r="N594" s="765">
        <f t="shared" si="51"/>
        <v>48.458181818181814</v>
      </c>
      <c r="O594" s="765">
        <f t="shared" si="53"/>
        <v>48.458181818181814</v>
      </c>
    </row>
    <row r="595" spans="1:15" s="98" customFormat="1" outlineLevel="1">
      <c r="A595" s="141" t="s">
        <v>3483</v>
      </c>
      <c r="B595" s="114" t="s">
        <v>846</v>
      </c>
      <c r="C595" s="100" t="s">
        <v>2260</v>
      </c>
      <c r="D595" s="99" t="s">
        <v>1480</v>
      </c>
      <c r="E595" s="20">
        <v>216</v>
      </c>
      <c r="F595" s="20">
        <f t="shared" si="50"/>
        <v>4.8436363636363637</v>
      </c>
      <c r="G595" s="19">
        <f t="shared" si="54"/>
        <v>1046.2254545454546</v>
      </c>
      <c r="H595" s="19">
        <f t="shared" si="55"/>
        <v>4295.1739810909085</v>
      </c>
      <c r="I595" s="114" t="s">
        <v>1521</v>
      </c>
      <c r="J595" s="210">
        <f>VLOOKUP(I595,'Reajuste Atual'!$L$19:$M$25,2,FALSE)</f>
        <v>3.1053999999999999</v>
      </c>
      <c r="K595" s="190"/>
      <c r="L595" s="20">
        <v>6.66</v>
      </c>
      <c r="M595" s="765">
        <f t="shared" si="52"/>
        <v>4.7571428571428571</v>
      </c>
      <c r="N595" s="765">
        <f t="shared" si="51"/>
        <v>4.8436363636363637</v>
      </c>
      <c r="O595" s="765">
        <f t="shared" si="53"/>
        <v>4.8436363636363637</v>
      </c>
    </row>
    <row r="596" spans="1:15" s="98" customFormat="1" outlineLevel="1">
      <c r="A596" s="141" t="s">
        <v>3483</v>
      </c>
      <c r="B596" s="114" t="s">
        <v>847</v>
      </c>
      <c r="C596" s="100" t="s">
        <v>2261</v>
      </c>
      <c r="D596" s="99" t="s">
        <v>1480</v>
      </c>
      <c r="E596" s="20">
        <v>56</v>
      </c>
      <c r="F596" s="20">
        <f t="shared" si="50"/>
        <v>4.1527272727272724</v>
      </c>
      <c r="G596" s="19">
        <f t="shared" si="54"/>
        <v>232.55272727272725</v>
      </c>
      <c r="H596" s="19">
        <f t="shared" si="55"/>
        <v>954.72196654545439</v>
      </c>
      <c r="I596" s="114" t="s">
        <v>1521</v>
      </c>
      <c r="J596" s="210">
        <f>VLOOKUP(I596,'Reajuste Atual'!$L$19:$M$25,2,FALSE)</f>
        <v>3.1053999999999999</v>
      </c>
      <c r="K596" s="190"/>
      <c r="L596" s="20">
        <v>5.71</v>
      </c>
      <c r="M596" s="765">
        <f t="shared" si="52"/>
        <v>4.0785714285714292</v>
      </c>
      <c r="N596" s="765">
        <f t="shared" si="51"/>
        <v>4.1527272727272724</v>
      </c>
      <c r="O596" s="765">
        <f t="shared" si="53"/>
        <v>4.1527272727272724</v>
      </c>
    </row>
    <row r="597" spans="1:15" s="98" customFormat="1" outlineLevel="1">
      <c r="A597" s="141" t="s">
        <v>3483</v>
      </c>
      <c r="B597" s="114" t="s">
        <v>848</v>
      </c>
      <c r="C597" s="100" t="s">
        <v>2262</v>
      </c>
      <c r="D597" s="99" t="s">
        <v>1480</v>
      </c>
      <c r="E597" s="20">
        <v>24</v>
      </c>
      <c r="F597" s="20">
        <f t="shared" si="50"/>
        <v>4.1527272727272724</v>
      </c>
      <c r="G597" s="19">
        <f t="shared" si="54"/>
        <v>99.665454545454537</v>
      </c>
      <c r="H597" s="19">
        <f t="shared" si="55"/>
        <v>409.16655709090901</v>
      </c>
      <c r="I597" s="114" t="s">
        <v>1521</v>
      </c>
      <c r="J597" s="210">
        <f>VLOOKUP(I597,'Reajuste Atual'!$L$19:$M$25,2,FALSE)</f>
        <v>3.1053999999999999</v>
      </c>
      <c r="K597" s="190"/>
      <c r="L597" s="20">
        <v>5.71</v>
      </c>
      <c r="M597" s="765">
        <f t="shared" si="52"/>
        <v>4.0785714285714292</v>
      </c>
      <c r="N597" s="765">
        <f t="shared" si="51"/>
        <v>4.1527272727272724</v>
      </c>
      <c r="O597" s="765">
        <f t="shared" si="53"/>
        <v>4.1527272727272724</v>
      </c>
    </row>
    <row r="598" spans="1:15" s="98" customFormat="1" outlineLevel="1">
      <c r="A598" s="141" t="s">
        <v>3483</v>
      </c>
      <c r="B598" s="114" t="s">
        <v>849</v>
      </c>
      <c r="C598" s="100" t="s">
        <v>2263</v>
      </c>
      <c r="D598" s="99" t="s">
        <v>1480</v>
      </c>
      <c r="E598" s="20">
        <v>120</v>
      </c>
      <c r="F598" s="20">
        <f t="shared" si="50"/>
        <v>4.1527272727272724</v>
      </c>
      <c r="G598" s="19">
        <f t="shared" si="54"/>
        <v>498.32727272727266</v>
      </c>
      <c r="H598" s="19">
        <f t="shared" si="55"/>
        <v>2045.8327854545448</v>
      </c>
      <c r="I598" s="114" t="s">
        <v>1521</v>
      </c>
      <c r="J598" s="210">
        <f>VLOOKUP(I598,'Reajuste Atual'!$L$19:$M$25,2,FALSE)</f>
        <v>3.1053999999999999</v>
      </c>
      <c r="K598" s="190"/>
      <c r="L598" s="20">
        <v>5.71</v>
      </c>
      <c r="M598" s="765">
        <f t="shared" si="52"/>
        <v>4.0785714285714292</v>
      </c>
      <c r="N598" s="765">
        <f t="shared" si="51"/>
        <v>4.1527272727272724</v>
      </c>
      <c r="O598" s="765">
        <f t="shared" si="53"/>
        <v>4.1527272727272724</v>
      </c>
    </row>
    <row r="599" spans="1:15" s="98" customFormat="1" outlineLevel="1">
      <c r="A599" s="141" t="s">
        <v>3483</v>
      </c>
      <c r="B599" s="114" t="s">
        <v>850</v>
      </c>
      <c r="C599" s="100" t="s">
        <v>2264</v>
      </c>
      <c r="D599" s="99" t="s">
        <v>1480</v>
      </c>
      <c r="E599" s="20">
        <v>72</v>
      </c>
      <c r="F599" s="20">
        <f t="shared" si="50"/>
        <v>4.1527272727272724</v>
      </c>
      <c r="G599" s="19">
        <f t="shared" si="54"/>
        <v>298.99636363636364</v>
      </c>
      <c r="H599" s="19">
        <f t="shared" si="55"/>
        <v>1227.499671272727</v>
      </c>
      <c r="I599" s="114" t="s">
        <v>1521</v>
      </c>
      <c r="J599" s="210">
        <f>VLOOKUP(I599,'Reajuste Atual'!$L$19:$M$25,2,FALSE)</f>
        <v>3.1053999999999999</v>
      </c>
      <c r="K599" s="190"/>
      <c r="L599" s="20">
        <v>5.71</v>
      </c>
      <c r="M599" s="765">
        <f t="shared" si="52"/>
        <v>4.0785714285714292</v>
      </c>
      <c r="N599" s="765">
        <f t="shared" si="51"/>
        <v>4.1527272727272724</v>
      </c>
      <c r="O599" s="765">
        <f t="shared" si="53"/>
        <v>4.1527272727272724</v>
      </c>
    </row>
    <row r="600" spans="1:15" s="98" customFormat="1" outlineLevel="1">
      <c r="A600" s="141" t="s">
        <v>3483</v>
      </c>
      <c r="B600" s="114" t="s">
        <v>851</v>
      </c>
      <c r="C600" s="100" t="s">
        <v>2265</v>
      </c>
      <c r="D600" s="99" t="s">
        <v>1480</v>
      </c>
      <c r="E600" s="20">
        <v>160</v>
      </c>
      <c r="F600" s="20">
        <f t="shared" si="50"/>
        <v>4.1527272727272724</v>
      </c>
      <c r="G600" s="19">
        <f t="shared" si="54"/>
        <v>664.43636363636358</v>
      </c>
      <c r="H600" s="19">
        <f t="shared" si="55"/>
        <v>2727.7770472727266</v>
      </c>
      <c r="I600" s="114" t="s">
        <v>1521</v>
      </c>
      <c r="J600" s="210">
        <f>VLOOKUP(I600,'Reajuste Atual'!$L$19:$M$25,2,FALSE)</f>
        <v>3.1053999999999999</v>
      </c>
      <c r="K600" s="190"/>
      <c r="L600" s="20">
        <v>5.71</v>
      </c>
      <c r="M600" s="765">
        <f t="shared" si="52"/>
        <v>4.0785714285714292</v>
      </c>
      <c r="N600" s="765">
        <f t="shared" si="51"/>
        <v>4.1527272727272724</v>
      </c>
      <c r="O600" s="765">
        <f t="shared" si="53"/>
        <v>4.1527272727272724</v>
      </c>
    </row>
    <row r="601" spans="1:15" s="98" customFormat="1" outlineLevel="1">
      <c r="A601" s="141" t="s">
        <v>3483</v>
      </c>
      <c r="B601" s="114" t="s">
        <v>852</v>
      </c>
      <c r="C601" s="100" t="s">
        <v>2204</v>
      </c>
      <c r="D601" s="99" t="s">
        <v>1480</v>
      </c>
      <c r="E601" s="20">
        <v>4</v>
      </c>
      <c r="F601" s="20">
        <f t="shared" si="50"/>
        <v>16.618181818181821</v>
      </c>
      <c r="G601" s="19">
        <f t="shared" si="54"/>
        <v>66.472727272727283</v>
      </c>
      <c r="H601" s="19">
        <f t="shared" si="55"/>
        <v>272.89713454545455</v>
      </c>
      <c r="I601" s="114" t="s">
        <v>1521</v>
      </c>
      <c r="J601" s="210">
        <f>VLOOKUP(I601,'Reajuste Atual'!$L$19:$M$25,2,FALSE)</f>
        <v>3.1053999999999999</v>
      </c>
      <c r="K601" s="190"/>
      <c r="L601" s="20">
        <v>22.85</v>
      </c>
      <c r="M601" s="765">
        <f t="shared" si="52"/>
        <v>16.321428571428573</v>
      </c>
      <c r="N601" s="765">
        <f t="shared" si="51"/>
        <v>16.618181818181821</v>
      </c>
      <c r="O601" s="765">
        <f t="shared" si="53"/>
        <v>16.618181818181821</v>
      </c>
    </row>
    <row r="602" spans="1:15" s="98" customFormat="1" outlineLevel="1">
      <c r="A602" s="141" t="s">
        <v>3483</v>
      </c>
      <c r="B602" s="114" t="s">
        <v>853</v>
      </c>
      <c r="C602" s="100" t="s">
        <v>2205</v>
      </c>
      <c r="D602" s="99" t="s">
        <v>1480</v>
      </c>
      <c r="E602" s="20">
        <v>8</v>
      </c>
      <c r="F602" s="20">
        <f t="shared" ref="F602:F665" si="56">O602</f>
        <v>16.618181818181821</v>
      </c>
      <c r="G602" s="19">
        <f t="shared" si="54"/>
        <v>132.94545454545457</v>
      </c>
      <c r="H602" s="19">
        <f t="shared" si="55"/>
        <v>545.7942690909091</v>
      </c>
      <c r="I602" s="114" t="s">
        <v>1521</v>
      </c>
      <c r="J602" s="210">
        <f>VLOOKUP(I602,'Reajuste Atual'!$L$19:$M$25,2,FALSE)</f>
        <v>3.1053999999999999</v>
      </c>
      <c r="K602" s="190"/>
      <c r="L602" s="20">
        <v>22.85</v>
      </c>
      <c r="M602" s="765">
        <f t="shared" si="52"/>
        <v>16.321428571428573</v>
      </c>
      <c r="N602" s="765">
        <f t="shared" ref="N602:N665" si="57">L602/($N$23+1)</f>
        <v>16.618181818181821</v>
      </c>
      <c r="O602" s="765">
        <f t="shared" si="53"/>
        <v>16.618181818181821</v>
      </c>
    </row>
    <row r="603" spans="1:15" s="98" customFormat="1" outlineLevel="1">
      <c r="A603" s="141" t="s">
        <v>3483</v>
      </c>
      <c r="B603" s="114" t="s">
        <v>854</v>
      </c>
      <c r="C603" s="100" t="s">
        <v>2206</v>
      </c>
      <c r="D603" s="99" t="s">
        <v>1480</v>
      </c>
      <c r="E603" s="20">
        <v>32</v>
      </c>
      <c r="F603" s="20">
        <f t="shared" si="56"/>
        <v>16.618181818181821</v>
      </c>
      <c r="G603" s="19">
        <f t="shared" si="54"/>
        <v>531.78181818181827</v>
      </c>
      <c r="H603" s="19">
        <f t="shared" si="55"/>
        <v>2183.1770763636364</v>
      </c>
      <c r="I603" s="114" t="s">
        <v>1521</v>
      </c>
      <c r="J603" s="210">
        <f>VLOOKUP(I603,'Reajuste Atual'!$L$19:$M$25,2,FALSE)</f>
        <v>3.1053999999999999</v>
      </c>
      <c r="K603" s="190"/>
      <c r="L603" s="20">
        <v>22.85</v>
      </c>
      <c r="M603" s="765">
        <f t="shared" ref="M603:M666" si="58">L603/($M$23+1)</f>
        <v>16.321428571428573</v>
      </c>
      <c r="N603" s="765">
        <f t="shared" si="57"/>
        <v>16.618181818181821</v>
      </c>
      <c r="O603" s="765">
        <f t="shared" si="53"/>
        <v>16.618181818181821</v>
      </c>
    </row>
    <row r="604" spans="1:15" s="98" customFormat="1" outlineLevel="1">
      <c r="A604" s="141" t="s">
        <v>3483</v>
      </c>
      <c r="B604" s="114" t="s">
        <v>855</v>
      </c>
      <c r="C604" s="100" t="s">
        <v>2207</v>
      </c>
      <c r="D604" s="99" t="s">
        <v>1480</v>
      </c>
      <c r="E604" s="20">
        <v>8</v>
      </c>
      <c r="F604" s="20">
        <f t="shared" si="56"/>
        <v>16.618181818181821</v>
      </c>
      <c r="G604" s="19">
        <f t="shared" si="54"/>
        <v>132.94545454545457</v>
      </c>
      <c r="H604" s="19">
        <f t="shared" si="55"/>
        <v>545.7942690909091</v>
      </c>
      <c r="I604" s="114" t="s">
        <v>1521</v>
      </c>
      <c r="J604" s="210">
        <f>VLOOKUP(I604,'Reajuste Atual'!$L$19:$M$25,2,FALSE)</f>
        <v>3.1053999999999999</v>
      </c>
      <c r="K604" s="190"/>
      <c r="L604" s="20">
        <v>22.85</v>
      </c>
      <c r="M604" s="765">
        <f t="shared" si="58"/>
        <v>16.321428571428573</v>
      </c>
      <c r="N604" s="765">
        <f t="shared" si="57"/>
        <v>16.618181818181821</v>
      </c>
      <c r="O604" s="765">
        <f t="shared" ref="O604:O667" si="59">IF(A604="S",M604,N604)</f>
        <v>16.618181818181821</v>
      </c>
    </row>
    <row r="605" spans="1:15" s="98" customFormat="1" outlineLevel="1">
      <c r="A605" s="141" t="s">
        <v>3483</v>
      </c>
      <c r="B605" s="114" t="s">
        <v>856</v>
      </c>
      <c r="C605" s="100" t="s">
        <v>2266</v>
      </c>
      <c r="D605" s="99" t="s">
        <v>1480</v>
      </c>
      <c r="E605" s="20">
        <v>8</v>
      </c>
      <c r="F605" s="20">
        <f t="shared" si="56"/>
        <v>16.618181818181821</v>
      </c>
      <c r="G605" s="19">
        <f t="shared" si="54"/>
        <v>132.94545454545457</v>
      </c>
      <c r="H605" s="19">
        <f t="shared" si="55"/>
        <v>545.7942690909091</v>
      </c>
      <c r="I605" s="114" t="s">
        <v>1521</v>
      </c>
      <c r="J605" s="210">
        <f>VLOOKUP(I605,'Reajuste Atual'!$L$19:$M$25,2,FALSE)</f>
        <v>3.1053999999999999</v>
      </c>
      <c r="K605" s="190"/>
      <c r="L605" s="20">
        <v>22.85</v>
      </c>
      <c r="M605" s="765">
        <f t="shared" si="58"/>
        <v>16.321428571428573</v>
      </c>
      <c r="N605" s="765">
        <f t="shared" si="57"/>
        <v>16.618181818181821</v>
      </c>
      <c r="O605" s="765">
        <f t="shared" si="59"/>
        <v>16.618181818181821</v>
      </c>
    </row>
    <row r="606" spans="1:15" s="98" customFormat="1" outlineLevel="1">
      <c r="A606" s="141" t="s">
        <v>3483</v>
      </c>
      <c r="B606" s="114" t="s">
        <v>857</v>
      </c>
      <c r="C606" s="100" t="s">
        <v>2267</v>
      </c>
      <c r="D606" s="99" t="s">
        <v>1480</v>
      </c>
      <c r="E606" s="20">
        <v>16</v>
      </c>
      <c r="F606" s="20">
        <f t="shared" si="56"/>
        <v>16.618181818181821</v>
      </c>
      <c r="G606" s="19">
        <f t="shared" si="54"/>
        <v>265.89090909090913</v>
      </c>
      <c r="H606" s="19">
        <f t="shared" si="55"/>
        <v>1091.5885381818182</v>
      </c>
      <c r="I606" s="114" t="s">
        <v>1521</v>
      </c>
      <c r="J606" s="210">
        <f>VLOOKUP(I606,'Reajuste Atual'!$L$19:$M$25,2,FALSE)</f>
        <v>3.1053999999999999</v>
      </c>
      <c r="K606" s="190"/>
      <c r="L606" s="20">
        <v>22.85</v>
      </c>
      <c r="M606" s="765">
        <f t="shared" si="58"/>
        <v>16.321428571428573</v>
      </c>
      <c r="N606" s="765">
        <f t="shared" si="57"/>
        <v>16.618181818181821</v>
      </c>
      <c r="O606" s="765">
        <f t="shared" si="59"/>
        <v>16.618181818181821</v>
      </c>
    </row>
    <row r="607" spans="1:15" s="98" customFormat="1" outlineLevel="1">
      <c r="A607" s="141" t="s">
        <v>3483</v>
      </c>
      <c r="B607" s="114" t="s">
        <v>858</v>
      </c>
      <c r="C607" s="100" t="s">
        <v>2268</v>
      </c>
      <c r="D607" s="99" t="s">
        <v>1480</v>
      </c>
      <c r="E607" s="20">
        <v>4</v>
      </c>
      <c r="F607" s="20">
        <f t="shared" si="56"/>
        <v>16.618181818181821</v>
      </c>
      <c r="G607" s="19">
        <f t="shared" si="54"/>
        <v>66.472727272727283</v>
      </c>
      <c r="H607" s="19">
        <f t="shared" si="55"/>
        <v>272.89713454545455</v>
      </c>
      <c r="I607" s="114" t="s">
        <v>1521</v>
      </c>
      <c r="J607" s="210">
        <f>VLOOKUP(I607,'Reajuste Atual'!$L$19:$M$25,2,FALSE)</f>
        <v>3.1053999999999999</v>
      </c>
      <c r="K607" s="190"/>
      <c r="L607" s="20">
        <v>22.85</v>
      </c>
      <c r="M607" s="765">
        <f t="shared" si="58"/>
        <v>16.321428571428573</v>
      </c>
      <c r="N607" s="765">
        <f t="shared" si="57"/>
        <v>16.618181818181821</v>
      </c>
      <c r="O607" s="765">
        <f t="shared" si="59"/>
        <v>16.618181818181821</v>
      </c>
    </row>
    <row r="608" spans="1:15" s="98" customFormat="1" outlineLevel="1">
      <c r="A608" s="141" t="s">
        <v>3483</v>
      </c>
      <c r="B608" s="114" t="s">
        <v>859</v>
      </c>
      <c r="C608" s="100" t="s">
        <v>2269</v>
      </c>
      <c r="D608" s="99" t="s">
        <v>1480</v>
      </c>
      <c r="E608" s="20">
        <v>4</v>
      </c>
      <c r="F608" s="20">
        <f t="shared" si="56"/>
        <v>16.618181818181821</v>
      </c>
      <c r="G608" s="19">
        <f t="shared" si="54"/>
        <v>66.472727272727283</v>
      </c>
      <c r="H608" s="19">
        <f t="shared" si="55"/>
        <v>272.89713454545455</v>
      </c>
      <c r="I608" s="114" t="s">
        <v>1521</v>
      </c>
      <c r="J608" s="210">
        <f>VLOOKUP(I608,'Reajuste Atual'!$L$19:$M$25,2,FALSE)</f>
        <v>3.1053999999999999</v>
      </c>
      <c r="K608" s="190"/>
      <c r="L608" s="20">
        <v>22.85</v>
      </c>
      <c r="M608" s="765">
        <f t="shared" si="58"/>
        <v>16.321428571428573</v>
      </c>
      <c r="N608" s="765">
        <f t="shared" si="57"/>
        <v>16.618181818181821</v>
      </c>
      <c r="O608" s="765">
        <f t="shared" si="59"/>
        <v>16.618181818181821</v>
      </c>
    </row>
    <row r="609" spans="1:15" s="98" customFormat="1" outlineLevel="1">
      <c r="A609" s="141" t="s">
        <v>3483</v>
      </c>
      <c r="B609" s="114" t="s">
        <v>860</v>
      </c>
      <c r="C609" s="100" t="s">
        <v>2270</v>
      </c>
      <c r="D609" s="99" t="s">
        <v>1480</v>
      </c>
      <c r="E609" s="20">
        <v>28</v>
      </c>
      <c r="F609" s="20">
        <f t="shared" si="56"/>
        <v>32.538181818181819</v>
      </c>
      <c r="G609" s="19">
        <f t="shared" si="54"/>
        <v>911.06909090909096</v>
      </c>
      <c r="H609" s="19">
        <f t="shared" si="55"/>
        <v>3740.3030458181815</v>
      </c>
      <c r="I609" s="114" t="s">
        <v>1521</v>
      </c>
      <c r="J609" s="210">
        <f>VLOOKUP(I609,'Reajuste Atual'!$L$19:$M$25,2,FALSE)</f>
        <v>3.1053999999999999</v>
      </c>
      <c r="K609" s="190"/>
      <c r="L609" s="20">
        <v>44.74</v>
      </c>
      <c r="M609" s="765">
        <f t="shared" si="58"/>
        <v>31.957142857142859</v>
      </c>
      <c r="N609" s="765">
        <f t="shared" si="57"/>
        <v>32.538181818181819</v>
      </c>
      <c r="O609" s="765">
        <f t="shared" si="59"/>
        <v>32.538181818181819</v>
      </c>
    </row>
    <row r="610" spans="1:15" s="98" customFormat="1" outlineLevel="1">
      <c r="A610" s="141" t="s">
        <v>3483</v>
      </c>
      <c r="B610" s="114" t="s">
        <v>861</v>
      </c>
      <c r="C610" s="100" t="s">
        <v>2271</v>
      </c>
      <c r="D610" s="99" t="s">
        <v>1480</v>
      </c>
      <c r="E610" s="20">
        <v>28</v>
      </c>
      <c r="F610" s="20">
        <f t="shared" si="56"/>
        <v>30.88</v>
      </c>
      <c r="G610" s="19">
        <f t="shared" si="54"/>
        <v>864.64</v>
      </c>
      <c r="H610" s="19">
        <f t="shared" si="55"/>
        <v>3549.6930559999996</v>
      </c>
      <c r="I610" s="114" t="s">
        <v>1521</v>
      </c>
      <c r="J610" s="210">
        <f>VLOOKUP(I610,'Reajuste Atual'!$L$19:$M$25,2,FALSE)</f>
        <v>3.1053999999999999</v>
      </c>
      <c r="K610" s="190"/>
      <c r="L610" s="20">
        <v>42.46</v>
      </c>
      <c r="M610" s="765">
        <f t="shared" si="58"/>
        <v>30.328571428571433</v>
      </c>
      <c r="N610" s="765">
        <f t="shared" si="57"/>
        <v>30.88</v>
      </c>
      <c r="O610" s="765">
        <f t="shared" si="59"/>
        <v>30.88</v>
      </c>
    </row>
    <row r="611" spans="1:15" s="98" customFormat="1" ht="31.5" outlineLevel="1">
      <c r="A611" s="141" t="s">
        <v>3483</v>
      </c>
      <c r="B611" s="114" t="s">
        <v>862</v>
      </c>
      <c r="C611" s="100" t="s">
        <v>2272</v>
      </c>
      <c r="D611" s="99" t="s">
        <v>1480</v>
      </c>
      <c r="E611" s="20">
        <v>4</v>
      </c>
      <c r="F611" s="20">
        <f t="shared" si="56"/>
        <v>21.323636363636364</v>
      </c>
      <c r="G611" s="19">
        <f t="shared" si="54"/>
        <v>85.294545454545457</v>
      </c>
      <c r="H611" s="19">
        <f t="shared" si="55"/>
        <v>350.16822690909089</v>
      </c>
      <c r="I611" s="114" t="s">
        <v>1521</v>
      </c>
      <c r="J611" s="210">
        <f>VLOOKUP(I611,'Reajuste Atual'!$L$19:$M$25,2,FALSE)</f>
        <v>3.1053999999999999</v>
      </c>
      <c r="K611" s="190"/>
      <c r="L611" s="20">
        <v>29.32</v>
      </c>
      <c r="M611" s="765">
        <f t="shared" si="58"/>
        <v>20.942857142857143</v>
      </c>
      <c r="N611" s="765">
        <f t="shared" si="57"/>
        <v>21.323636363636364</v>
      </c>
      <c r="O611" s="765">
        <f t="shared" si="59"/>
        <v>21.323636363636364</v>
      </c>
    </row>
    <row r="612" spans="1:15" s="98" customFormat="1" outlineLevel="1">
      <c r="A612" s="141" t="s">
        <v>3483</v>
      </c>
      <c r="B612" s="114" t="s">
        <v>863</v>
      </c>
      <c r="C612" s="100" t="s">
        <v>2273</v>
      </c>
      <c r="D612" s="99" t="s">
        <v>1480</v>
      </c>
      <c r="E612" s="20">
        <v>4</v>
      </c>
      <c r="F612" s="20">
        <f t="shared" si="56"/>
        <v>16.34181818181818</v>
      </c>
      <c r="G612" s="19">
        <f t="shared" si="54"/>
        <v>65.36727272727272</v>
      </c>
      <c r="H612" s="19">
        <f t="shared" si="55"/>
        <v>268.35880145454541</v>
      </c>
      <c r="I612" s="114" t="s">
        <v>1521</v>
      </c>
      <c r="J612" s="210">
        <f>VLOOKUP(I612,'Reajuste Atual'!$L$19:$M$25,2,FALSE)</f>
        <v>3.1053999999999999</v>
      </c>
      <c r="K612" s="190"/>
      <c r="L612" s="20">
        <v>22.47</v>
      </c>
      <c r="M612" s="765">
        <f t="shared" si="58"/>
        <v>16.05</v>
      </c>
      <c r="N612" s="765">
        <f t="shared" si="57"/>
        <v>16.34181818181818</v>
      </c>
      <c r="O612" s="765">
        <f t="shared" si="59"/>
        <v>16.34181818181818</v>
      </c>
    </row>
    <row r="613" spans="1:15" s="98" customFormat="1" ht="31.5" outlineLevel="1">
      <c r="A613" s="141" t="s">
        <v>3483</v>
      </c>
      <c r="B613" s="114" t="s">
        <v>864</v>
      </c>
      <c r="C613" s="100" t="s">
        <v>2274</v>
      </c>
      <c r="D613" s="99" t="s">
        <v>1480</v>
      </c>
      <c r="E613" s="20">
        <v>8</v>
      </c>
      <c r="F613" s="20">
        <f t="shared" si="56"/>
        <v>216.00727272727272</v>
      </c>
      <c r="G613" s="19">
        <f t="shared" si="54"/>
        <v>1728.0581818181818</v>
      </c>
      <c r="H613" s="19">
        <f t="shared" si="55"/>
        <v>7094.3700596363624</v>
      </c>
      <c r="I613" s="114" t="s">
        <v>1521</v>
      </c>
      <c r="J613" s="210">
        <f>VLOOKUP(I613,'Reajuste Atual'!$L$19:$M$25,2,FALSE)</f>
        <v>3.1053999999999999</v>
      </c>
      <c r="K613" s="190"/>
      <c r="L613" s="20">
        <v>297.01</v>
      </c>
      <c r="M613" s="765">
        <f t="shared" si="58"/>
        <v>212.15</v>
      </c>
      <c r="N613" s="765">
        <f t="shared" si="57"/>
        <v>216.00727272727272</v>
      </c>
      <c r="O613" s="765">
        <f t="shared" si="59"/>
        <v>216.00727272727272</v>
      </c>
    </row>
    <row r="614" spans="1:15" s="98" customFormat="1" ht="31.5" outlineLevel="1">
      <c r="A614" s="141" t="s">
        <v>3483</v>
      </c>
      <c r="B614" s="114" t="s">
        <v>865</v>
      </c>
      <c r="C614" s="100" t="s">
        <v>2275</v>
      </c>
      <c r="D614" s="99" t="s">
        <v>1480</v>
      </c>
      <c r="E614" s="20">
        <v>4</v>
      </c>
      <c r="F614" s="20">
        <f t="shared" si="56"/>
        <v>216.00727272727272</v>
      </c>
      <c r="G614" s="19">
        <f t="shared" si="54"/>
        <v>864.02909090909088</v>
      </c>
      <c r="H614" s="19">
        <f t="shared" si="55"/>
        <v>3547.1850298181812</v>
      </c>
      <c r="I614" s="114" t="s">
        <v>1521</v>
      </c>
      <c r="J614" s="210">
        <f>VLOOKUP(I614,'Reajuste Atual'!$L$19:$M$25,2,FALSE)</f>
        <v>3.1053999999999999</v>
      </c>
      <c r="K614" s="190"/>
      <c r="L614" s="20">
        <v>297.01</v>
      </c>
      <c r="M614" s="765">
        <f t="shared" si="58"/>
        <v>212.15</v>
      </c>
      <c r="N614" s="765">
        <f t="shared" si="57"/>
        <v>216.00727272727272</v>
      </c>
      <c r="O614" s="765">
        <f t="shared" si="59"/>
        <v>216.00727272727272</v>
      </c>
    </row>
    <row r="615" spans="1:15" s="98" customFormat="1" ht="31.5" outlineLevel="1">
      <c r="A615" s="141" t="s">
        <v>3483</v>
      </c>
      <c r="B615" s="114" t="s">
        <v>866</v>
      </c>
      <c r="C615" s="100" t="s">
        <v>2275</v>
      </c>
      <c r="D615" s="99" t="s">
        <v>1480</v>
      </c>
      <c r="E615" s="20">
        <v>4</v>
      </c>
      <c r="F615" s="20">
        <f t="shared" si="56"/>
        <v>216.00727272727272</v>
      </c>
      <c r="G615" s="19">
        <f t="shared" si="54"/>
        <v>864.02909090909088</v>
      </c>
      <c r="H615" s="19">
        <f t="shared" si="55"/>
        <v>3547.1850298181812</v>
      </c>
      <c r="I615" s="114" t="s">
        <v>1521</v>
      </c>
      <c r="J615" s="210">
        <f>VLOOKUP(I615,'Reajuste Atual'!$L$19:$M$25,2,FALSE)</f>
        <v>3.1053999999999999</v>
      </c>
      <c r="K615" s="190"/>
      <c r="L615" s="20">
        <v>297.01</v>
      </c>
      <c r="M615" s="765">
        <f t="shared" si="58"/>
        <v>212.15</v>
      </c>
      <c r="N615" s="765">
        <f t="shared" si="57"/>
        <v>216.00727272727272</v>
      </c>
      <c r="O615" s="765">
        <f t="shared" si="59"/>
        <v>216.00727272727272</v>
      </c>
    </row>
    <row r="616" spans="1:15" s="98" customFormat="1" ht="31.5" outlineLevel="1">
      <c r="A616" s="141" t="s">
        <v>3483</v>
      </c>
      <c r="B616" s="114" t="s">
        <v>867</v>
      </c>
      <c r="C616" s="100" t="s">
        <v>2276</v>
      </c>
      <c r="D616" s="99" t="s">
        <v>1480</v>
      </c>
      <c r="E616" s="20">
        <v>4</v>
      </c>
      <c r="F616" s="20">
        <f t="shared" si="56"/>
        <v>232.63272727272727</v>
      </c>
      <c r="G616" s="19">
        <f t="shared" si="54"/>
        <v>930.53090909090906</v>
      </c>
      <c r="H616" s="19">
        <f t="shared" si="55"/>
        <v>3820.2015941818177</v>
      </c>
      <c r="I616" s="114" t="s">
        <v>1521</v>
      </c>
      <c r="J616" s="210">
        <f>VLOOKUP(I616,'Reajuste Atual'!$L$19:$M$25,2,FALSE)</f>
        <v>3.1053999999999999</v>
      </c>
      <c r="K616" s="190"/>
      <c r="L616" s="20">
        <v>319.87</v>
      </c>
      <c r="M616" s="765">
        <f t="shared" si="58"/>
        <v>228.47857142857146</v>
      </c>
      <c r="N616" s="765">
        <f t="shared" si="57"/>
        <v>232.63272727272727</v>
      </c>
      <c r="O616" s="765">
        <f t="shared" si="59"/>
        <v>232.63272727272727</v>
      </c>
    </row>
    <row r="617" spans="1:15" s="98" customFormat="1" ht="31.5" outlineLevel="1">
      <c r="A617" s="141" t="s">
        <v>3483</v>
      </c>
      <c r="B617" s="114" t="s">
        <v>868</v>
      </c>
      <c r="C617" s="100" t="s">
        <v>2277</v>
      </c>
      <c r="D617" s="99" t="s">
        <v>1480</v>
      </c>
      <c r="E617" s="20">
        <v>8</v>
      </c>
      <c r="F617" s="20">
        <f t="shared" si="56"/>
        <v>232.63272727272727</v>
      </c>
      <c r="G617" s="19">
        <f t="shared" si="54"/>
        <v>1861.0618181818181</v>
      </c>
      <c r="H617" s="19">
        <f t="shared" si="55"/>
        <v>7640.4031883636353</v>
      </c>
      <c r="I617" s="114" t="s">
        <v>1521</v>
      </c>
      <c r="J617" s="210">
        <f>VLOOKUP(I617,'Reajuste Atual'!$L$19:$M$25,2,FALSE)</f>
        <v>3.1053999999999999</v>
      </c>
      <c r="K617" s="190"/>
      <c r="L617" s="20">
        <v>319.87</v>
      </c>
      <c r="M617" s="765">
        <f t="shared" si="58"/>
        <v>228.47857142857146</v>
      </c>
      <c r="N617" s="765">
        <f t="shared" si="57"/>
        <v>232.63272727272727</v>
      </c>
      <c r="O617" s="765">
        <f t="shared" si="59"/>
        <v>232.63272727272727</v>
      </c>
    </row>
    <row r="618" spans="1:15" s="98" customFormat="1" ht="31.5" outlineLevel="1">
      <c r="A618" s="141" t="s">
        <v>3483</v>
      </c>
      <c r="B618" s="114" t="s">
        <v>869</v>
      </c>
      <c r="C618" s="100" t="s">
        <v>2278</v>
      </c>
      <c r="D618" s="99" t="s">
        <v>1472</v>
      </c>
      <c r="E618" s="20">
        <v>4680</v>
      </c>
      <c r="F618" s="20">
        <f t="shared" si="56"/>
        <v>65.083636363636359</v>
      </c>
      <c r="G618" s="19">
        <f t="shared" si="54"/>
        <v>304591.41818181815</v>
      </c>
      <c r="H618" s="19">
        <f t="shared" si="55"/>
        <v>1250469.608203636</v>
      </c>
      <c r="I618" s="114" t="s">
        <v>1521</v>
      </c>
      <c r="J618" s="210">
        <f>VLOOKUP(I618,'Reajuste Atual'!$L$19:$M$25,2,FALSE)</f>
        <v>3.1053999999999999</v>
      </c>
      <c r="K618" s="190"/>
      <c r="L618" s="20">
        <v>89.49</v>
      </c>
      <c r="M618" s="765">
        <f t="shared" si="58"/>
        <v>63.921428571428571</v>
      </c>
      <c r="N618" s="765">
        <f t="shared" si="57"/>
        <v>65.083636363636359</v>
      </c>
      <c r="O618" s="765">
        <f t="shared" si="59"/>
        <v>65.083636363636359</v>
      </c>
    </row>
    <row r="619" spans="1:15" s="98" customFormat="1" ht="31.5" outlineLevel="1">
      <c r="A619" s="141" t="s">
        <v>3483</v>
      </c>
      <c r="B619" s="114" t="s">
        <v>870</v>
      </c>
      <c r="C619" s="100" t="s">
        <v>2279</v>
      </c>
      <c r="D619" s="99" t="s">
        <v>1472</v>
      </c>
      <c r="E619" s="20">
        <v>700</v>
      </c>
      <c r="F619" s="20">
        <f t="shared" si="56"/>
        <v>43.75272727272727</v>
      </c>
      <c r="G619" s="19">
        <f t="shared" si="54"/>
        <v>30626.909090909088</v>
      </c>
      <c r="H619" s="19">
        <f t="shared" si="55"/>
        <v>125735.71258181815</v>
      </c>
      <c r="I619" s="114" t="s">
        <v>1521</v>
      </c>
      <c r="J619" s="210">
        <f>VLOOKUP(I619,'Reajuste Atual'!$L$19:$M$25,2,FALSE)</f>
        <v>3.1053999999999999</v>
      </c>
      <c r="K619" s="190"/>
      <c r="L619" s="20">
        <v>60.16</v>
      </c>
      <c r="M619" s="765">
        <f t="shared" si="58"/>
        <v>42.971428571428575</v>
      </c>
      <c r="N619" s="765">
        <f t="shared" si="57"/>
        <v>43.75272727272727</v>
      </c>
      <c r="O619" s="765">
        <f t="shared" si="59"/>
        <v>43.75272727272727</v>
      </c>
    </row>
    <row r="620" spans="1:15" s="98" customFormat="1" ht="31.5" outlineLevel="1">
      <c r="A620" s="141" t="s">
        <v>3483</v>
      </c>
      <c r="B620" s="114" t="s">
        <v>871</v>
      </c>
      <c r="C620" s="100" t="s">
        <v>2280</v>
      </c>
      <c r="D620" s="99" t="s">
        <v>1472</v>
      </c>
      <c r="E620" s="20">
        <v>860</v>
      </c>
      <c r="F620" s="20">
        <f t="shared" si="56"/>
        <v>25.75272727272727</v>
      </c>
      <c r="G620" s="19">
        <f t="shared" si="54"/>
        <v>22147.345454545452</v>
      </c>
      <c r="H620" s="19">
        <f t="shared" si="55"/>
        <v>90923.712029090879</v>
      </c>
      <c r="I620" s="114" t="s">
        <v>1521</v>
      </c>
      <c r="J620" s="210">
        <f>VLOOKUP(I620,'Reajuste Atual'!$L$19:$M$25,2,FALSE)</f>
        <v>3.1053999999999999</v>
      </c>
      <c r="K620" s="190"/>
      <c r="L620" s="20">
        <v>35.409999999999997</v>
      </c>
      <c r="M620" s="765">
        <f t="shared" si="58"/>
        <v>25.292857142857141</v>
      </c>
      <c r="N620" s="765">
        <f t="shared" si="57"/>
        <v>25.75272727272727</v>
      </c>
      <c r="O620" s="765">
        <f t="shared" si="59"/>
        <v>25.75272727272727</v>
      </c>
    </row>
    <row r="621" spans="1:15" s="98" customFormat="1" ht="31.5" outlineLevel="1">
      <c r="A621" s="141" t="s">
        <v>3483</v>
      </c>
      <c r="B621" s="114" t="s">
        <v>872</v>
      </c>
      <c r="C621" s="100" t="s">
        <v>2281</v>
      </c>
      <c r="D621" s="99" t="s">
        <v>1472</v>
      </c>
      <c r="E621" s="20">
        <v>180</v>
      </c>
      <c r="F621" s="20">
        <f t="shared" si="56"/>
        <v>6.5090909090909088</v>
      </c>
      <c r="G621" s="19">
        <f t="shared" si="54"/>
        <v>1171.6363636363635</v>
      </c>
      <c r="H621" s="19">
        <f t="shared" si="55"/>
        <v>4810.0359272727264</v>
      </c>
      <c r="I621" s="114" t="s">
        <v>1521</v>
      </c>
      <c r="J621" s="210">
        <f>VLOOKUP(I621,'Reajuste Atual'!$L$19:$M$25,2,FALSE)</f>
        <v>3.1053999999999999</v>
      </c>
      <c r="K621" s="190"/>
      <c r="L621" s="20">
        <v>8.9499999999999993</v>
      </c>
      <c r="M621" s="765">
        <f t="shared" si="58"/>
        <v>6.3928571428571423</v>
      </c>
      <c r="N621" s="765">
        <f t="shared" si="57"/>
        <v>6.5090909090909088</v>
      </c>
      <c r="O621" s="765">
        <f t="shared" si="59"/>
        <v>6.5090909090909088</v>
      </c>
    </row>
    <row r="622" spans="1:15" s="98" customFormat="1" ht="31.5" outlineLevel="1">
      <c r="A622" s="141" t="s">
        <v>3483</v>
      </c>
      <c r="B622" s="114" t="s">
        <v>873</v>
      </c>
      <c r="C622" s="100" t="s">
        <v>2282</v>
      </c>
      <c r="D622" s="99" t="s">
        <v>1472</v>
      </c>
      <c r="E622" s="20">
        <v>2668</v>
      </c>
      <c r="F622" s="20">
        <f t="shared" si="56"/>
        <v>1.9709090909090909</v>
      </c>
      <c r="G622" s="19">
        <f t="shared" si="54"/>
        <v>5258.3854545454542</v>
      </c>
      <c r="H622" s="19">
        <f t="shared" si="55"/>
        <v>21587.775645090904</v>
      </c>
      <c r="I622" s="114" t="s">
        <v>1521</v>
      </c>
      <c r="J622" s="210">
        <f>VLOOKUP(I622,'Reajuste Atual'!$L$19:$M$25,2,FALSE)</f>
        <v>3.1053999999999999</v>
      </c>
      <c r="K622" s="190"/>
      <c r="L622" s="20">
        <v>2.71</v>
      </c>
      <c r="M622" s="765">
        <f t="shared" si="58"/>
        <v>1.9357142857142857</v>
      </c>
      <c r="N622" s="765">
        <f t="shared" si="57"/>
        <v>1.9709090909090909</v>
      </c>
      <c r="O622" s="765">
        <f t="shared" si="59"/>
        <v>1.9709090909090909</v>
      </c>
    </row>
    <row r="623" spans="1:15" s="98" customFormat="1" ht="31.5" outlineLevel="1">
      <c r="A623" s="141" t="s">
        <v>3483</v>
      </c>
      <c r="B623" s="114" t="s">
        <v>874</v>
      </c>
      <c r="C623" s="100" t="s">
        <v>2283</v>
      </c>
      <c r="D623" s="99" t="s">
        <v>1472</v>
      </c>
      <c r="E623" s="20">
        <v>3592</v>
      </c>
      <c r="F623" s="20">
        <f t="shared" si="56"/>
        <v>1.469090909090909</v>
      </c>
      <c r="G623" s="19">
        <f t="shared" si="54"/>
        <v>5276.9745454545455</v>
      </c>
      <c r="H623" s="19">
        <f t="shared" si="55"/>
        <v>21664.091298909087</v>
      </c>
      <c r="I623" s="114" t="s">
        <v>1521</v>
      </c>
      <c r="J623" s="210">
        <f>VLOOKUP(I623,'Reajuste Atual'!$L$19:$M$25,2,FALSE)</f>
        <v>3.1053999999999999</v>
      </c>
      <c r="K623" s="190"/>
      <c r="L623" s="20">
        <v>2.02</v>
      </c>
      <c r="M623" s="765">
        <f t="shared" si="58"/>
        <v>1.4428571428571431</v>
      </c>
      <c r="N623" s="765">
        <f t="shared" si="57"/>
        <v>1.469090909090909</v>
      </c>
      <c r="O623" s="765">
        <f t="shared" si="59"/>
        <v>1.469090909090909</v>
      </c>
    </row>
    <row r="624" spans="1:15" s="98" customFormat="1" ht="31.5" outlineLevel="1">
      <c r="A624" s="141" t="s">
        <v>3483</v>
      </c>
      <c r="B624" s="114" t="s">
        <v>875</v>
      </c>
      <c r="C624" s="100" t="s">
        <v>1615</v>
      </c>
      <c r="D624" s="99" t="s">
        <v>1472</v>
      </c>
      <c r="E624" s="20">
        <v>800</v>
      </c>
      <c r="F624" s="20">
        <f t="shared" si="56"/>
        <v>2.7636363636363637</v>
      </c>
      <c r="G624" s="19">
        <f t="shared" si="54"/>
        <v>2210.909090909091</v>
      </c>
      <c r="H624" s="19">
        <f t="shared" si="55"/>
        <v>9076.6661818181819</v>
      </c>
      <c r="I624" s="114" t="s">
        <v>1521</v>
      </c>
      <c r="J624" s="210">
        <f>VLOOKUP(I624,'Reajuste Atual'!$L$19:$M$25,2,FALSE)</f>
        <v>3.1053999999999999</v>
      </c>
      <c r="K624" s="190"/>
      <c r="L624" s="20">
        <v>3.8</v>
      </c>
      <c r="M624" s="765">
        <f t="shared" si="58"/>
        <v>2.7142857142857144</v>
      </c>
      <c r="N624" s="765">
        <f t="shared" si="57"/>
        <v>2.7636363636363637</v>
      </c>
      <c r="O624" s="765">
        <f t="shared" si="59"/>
        <v>2.7636363636363637</v>
      </c>
    </row>
    <row r="625" spans="1:15" s="98" customFormat="1" ht="31.5" outlineLevel="1">
      <c r="A625" s="141" t="s">
        <v>3483</v>
      </c>
      <c r="B625" s="114" t="s">
        <v>876</v>
      </c>
      <c r="C625" s="100" t="s">
        <v>1615</v>
      </c>
      <c r="D625" s="99" t="s">
        <v>1472</v>
      </c>
      <c r="E625" s="20">
        <v>1200</v>
      </c>
      <c r="F625" s="20">
        <f t="shared" si="56"/>
        <v>2.7636363636363637</v>
      </c>
      <c r="G625" s="19">
        <f t="shared" si="54"/>
        <v>3316.3636363636365</v>
      </c>
      <c r="H625" s="19">
        <f t="shared" si="55"/>
        <v>13614.999272727271</v>
      </c>
      <c r="I625" s="114" t="s">
        <v>1521</v>
      </c>
      <c r="J625" s="210">
        <f>VLOOKUP(I625,'Reajuste Atual'!$L$19:$M$25,2,FALSE)</f>
        <v>3.1053999999999999</v>
      </c>
      <c r="K625" s="190"/>
      <c r="L625" s="20">
        <v>3.8</v>
      </c>
      <c r="M625" s="765">
        <f t="shared" si="58"/>
        <v>2.7142857142857144</v>
      </c>
      <c r="N625" s="765">
        <f t="shared" si="57"/>
        <v>2.7636363636363637</v>
      </c>
      <c r="O625" s="765">
        <f t="shared" si="59"/>
        <v>2.7636363636363637</v>
      </c>
    </row>
    <row r="626" spans="1:15" s="98" customFormat="1" ht="31.5" outlineLevel="1">
      <c r="A626" s="141" t="s">
        <v>3483</v>
      </c>
      <c r="B626" s="114" t="s">
        <v>877</v>
      </c>
      <c r="C626" s="100" t="s">
        <v>2284</v>
      </c>
      <c r="D626" s="99" t="s">
        <v>1472</v>
      </c>
      <c r="E626" s="20">
        <v>920</v>
      </c>
      <c r="F626" s="20">
        <f t="shared" si="56"/>
        <v>3.352727272727273</v>
      </c>
      <c r="G626" s="19">
        <f t="shared" si="54"/>
        <v>3084.5090909090914</v>
      </c>
      <c r="H626" s="19">
        <f t="shared" si="55"/>
        <v>12663.143621818183</v>
      </c>
      <c r="I626" s="114" t="s">
        <v>1521</v>
      </c>
      <c r="J626" s="210">
        <f>VLOOKUP(I626,'Reajuste Atual'!$L$19:$M$25,2,FALSE)</f>
        <v>3.1053999999999999</v>
      </c>
      <c r="K626" s="190"/>
      <c r="L626" s="20">
        <v>4.6100000000000003</v>
      </c>
      <c r="M626" s="765">
        <f t="shared" si="58"/>
        <v>3.2928571428571431</v>
      </c>
      <c r="N626" s="765">
        <f t="shared" si="57"/>
        <v>3.352727272727273</v>
      </c>
      <c r="O626" s="765">
        <f t="shared" si="59"/>
        <v>3.352727272727273</v>
      </c>
    </row>
    <row r="627" spans="1:15" s="98" customFormat="1" ht="31.5" outlineLevel="1">
      <c r="A627" s="141" t="s">
        <v>3483</v>
      </c>
      <c r="B627" s="114" t="s">
        <v>878</v>
      </c>
      <c r="C627" s="100" t="s">
        <v>2285</v>
      </c>
      <c r="D627" s="99" t="s">
        <v>1472</v>
      </c>
      <c r="E627" s="20">
        <v>400</v>
      </c>
      <c r="F627" s="20">
        <f t="shared" si="56"/>
        <v>10.109090909090909</v>
      </c>
      <c r="G627" s="19">
        <f t="shared" si="54"/>
        <v>4043.636363636364</v>
      </c>
      <c r="H627" s="19">
        <f t="shared" si="55"/>
        <v>16600.744727272726</v>
      </c>
      <c r="I627" s="114" t="s">
        <v>1521</v>
      </c>
      <c r="J627" s="210">
        <f>VLOOKUP(I627,'Reajuste Atual'!$L$19:$M$25,2,FALSE)</f>
        <v>3.1053999999999999</v>
      </c>
      <c r="K627" s="190"/>
      <c r="L627" s="20">
        <v>13.9</v>
      </c>
      <c r="M627" s="765">
        <f t="shared" si="58"/>
        <v>9.9285714285714288</v>
      </c>
      <c r="N627" s="765">
        <f t="shared" si="57"/>
        <v>10.109090909090909</v>
      </c>
      <c r="O627" s="765">
        <f t="shared" si="59"/>
        <v>10.109090909090909</v>
      </c>
    </row>
    <row r="628" spans="1:15" s="98" customFormat="1" ht="31.5" outlineLevel="1">
      <c r="A628" s="141" t="s">
        <v>3483</v>
      </c>
      <c r="B628" s="114" t="s">
        <v>879</v>
      </c>
      <c r="C628" s="100" t="s">
        <v>2286</v>
      </c>
      <c r="D628" s="99" t="s">
        <v>1472</v>
      </c>
      <c r="E628" s="20">
        <v>100</v>
      </c>
      <c r="F628" s="20">
        <f t="shared" si="56"/>
        <v>5.3963636363636365</v>
      </c>
      <c r="G628" s="19">
        <f t="shared" si="54"/>
        <v>539.63636363636363</v>
      </c>
      <c r="H628" s="19">
        <f t="shared" si="55"/>
        <v>2215.423127272727</v>
      </c>
      <c r="I628" s="114" t="s">
        <v>1521</v>
      </c>
      <c r="J628" s="210">
        <f>VLOOKUP(I628,'Reajuste Atual'!$L$19:$M$25,2,FALSE)</f>
        <v>3.1053999999999999</v>
      </c>
      <c r="K628" s="190"/>
      <c r="L628" s="20">
        <v>7.42</v>
      </c>
      <c r="M628" s="765">
        <f t="shared" si="58"/>
        <v>5.3000000000000007</v>
      </c>
      <c r="N628" s="765">
        <f t="shared" si="57"/>
        <v>5.3963636363636365</v>
      </c>
      <c r="O628" s="765">
        <f t="shared" si="59"/>
        <v>5.3963636363636365</v>
      </c>
    </row>
    <row r="629" spans="1:15" s="98" customFormat="1" ht="31.5" outlineLevel="1">
      <c r="A629" s="141" t="s">
        <v>3483</v>
      </c>
      <c r="B629" s="114" t="s">
        <v>880</v>
      </c>
      <c r="C629" s="100" t="s">
        <v>2287</v>
      </c>
      <c r="D629" s="99" t="s">
        <v>1472</v>
      </c>
      <c r="E629" s="20">
        <v>300</v>
      </c>
      <c r="F629" s="20">
        <f t="shared" si="56"/>
        <v>7.6145454545454552</v>
      </c>
      <c r="G629" s="19">
        <f t="shared" si="54"/>
        <v>2284.3636363636365</v>
      </c>
      <c r="H629" s="19">
        <f t="shared" si="55"/>
        <v>9378.2264727272723</v>
      </c>
      <c r="I629" s="114" t="s">
        <v>1521</v>
      </c>
      <c r="J629" s="210">
        <f>VLOOKUP(I629,'Reajuste Atual'!$L$19:$M$25,2,FALSE)</f>
        <v>3.1053999999999999</v>
      </c>
      <c r="K629" s="190"/>
      <c r="L629" s="20">
        <v>10.47</v>
      </c>
      <c r="M629" s="765">
        <f t="shared" si="58"/>
        <v>7.4785714285714295</v>
      </c>
      <c r="N629" s="765">
        <f t="shared" si="57"/>
        <v>7.6145454545454552</v>
      </c>
      <c r="O629" s="765">
        <f t="shared" si="59"/>
        <v>7.6145454545454552</v>
      </c>
    </row>
    <row r="630" spans="1:15" s="98" customFormat="1" outlineLevel="1">
      <c r="A630" s="141" t="s">
        <v>3483</v>
      </c>
      <c r="B630" s="114" t="s">
        <v>881</v>
      </c>
      <c r="C630" s="100" t="s">
        <v>2843</v>
      </c>
      <c r="D630" s="99" t="s">
        <v>1472</v>
      </c>
      <c r="E630" s="20">
        <v>2302.4</v>
      </c>
      <c r="F630" s="20">
        <f t="shared" si="56"/>
        <v>12.458181818181817</v>
      </c>
      <c r="G630" s="19">
        <f t="shared" si="54"/>
        <v>28683.717818181816</v>
      </c>
      <c r="H630" s="19">
        <f t="shared" si="55"/>
        <v>117758.13513076361</v>
      </c>
      <c r="I630" s="114" t="s">
        <v>1521</v>
      </c>
      <c r="J630" s="210">
        <f>VLOOKUP(I630,'Reajuste Atual'!$L$19:$M$25,2,FALSE)</f>
        <v>3.1053999999999999</v>
      </c>
      <c r="K630" s="190"/>
      <c r="L630" s="20">
        <v>17.13</v>
      </c>
      <c r="M630" s="765">
        <f t="shared" si="58"/>
        <v>12.235714285714286</v>
      </c>
      <c r="N630" s="765">
        <f t="shared" si="57"/>
        <v>12.458181818181817</v>
      </c>
      <c r="O630" s="765">
        <f t="shared" si="59"/>
        <v>12.458181818181817</v>
      </c>
    </row>
    <row r="631" spans="1:15" s="98" customFormat="1" outlineLevel="1">
      <c r="A631" s="141" t="s">
        <v>3483</v>
      </c>
      <c r="B631" s="114" t="s">
        <v>882</v>
      </c>
      <c r="C631" s="100" t="s">
        <v>2288</v>
      </c>
      <c r="D631" s="99" t="s">
        <v>1472</v>
      </c>
      <c r="E631" s="20">
        <v>280</v>
      </c>
      <c r="F631" s="20">
        <f t="shared" si="56"/>
        <v>7.4763636363636357</v>
      </c>
      <c r="G631" s="19">
        <f t="shared" si="54"/>
        <v>2093.3818181818178</v>
      </c>
      <c r="H631" s="19">
        <f t="shared" si="55"/>
        <v>8594.1697163636345</v>
      </c>
      <c r="I631" s="114" t="s">
        <v>1521</v>
      </c>
      <c r="J631" s="210">
        <f>VLOOKUP(I631,'Reajuste Atual'!$L$19:$M$25,2,FALSE)</f>
        <v>3.1053999999999999</v>
      </c>
      <c r="K631" s="190"/>
      <c r="L631" s="20">
        <v>10.28</v>
      </c>
      <c r="M631" s="765">
        <f t="shared" si="58"/>
        <v>7.3428571428571425</v>
      </c>
      <c r="N631" s="765">
        <f t="shared" si="57"/>
        <v>7.4763636363636357</v>
      </c>
      <c r="O631" s="765">
        <f t="shared" si="59"/>
        <v>7.4763636363636357</v>
      </c>
    </row>
    <row r="632" spans="1:15" s="98" customFormat="1" outlineLevel="1">
      <c r="A632" s="141" t="s">
        <v>3483</v>
      </c>
      <c r="B632" s="114" t="s">
        <v>883</v>
      </c>
      <c r="C632" s="100" t="s">
        <v>2289</v>
      </c>
      <c r="D632" s="99" t="s">
        <v>1480</v>
      </c>
      <c r="E632" s="20">
        <v>228</v>
      </c>
      <c r="F632" s="20">
        <f t="shared" si="56"/>
        <v>7.6145454545454552</v>
      </c>
      <c r="G632" s="19">
        <f t="shared" si="54"/>
        <v>1736.1163636363638</v>
      </c>
      <c r="H632" s="19">
        <f t="shared" si="55"/>
        <v>7127.452119272727</v>
      </c>
      <c r="I632" s="114" t="s">
        <v>1521</v>
      </c>
      <c r="J632" s="210">
        <f>VLOOKUP(I632,'Reajuste Atual'!$L$19:$M$25,2,FALSE)</f>
        <v>3.1053999999999999</v>
      </c>
      <c r="K632" s="190"/>
      <c r="L632" s="20">
        <v>10.47</v>
      </c>
      <c r="M632" s="765">
        <f t="shared" si="58"/>
        <v>7.4785714285714295</v>
      </c>
      <c r="N632" s="765">
        <f t="shared" si="57"/>
        <v>7.6145454545454552</v>
      </c>
      <c r="O632" s="765">
        <f t="shared" si="59"/>
        <v>7.6145454545454552</v>
      </c>
    </row>
    <row r="633" spans="1:15" s="98" customFormat="1" outlineLevel="1">
      <c r="A633" s="141" t="s">
        <v>3483</v>
      </c>
      <c r="B633" s="114" t="s">
        <v>884</v>
      </c>
      <c r="C633" s="100" t="s">
        <v>2290</v>
      </c>
      <c r="D633" s="99" t="s">
        <v>1480</v>
      </c>
      <c r="E633" s="20">
        <v>44</v>
      </c>
      <c r="F633" s="20">
        <f t="shared" si="56"/>
        <v>8.7127272727272729</v>
      </c>
      <c r="G633" s="19">
        <f t="shared" si="54"/>
        <v>383.36</v>
      </c>
      <c r="H633" s="19">
        <f t="shared" si="55"/>
        <v>1573.8461439999999</v>
      </c>
      <c r="I633" s="114" t="s">
        <v>1521</v>
      </c>
      <c r="J633" s="210">
        <f>VLOOKUP(I633,'Reajuste Atual'!$L$19:$M$25,2,FALSE)</f>
        <v>3.1053999999999999</v>
      </c>
      <c r="K633" s="190"/>
      <c r="L633" s="20">
        <v>11.98</v>
      </c>
      <c r="M633" s="765">
        <f t="shared" si="58"/>
        <v>8.5571428571428587</v>
      </c>
      <c r="N633" s="765">
        <f t="shared" si="57"/>
        <v>8.7127272727272729</v>
      </c>
      <c r="O633" s="765">
        <f t="shared" si="59"/>
        <v>8.7127272727272729</v>
      </c>
    </row>
    <row r="634" spans="1:15" s="98" customFormat="1" outlineLevel="1">
      <c r="A634" s="141" t="s">
        <v>3483</v>
      </c>
      <c r="B634" s="114" t="s">
        <v>885</v>
      </c>
      <c r="C634" s="100" t="s">
        <v>2291</v>
      </c>
      <c r="D634" s="99" t="s">
        <v>1480</v>
      </c>
      <c r="E634" s="20">
        <v>264</v>
      </c>
      <c r="F634" s="20">
        <f t="shared" si="56"/>
        <v>4.4218181818181819</v>
      </c>
      <c r="G634" s="19">
        <f t="shared" si="54"/>
        <v>1167.3600000000001</v>
      </c>
      <c r="H634" s="19">
        <f t="shared" si="55"/>
        <v>4792.4797440000002</v>
      </c>
      <c r="I634" s="114" t="s">
        <v>1521</v>
      </c>
      <c r="J634" s="210">
        <f>VLOOKUP(I634,'Reajuste Atual'!$L$19:$M$25,2,FALSE)</f>
        <v>3.1053999999999999</v>
      </c>
      <c r="K634" s="190"/>
      <c r="L634" s="20">
        <v>6.08</v>
      </c>
      <c r="M634" s="765">
        <f t="shared" si="58"/>
        <v>4.3428571428571434</v>
      </c>
      <c r="N634" s="765">
        <f t="shared" si="57"/>
        <v>4.4218181818181819</v>
      </c>
      <c r="O634" s="765">
        <f t="shared" si="59"/>
        <v>4.4218181818181819</v>
      </c>
    </row>
    <row r="635" spans="1:15" s="98" customFormat="1" outlineLevel="1">
      <c r="A635" s="141" t="s">
        <v>3483</v>
      </c>
      <c r="B635" s="114" t="s">
        <v>886</v>
      </c>
      <c r="C635" s="100" t="s">
        <v>2292</v>
      </c>
      <c r="D635" s="99" t="s">
        <v>1480</v>
      </c>
      <c r="E635" s="20">
        <v>88</v>
      </c>
      <c r="F635" s="20">
        <f t="shared" si="56"/>
        <v>2.7636363636363637</v>
      </c>
      <c r="G635" s="19">
        <f t="shared" ref="G635:G672" si="60">E635*F635</f>
        <v>243.2</v>
      </c>
      <c r="H635" s="19">
        <f t="shared" ref="H635:H672" si="61">G635*(1+J635)</f>
        <v>998.43327999999985</v>
      </c>
      <c r="I635" s="114" t="s">
        <v>1521</v>
      </c>
      <c r="J635" s="210">
        <f>VLOOKUP(I635,'Reajuste Atual'!$L$19:$M$25,2,FALSE)</f>
        <v>3.1053999999999999</v>
      </c>
      <c r="K635" s="190"/>
      <c r="L635" s="20">
        <v>3.8</v>
      </c>
      <c r="M635" s="765">
        <f t="shared" si="58"/>
        <v>2.7142857142857144</v>
      </c>
      <c r="N635" s="765">
        <f t="shared" si="57"/>
        <v>2.7636363636363637</v>
      </c>
      <c r="O635" s="765">
        <f t="shared" si="59"/>
        <v>2.7636363636363637</v>
      </c>
    </row>
    <row r="636" spans="1:15" s="98" customFormat="1" outlineLevel="1">
      <c r="A636" s="141" t="s">
        <v>3483</v>
      </c>
      <c r="B636" s="114" t="s">
        <v>887</v>
      </c>
      <c r="C636" s="100" t="s">
        <v>2293</v>
      </c>
      <c r="D636" s="99" t="s">
        <v>1480</v>
      </c>
      <c r="E636" s="20">
        <v>60</v>
      </c>
      <c r="F636" s="20">
        <f t="shared" si="56"/>
        <v>2.7636363636363637</v>
      </c>
      <c r="G636" s="19">
        <f t="shared" si="60"/>
        <v>165.81818181818181</v>
      </c>
      <c r="H636" s="19">
        <f t="shared" si="61"/>
        <v>680.74996363636353</v>
      </c>
      <c r="I636" s="114" t="s">
        <v>1521</v>
      </c>
      <c r="J636" s="210">
        <f>VLOOKUP(I636,'Reajuste Atual'!$L$19:$M$25,2,FALSE)</f>
        <v>3.1053999999999999</v>
      </c>
      <c r="K636" s="190"/>
      <c r="L636" s="20">
        <v>3.8</v>
      </c>
      <c r="M636" s="765">
        <f t="shared" si="58"/>
        <v>2.7142857142857144</v>
      </c>
      <c r="N636" s="765">
        <f t="shared" si="57"/>
        <v>2.7636363636363637</v>
      </c>
      <c r="O636" s="765">
        <f t="shared" si="59"/>
        <v>2.7636363636363637</v>
      </c>
    </row>
    <row r="637" spans="1:15" s="98" customFormat="1" outlineLevel="1">
      <c r="A637" s="141" t="s">
        <v>3483</v>
      </c>
      <c r="B637" s="114" t="s">
        <v>888</v>
      </c>
      <c r="C637" s="100" t="s">
        <v>2294</v>
      </c>
      <c r="D637" s="99" t="s">
        <v>1480</v>
      </c>
      <c r="E637" s="20">
        <v>4</v>
      </c>
      <c r="F637" s="20">
        <f t="shared" si="56"/>
        <v>128.22545454545454</v>
      </c>
      <c r="G637" s="19">
        <f t="shared" si="60"/>
        <v>512.90181818181816</v>
      </c>
      <c r="H637" s="19">
        <f t="shared" si="61"/>
        <v>2105.667124363636</v>
      </c>
      <c r="I637" s="114" t="s">
        <v>1521</v>
      </c>
      <c r="J637" s="210">
        <f>VLOOKUP(I637,'Reajuste Atual'!$L$19:$M$25,2,FALSE)</f>
        <v>3.1053999999999999</v>
      </c>
      <c r="K637" s="190"/>
      <c r="L637" s="20">
        <v>176.31</v>
      </c>
      <c r="M637" s="765">
        <f t="shared" si="58"/>
        <v>125.9357142857143</v>
      </c>
      <c r="N637" s="765">
        <f t="shared" si="57"/>
        <v>128.22545454545454</v>
      </c>
      <c r="O637" s="765">
        <f t="shared" si="59"/>
        <v>128.22545454545454</v>
      </c>
    </row>
    <row r="638" spans="1:15" s="98" customFormat="1" outlineLevel="1">
      <c r="A638" s="141" t="s">
        <v>3483</v>
      </c>
      <c r="B638" s="114" t="s">
        <v>889</v>
      </c>
      <c r="C638" s="100" t="s">
        <v>2295</v>
      </c>
      <c r="D638" s="99" t="s">
        <v>1480</v>
      </c>
      <c r="E638" s="20">
        <v>8</v>
      </c>
      <c r="F638" s="20">
        <f t="shared" si="56"/>
        <v>115.48363636363636</v>
      </c>
      <c r="G638" s="19">
        <f t="shared" si="60"/>
        <v>923.86909090909091</v>
      </c>
      <c r="H638" s="19">
        <f t="shared" si="61"/>
        <v>3792.8521658181812</v>
      </c>
      <c r="I638" s="114" t="s">
        <v>1521</v>
      </c>
      <c r="J638" s="210">
        <f>VLOOKUP(I638,'Reajuste Atual'!$L$19:$M$25,2,FALSE)</f>
        <v>3.1053999999999999</v>
      </c>
      <c r="K638" s="190"/>
      <c r="L638" s="20">
        <v>158.79</v>
      </c>
      <c r="M638" s="765">
        <f t="shared" si="58"/>
        <v>113.42142857142858</v>
      </c>
      <c r="N638" s="765">
        <f t="shared" si="57"/>
        <v>115.48363636363636</v>
      </c>
      <c r="O638" s="765">
        <f t="shared" si="59"/>
        <v>115.48363636363636</v>
      </c>
    </row>
    <row r="639" spans="1:15" s="98" customFormat="1" outlineLevel="1">
      <c r="A639" s="141" t="s">
        <v>3483</v>
      </c>
      <c r="B639" s="114" t="s">
        <v>890</v>
      </c>
      <c r="C639" s="100" t="s">
        <v>2296</v>
      </c>
      <c r="D639" s="99" t="s">
        <v>1480</v>
      </c>
      <c r="E639" s="20">
        <v>4</v>
      </c>
      <c r="F639" s="20">
        <f t="shared" si="56"/>
        <v>115.48363636363636</v>
      </c>
      <c r="G639" s="19">
        <f t="shared" si="60"/>
        <v>461.93454545454546</v>
      </c>
      <c r="H639" s="19">
        <f t="shared" si="61"/>
        <v>1896.4260829090906</v>
      </c>
      <c r="I639" s="114" t="s">
        <v>1521</v>
      </c>
      <c r="J639" s="210">
        <f>VLOOKUP(I639,'Reajuste Atual'!$L$19:$M$25,2,FALSE)</f>
        <v>3.1053999999999999</v>
      </c>
      <c r="K639" s="190"/>
      <c r="L639" s="20">
        <v>158.79</v>
      </c>
      <c r="M639" s="765">
        <f t="shared" si="58"/>
        <v>113.42142857142858</v>
      </c>
      <c r="N639" s="765">
        <f t="shared" si="57"/>
        <v>115.48363636363636</v>
      </c>
      <c r="O639" s="765">
        <f t="shared" si="59"/>
        <v>115.48363636363636</v>
      </c>
    </row>
    <row r="640" spans="1:15" s="98" customFormat="1" outlineLevel="1">
      <c r="A640" s="141" t="s">
        <v>3483</v>
      </c>
      <c r="B640" s="114" t="s">
        <v>891</v>
      </c>
      <c r="C640" s="100" t="s">
        <v>2297</v>
      </c>
      <c r="D640" s="99" t="s">
        <v>1480</v>
      </c>
      <c r="E640" s="20">
        <v>4</v>
      </c>
      <c r="F640" s="20">
        <f t="shared" si="56"/>
        <v>64.13818181818182</v>
      </c>
      <c r="G640" s="19">
        <f t="shared" si="60"/>
        <v>256.55272727272728</v>
      </c>
      <c r="H640" s="19">
        <f t="shared" si="61"/>
        <v>1053.2515665454544</v>
      </c>
      <c r="I640" s="114" t="s">
        <v>1521</v>
      </c>
      <c r="J640" s="210">
        <f>VLOOKUP(I640,'Reajuste Atual'!$L$19:$M$25,2,FALSE)</f>
        <v>3.1053999999999999</v>
      </c>
      <c r="K640" s="190"/>
      <c r="L640" s="20">
        <v>88.19</v>
      </c>
      <c r="M640" s="765">
        <f t="shared" si="58"/>
        <v>62.992857142857147</v>
      </c>
      <c r="N640" s="765">
        <f t="shared" si="57"/>
        <v>64.13818181818182</v>
      </c>
      <c r="O640" s="765">
        <f t="shared" si="59"/>
        <v>64.13818181818182</v>
      </c>
    </row>
    <row r="641" spans="1:15" s="98" customFormat="1" outlineLevel="1">
      <c r="A641" s="141" t="s">
        <v>3483</v>
      </c>
      <c r="B641" s="114" t="s">
        <v>892</v>
      </c>
      <c r="C641" s="100" t="s">
        <v>2298</v>
      </c>
      <c r="D641" s="99" t="s">
        <v>1480</v>
      </c>
      <c r="E641" s="20">
        <v>60</v>
      </c>
      <c r="F641" s="20">
        <f t="shared" si="56"/>
        <v>7.7527272727272729</v>
      </c>
      <c r="G641" s="19">
        <f t="shared" si="60"/>
        <v>465.16363636363639</v>
      </c>
      <c r="H641" s="19">
        <f t="shared" si="61"/>
        <v>1909.6827927272725</v>
      </c>
      <c r="I641" s="114" t="s">
        <v>1521</v>
      </c>
      <c r="J641" s="210">
        <f>VLOOKUP(I641,'Reajuste Atual'!$L$19:$M$25,2,FALSE)</f>
        <v>3.1053999999999999</v>
      </c>
      <c r="K641" s="190"/>
      <c r="L641" s="20">
        <v>10.66</v>
      </c>
      <c r="M641" s="765">
        <f t="shared" si="58"/>
        <v>7.6142857142857148</v>
      </c>
      <c r="N641" s="765">
        <f t="shared" si="57"/>
        <v>7.7527272727272729</v>
      </c>
      <c r="O641" s="765">
        <f t="shared" si="59"/>
        <v>7.7527272727272729</v>
      </c>
    </row>
    <row r="642" spans="1:15" s="98" customFormat="1" outlineLevel="1">
      <c r="A642" s="141" t="s">
        <v>3483</v>
      </c>
      <c r="B642" s="114" t="s">
        <v>893</v>
      </c>
      <c r="C642" s="100" t="s">
        <v>2299</v>
      </c>
      <c r="D642" s="99" t="s">
        <v>1480</v>
      </c>
      <c r="E642" s="20">
        <v>60</v>
      </c>
      <c r="F642" s="20">
        <f t="shared" si="56"/>
        <v>7.7527272727272729</v>
      </c>
      <c r="G642" s="19">
        <f t="shared" si="60"/>
        <v>465.16363636363639</v>
      </c>
      <c r="H642" s="19">
        <f t="shared" si="61"/>
        <v>1909.6827927272725</v>
      </c>
      <c r="I642" s="114" t="s">
        <v>1521</v>
      </c>
      <c r="J642" s="210">
        <f>VLOOKUP(I642,'Reajuste Atual'!$L$19:$M$25,2,FALSE)</f>
        <v>3.1053999999999999</v>
      </c>
      <c r="K642" s="190"/>
      <c r="L642" s="20">
        <v>10.66</v>
      </c>
      <c r="M642" s="765">
        <f t="shared" si="58"/>
        <v>7.6142857142857148</v>
      </c>
      <c r="N642" s="765">
        <f t="shared" si="57"/>
        <v>7.7527272727272729</v>
      </c>
      <c r="O642" s="765">
        <f t="shared" si="59"/>
        <v>7.7527272727272729</v>
      </c>
    </row>
    <row r="643" spans="1:15" s="98" customFormat="1" outlineLevel="1">
      <c r="A643" s="141" t="s">
        <v>3483</v>
      </c>
      <c r="B643" s="114" t="s">
        <v>894</v>
      </c>
      <c r="C643" s="100" t="s">
        <v>2300</v>
      </c>
      <c r="D643" s="99" t="s">
        <v>1480</v>
      </c>
      <c r="E643" s="20">
        <v>88</v>
      </c>
      <c r="F643" s="20">
        <f t="shared" si="56"/>
        <v>9.4109090909090902</v>
      </c>
      <c r="G643" s="19">
        <f t="shared" si="60"/>
        <v>828.16</v>
      </c>
      <c r="H643" s="19">
        <f t="shared" si="61"/>
        <v>3399.9280639999993</v>
      </c>
      <c r="I643" s="114" t="s">
        <v>1521</v>
      </c>
      <c r="J643" s="210">
        <f>VLOOKUP(I643,'Reajuste Atual'!$L$19:$M$25,2,FALSE)</f>
        <v>3.1053999999999999</v>
      </c>
      <c r="K643" s="190"/>
      <c r="L643" s="20">
        <v>12.94</v>
      </c>
      <c r="M643" s="765">
        <f t="shared" si="58"/>
        <v>9.2428571428571438</v>
      </c>
      <c r="N643" s="765">
        <f t="shared" si="57"/>
        <v>9.4109090909090902</v>
      </c>
      <c r="O643" s="765">
        <f t="shared" si="59"/>
        <v>9.4109090909090902</v>
      </c>
    </row>
    <row r="644" spans="1:15" s="98" customFormat="1" outlineLevel="1">
      <c r="A644" s="141" t="s">
        <v>3483</v>
      </c>
      <c r="B644" s="114" t="s">
        <v>895</v>
      </c>
      <c r="C644" s="100" t="s">
        <v>2301</v>
      </c>
      <c r="D644" s="181" t="s">
        <v>1468</v>
      </c>
      <c r="E644" s="20">
        <v>48</v>
      </c>
      <c r="F644" s="20">
        <f t="shared" si="56"/>
        <v>2375.869090909091</v>
      </c>
      <c r="G644" s="19">
        <f t="shared" si="60"/>
        <v>114041.71636363637</v>
      </c>
      <c r="H644" s="19">
        <f t="shared" si="61"/>
        <v>468186.86235927267</v>
      </c>
      <c r="I644" s="114" t="s">
        <v>1521</v>
      </c>
      <c r="J644" s="210">
        <f>VLOOKUP(I644,'Reajuste Atual'!$L$19:$M$25,2,FALSE)</f>
        <v>3.1053999999999999</v>
      </c>
      <c r="K644" s="190"/>
      <c r="L644" s="20">
        <v>3266.82</v>
      </c>
      <c r="M644" s="765">
        <f t="shared" si="58"/>
        <v>2333.4428571428575</v>
      </c>
      <c r="N644" s="765">
        <f t="shared" si="57"/>
        <v>2375.869090909091</v>
      </c>
      <c r="O644" s="765">
        <f t="shared" si="59"/>
        <v>2375.869090909091</v>
      </c>
    </row>
    <row r="645" spans="1:15" s="98" customFormat="1" ht="31.5" outlineLevel="1">
      <c r="A645" s="141" t="s">
        <v>3483</v>
      </c>
      <c r="B645" s="114" t="s">
        <v>896</v>
      </c>
      <c r="C645" s="100" t="s">
        <v>2302</v>
      </c>
      <c r="D645" s="181" t="s">
        <v>1468</v>
      </c>
      <c r="E645" s="20">
        <v>16</v>
      </c>
      <c r="F645" s="20">
        <f t="shared" si="56"/>
        <v>2601.7236363636362</v>
      </c>
      <c r="G645" s="19">
        <f t="shared" si="60"/>
        <v>41627.578181818179</v>
      </c>
      <c r="H645" s="19">
        <f t="shared" si="61"/>
        <v>170897.85946763633</v>
      </c>
      <c r="I645" s="114" t="s">
        <v>1521</v>
      </c>
      <c r="J645" s="210">
        <f>VLOOKUP(I645,'Reajuste Atual'!$L$19:$M$25,2,FALSE)</f>
        <v>3.1053999999999999</v>
      </c>
      <c r="K645" s="190"/>
      <c r="L645" s="20">
        <v>3577.37</v>
      </c>
      <c r="M645" s="765">
        <f t="shared" si="58"/>
        <v>2555.264285714286</v>
      </c>
      <c r="N645" s="765">
        <f t="shared" si="57"/>
        <v>2601.7236363636362</v>
      </c>
      <c r="O645" s="765">
        <f t="shared" si="59"/>
        <v>2601.7236363636362</v>
      </c>
    </row>
    <row r="646" spans="1:15" s="98" customFormat="1" outlineLevel="1">
      <c r="A646" s="141" t="s">
        <v>3483</v>
      </c>
      <c r="B646" s="114" t="s">
        <v>897</v>
      </c>
      <c r="C646" s="100" t="s">
        <v>2303</v>
      </c>
      <c r="D646" s="181" t="s">
        <v>1468</v>
      </c>
      <c r="E646" s="20">
        <v>32</v>
      </c>
      <c r="F646" s="20">
        <f t="shared" si="56"/>
        <v>1753.36</v>
      </c>
      <c r="G646" s="19">
        <f t="shared" si="60"/>
        <v>56107.519999999997</v>
      </c>
      <c r="H646" s="19">
        <f t="shared" si="61"/>
        <v>230343.81260799995</v>
      </c>
      <c r="I646" s="114" t="s">
        <v>1521</v>
      </c>
      <c r="J646" s="210">
        <f>VLOOKUP(I646,'Reajuste Atual'!$L$19:$M$25,2,FALSE)</f>
        <v>3.1053999999999999</v>
      </c>
      <c r="K646" s="190"/>
      <c r="L646" s="20">
        <v>2410.87</v>
      </c>
      <c r="M646" s="765">
        <f t="shared" si="58"/>
        <v>1722.05</v>
      </c>
      <c r="N646" s="765">
        <f t="shared" si="57"/>
        <v>1753.36</v>
      </c>
      <c r="O646" s="765">
        <f t="shared" si="59"/>
        <v>1753.36</v>
      </c>
    </row>
    <row r="647" spans="1:15" s="98" customFormat="1" outlineLevel="1">
      <c r="A647" s="141" t="s">
        <v>3483</v>
      </c>
      <c r="B647" s="114" t="s">
        <v>898</v>
      </c>
      <c r="C647" s="100" t="s">
        <v>2304</v>
      </c>
      <c r="D647" s="181" t="s">
        <v>1468</v>
      </c>
      <c r="E647" s="20">
        <v>16</v>
      </c>
      <c r="F647" s="20">
        <f t="shared" si="56"/>
        <v>1753.3163636363636</v>
      </c>
      <c r="G647" s="19">
        <f t="shared" si="60"/>
        <v>28053.061818181817</v>
      </c>
      <c r="H647" s="19">
        <f t="shared" si="61"/>
        <v>115169.03998836361</v>
      </c>
      <c r="I647" s="114" t="s">
        <v>1521</v>
      </c>
      <c r="J647" s="210">
        <f>VLOOKUP(I647,'Reajuste Atual'!$L$19:$M$25,2,FALSE)</f>
        <v>3.1053999999999999</v>
      </c>
      <c r="K647" s="190"/>
      <c r="L647" s="20">
        <v>2410.81</v>
      </c>
      <c r="M647" s="765">
        <f t="shared" si="58"/>
        <v>1722.007142857143</v>
      </c>
      <c r="N647" s="765">
        <f t="shared" si="57"/>
        <v>1753.3163636363636</v>
      </c>
      <c r="O647" s="765">
        <f t="shared" si="59"/>
        <v>1753.3163636363636</v>
      </c>
    </row>
    <row r="648" spans="1:15" s="98" customFormat="1" outlineLevel="1">
      <c r="A648" s="141" t="s">
        <v>3483</v>
      </c>
      <c r="B648" s="114" t="s">
        <v>899</v>
      </c>
      <c r="C648" s="100" t="s">
        <v>2305</v>
      </c>
      <c r="D648" s="181" t="s">
        <v>1468</v>
      </c>
      <c r="E648" s="20">
        <v>16</v>
      </c>
      <c r="F648" s="20">
        <f t="shared" si="56"/>
        <v>2330.8218181818183</v>
      </c>
      <c r="G648" s="19">
        <f t="shared" si="60"/>
        <v>37293.149090909094</v>
      </c>
      <c r="H648" s="19">
        <f t="shared" si="61"/>
        <v>153103.29427781818</v>
      </c>
      <c r="I648" s="114" t="s">
        <v>1521</v>
      </c>
      <c r="J648" s="210">
        <f>VLOOKUP(I648,'Reajuste Atual'!$L$19:$M$25,2,FALSE)</f>
        <v>3.1053999999999999</v>
      </c>
      <c r="K648" s="190"/>
      <c r="L648" s="20">
        <v>3204.88</v>
      </c>
      <c r="M648" s="765">
        <f t="shared" si="58"/>
        <v>2289.2000000000003</v>
      </c>
      <c r="N648" s="765">
        <f t="shared" si="57"/>
        <v>2330.8218181818183</v>
      </c>
      <c r="O648" s="765">
        <f t="shared" si="59"/>
        <v>2330.8218181818183</v>
      </c>
    </row>
    <row r="649" spans="1:15" s="98" customFormat="1" outlineLevel="1">
      <c r="A649" s="141" t="s">
        <v>3483</v>
      </c>
      <c r="B649" s="114" t="s">
        <v>900</v>
      </c>
      <c r="C649" s="100" t="s">
        <v>2306</v>
      </c>
      <c r="D649" s="181" t="s">
        <v>1468</v>
      </c>
      <c r="E649" s="20">
        <v>16</v>
      </c>
      <c r="F649" s="20">
        <f t="shared" si="56"/>
        <v>2612.8218181818183</v>
      </c>
      <c r="G649" s="19">
        <f t="shared" si="60"/>
        <v>41805.149090909094</v>
      </c>
      <c r="H649" s="19">
        <f t="shared" si="61"/>
        <v>171626.85907781817</v>
      </c>
      <c r="I649" s="114" t="s">
        <v>1521</v>
      </c>
      <c r="J649" s="210">
        <f>VLOOKUP(I649,'Reajuste Atual'!$L$19:$M$25,2,FALSE)</f>
        <v>3.1053999999999999</v>
      </c>
      <c r="K649" s="190"/>
      <c r="L649" s="20">
        <v>3592.63</v>
      </c>
      <c r="M649" s="765">
        <f t="shared" si="58"/>
        <v>2566.1642857142861</v>
      </c>
      <c r="N649" s="765">
        <f t="shared" si="57"/>
        <v>2612.8218181818183</v>
      </c>
      <c r="O649" s="765">
        <f t="shared" si="59"/>
        <v>2612.8218181818183</v>
      </c>
    </row>
    <row r="650" spans="1:15" s="98" customFormat="1" outlineLevel="1">
      <c r="A650" s="141" t="s">
        <v>3483</v>
      </c>
      <c r="B650" s="114" t="s">
        <v>901</v>
      </c>
      <c r="C650" s="100" t="s">
        <v>2307</v>
      </c>
      <c r="D650" s="181" t="s">
        <v>1468</v>
      </c>
      <c r="E650" s="20">
        <v>16</v>
      </c>
      <c r="F650" s="20">
        <f t="shared" si="56"/>
        <v>2801.687272727273</v>
      </c>
      <c r="G650" s="19">
        <f t="shared" si="60"/>
        <v>44826.996363636368</v>
      </c>
      <c r="H650" s="19">
        <f t="shared" si="61"/>
        <v>184032.75087127273</v>
      </c>
      <c r="I650" s="114" t="s">
        <v>1521</v>
      </c>
      <c r="J650" s="210">
        <f>VLOOKUP(I650,'Reajuste Atual'!$L$19:$M$25,2,FALSE)</f>
        <v>3.1053999999999999</v>
      </c>
      <c r="K650" s="190"/>
      <c r="L650" s="20">
        <v>3852.32</v>
      </c>
      <c r="M650" s="765">
        <f t="shared" si="58"/>
        <v>2751.6571428571433</v>
      </c>
      <c r="N650" s="765">
        <f t="shared" si="57"/>
        <v>2801.687272727273</v>
      </c>
      <c r="O650" s="765">
        <f t="shared" si="59"/>
        <v>2801.687272727273</v>
      </c>
    </row>
    <row r="651" spans="1:15" s="98" customFormat="1" ht="31.5" outlineLevel="1">
      <c r="A651" s="141" t="s">
        <v>3483</v>
      </c>
      <c r="B651" s="114" t="s">
        <v>902</v>
      </c>
      <c r="C651" s="100" t="s">
        <v>2308</v>
      </c>
      <c r="D651" s="181" t="s">
        <v>1468</v>
      </c>
      <c r="E651" s="20">
        <v>4</v>
      </c>
      <c r="F651" s="20">
        <f t="shared" si="56"/>
        <v>9102.0218181818182</v>
      </c>
      <c r="G651" s="19">
        <f t="shared" si="60"/>
        <v>36408.087272727273</v>
      </c>
      <c r="H651" s="19">
        <f t="shared" si="61"/>
        <v>149469.76148945454</v>
      </c>
      <c r="I651" s="114" t="s">
        <v>1521</v>
      </c>
      <c r="J651" s="210">
        <f>VLOOKUP(I651,'Reajuste Atual'!$L$19:$M$25,2,FALSE)</f>
        <v>3.1053999999999999</v>
      </c>
      <c r="K651" s="190"/>
      <c r="L651" s="20">
        <v>12515.28</v>
      </c>
      <c r="M651" s="765">
        <f t="shared" si="58"/>
        <v>8939.4857142857145</v>
      </c>
      <c r="N651" s="765">
        <f t="shared" si="57"/>
        <v>9102.0218181818182</v>
      </c>
      <c r="O651" s="765">
        <f t="shared" si="59"/>
        <v>9102.0218181818182</v>
      </c>
    </row>
    <row r="652" spans="1:15" s="98" customFormat="1" outlineLevel="1">
      <c r="A652" s="141" t="s">
        <v>3483</v>
      </c>
      <c r="B652" s="114" t="s">
        <v>903</v>
      </c>
      <c r="C652" s="100" t="s">
        <v>2309</v>
      </c>
      <c r="D652" s="181" t="s">
        <v>1468</v>
      </c>
      <c r="E652" s="20">
        <v>16</v>
      </c>
      <c r="F652" s="20">
        <f t="shared" si="56"/>
        <v>3184.2181818181821</v>
      </c>
      <c r="G652" s="19">
        <f t="shared" si="60"/>
        <v>50947.490909090913</v>
      </c>
      <c r="H652" s="19">
        <f t="shared" si="61"/>
        <v>209159.8291781818</v>
      </c>
      <c r="I652" s="114" t="s">
        <v>1521</v>
      </c>
      <c r="J652" s="210">
        <f>VLOOKUP(I652,'Reajuste Atual'!$L$19:$M$25,2,FALSE)</f>
        <v>3.1053999999999999</v>
      </c>
      <c r="K652" s="190"/>
      <c r="L652" s="20">
        <v>4378.3</v>
      </c>
      <c r="M652" s="765">
        <f t="shared" si="58"/>
        <v>3127.3571428571431</v>
      </c>
      <c r="N652" s="765">
        <f t="shared" si="57"/>
        <v>3184.2181818181821</v>
      </c>
      <c r="O652" s="765">
        <f t="shared" si="59"/>
        <v>3184.2181818181821</v>
      </c>
    </row>
    <row r="653" spans="1:15" s="98" customFormat="1" outlineLevel="1">
      <c r="A653" s="141" t="s">
        <v>3483</v>
      </c>
      <c r="B653" s="114" t="s">
        <v>904</v>
      </c>
      <c r="C653" s="100" t="s">
        <v>2310</v>
      </c>
      <c r="D653" s="181" t="s">
        <v>1468</v>
      </c>
      <c r="E653" s="20">
        <v>4</v>
      </c>
      <c r="F653" s="20">
        <f t="shared" si="56"/>
        <v>1513.9054545454544</v>
      </c>
      <c r="G653" s="19">
        <f t="shared" si="60"/>
        <v>6055.6218181818176</v>
      </c>
      <c r="H653" s="19">
        <f t="shared" si="61"/>
        <v>24860.749812363632</v>
      </c>
      <c r="I653" s="114" t="s">
        <v>1521</v>
      </c>
      <c r="J653" s="210">
        <f>VLOOKUP(I653,'Reajuste Atual'!$L$19:$M$25,2,FALSE)</f>
        <v>3.1053999999999999</v>
      </c>
      <c r="K653" s="190"/>
      <c r="L653" s="20">
        <v>2081.62</v>
      </c>
      <c r="M653" s="765">
        <f t="shared" si="58"/>
        <v>1486.8714285714286</v>
      </c>
      <c r="N653" s="765">
        <f t="shared" si="57"/>
        <v>1513.9054545454544</v>
      </c>
      <c r="O653" s="765">
        <f t="shared" si="59"/>
        <v>1513.9054545454544</v>
      </c>
    </row>
    <row r="654" spans="1:15" s="98" customFormat="1" outlineLevel="1">
      <c r="A654" s="141" t="s">
        <v>3483</v>
      </c>
      <c r="B654" s="114" t="s">
        <v>905</v>
      </c>
      <c r="C654" s="100" t="s">
        <v>2311</v>
      </c>
      <c r="D654" s="181" t="s">
        <v>1468</v>
      </c>
      <c r="E654" s="20">
        <v>16</v>
      </c>
      <c r="F654" s="20">
        <f t="shared" si="56"/>
        <v>2242.4436363636364</v>
      </c>
      <c r="G654" s="19">
        <f t="shared" si="60"/>
        <v>35879.098181818183</v>
      </c>
      <c r="H654" s="19">
        <f t="shared" si="61"/>
        <v>147298.04967563634</v>
      </c>
      <c r="I654" s="114" t="s">
        <v>1521</v>
      </c>
      <c r="J654" s="210">
        <f>VLOOKUP(I654,'Reajuste Atual'!$L$19:$M$25,2,FALSE)</f>
        <v>3.1053999999999999</v>
      </c>
      <c r="K654" s="190"/>
      <c r="L654" s="20">
        <v>3083.36</v>
      </c>
      <c r="M654" s="765">
        <f t="shared" si="58"/>
        <v>2202.4</v>
      </c>
      <c r="N654" s="765">
        <f t="shared" si="57"/>
        <v>2242.4436363636364</v>
      </c>
      <c r="O654" s="765">
        <f t="shared" si="59"/>
        <v>2242.4436363636364</v>
      </c>
    </row>
    <row r="655" spans="1:15" s="98" customFormat="1" outlineLevel="1">
      <c r="A655" s="141" t="s">
        <v>3483</v>
      </c>
      <c r="B655" s="114" t="s">
        <v>906</v>
      </c>
      <c r="C655" s="100" t="s">
        <v>2312</v>
      </c>
      <c r="D655" s="181" t="s">
        <v>1468</v>
      </c>
      <c r="E655" s="20">
        <v>16</v>
      </c>
      <c r="F655" s="20">
        <f t="shared" si="56"/>
        <v>1876.8290909090908</v>
      </c>
      <c r="G655" s="19">
        <f t="shared" si="60"/>
        <v>30029.265454545453</v>
      </c>
      <c r="H655" s="19">
        <f t="shared" si="61"/>
        <v>123282.1463970909</v>
      </c>
      <c r="I655" s="114" t="s">
        <v>1521</v>
      </c>
      <c r="J655" s="210">
        <f>VLOOKUP(I655,'Reajuste Atual'!$L$19:$M$25,2,FALSE)</f>
        <v>3.1053999999999999</v>
      </c>
      <c r="K655" s="190"/>
      <c r="L655" s="20">
        <v>2580.64</v>
      </c>
      <c r="M655" s="765">
        <f t="shared" si="58"/>
        <v>1843.3142857142857</v>
      </c>
      <c r="N655" s="765">
        <f t="shared" si="57"/>
        <v>1876.8290909090908</v>
      </c>
      <c r="O655" s="765">
        <f t="shared" si="59"/>
        <v>1876.8290909090908</v>
      </c>
    </row>
    <row r="656" spans="1:15" s="98" customFormat="1" outlineLevel="1">
      <c r="A656" s="141" t="s">
        <v>3483</v>
      </c>
      <c r="B656" s="114" t="s">
        <v>907</v>
      </c>
      <c r="C656" s="100" t="s">
        <v>2313</v>
      </c>
      <c r="D656" s="181" t="s">
        <v>1468</v>
      </c>
      <c r="E656" s="20">
        <v>8</v>
      </c>
      <c r="F656" s="20">
        <f t="shared" si="56"/>
        <v>3245.818181818182</v>
      </c>
      <c r="G656" s="19">
        <f t="shared" si="60"/>
        <v>25966.545454545456</v>
      </c>
      <c r="H656" s="19">
        <f t="shared" si="61"/>
        <v>106603.0557090909</v>
      </c>
      <c r="I656" s="114" t="s">
        <v>1521</v>
      </c>
      <c r="J656" s="210">
        <f>VLOOKUP(I656,'Reajuste Atual'!$L$19:$M$25,2,FALSE)</f>
        <v>3.1053999999999999</v>
      </c>
      <c r="K656" s="190"/>
      <c r="L656" s="20">
        <v>4463</v>
      </c>
      <c r="M656" s="765">
        <f t="shared" si="58"/>
        <v>3187.8571428571431</v>
      </c>
      <c r="N656" s="765">
        <f t="shared" si="57"/>
        <v>3245.818181818182</v>
      </c>
      <c r="O656" s="765">
        <f t="shared" si="59"/>
        <v>3245.818181818182</v>
      </c>
    </row>
    <row r="657" spans="1:15" s="98" customFormat="1" outlineLevel="1">
      <c r="A657" s="141" t="s">
        <v>3483</v>
      </c>
      <c r="B657" s="114" t="s">
        <v>908</v>
      </c>
      <c r="C657" s="100" t="s">
        <v>2314</v>
      </c>
      <c r="D657" s="181" t="s">
        <v>1468</v>
      </c>
      <c r="E657" s="20">
        <v>8</v>
      </c>
      <c r="F657" s="20">
        <f t="shared" si="56"/>
        <v>1933.44</v>
      </c>
      <c r="G657" s="19">
        <f t="shared" si="60"/>
        <v>15467.52</v>
      </c>
      <c r="H657" s="19">
        <f t="shared" si="61"/>
        <v>63500.356607999995</v>
      </c>
      <c r="I657" s="114" t="s">
        <v>1521</v>
      </c>
      <c r="J657" s="210">
        <f>VLOOKUP(I657,'Reajuste Atual'!$L$19:$M$25,2,FALSE)</f>
        <v>3.1053999999999999</v>
      </c>
      <c r="K657" s="190"/>
      <c r="L657" s="20">
        <v>2658.48</v>
      </c>
      <c r="M657" s="765">
        <f t="shared" si="58"/>
        <v>1898.9142857142858</v>
      </c>
      <c r="N657" s="765">
        <f t="shared" si="57"/>
        <v>1933.44</v>
      </c>
      <c r="O657" s="765">
        <f t="shared" si="59"/>
        <v>1933.44</v>
      </c>
    </row>
    <row r="658" spans="1:15" s="98" customFormat="1" outlineLevel="1">
      <c r="A658" s="141" t="s">
        <v>3483</v>
      </c>
      <c r="B658" s="114" t="s">
        <v>909</v>
      </c>
      <c r="C658" s="100" t="s">
        <v>2315</v>
      </c>
      <c r="D658" s="181" t="s">
        <v>1468</v>
      </c>
      <c r="E658" s="20">
        <v>8</v>
      </c>
      <c r="F658" s="20">
        <f t="shared" si="56"/>
        <v>2468.181818181818</v>
      </c>
      <c r="G658" s="19">
        <f t="shared" si="60"/>
        <v>19745.454545454544</v>
      </c>
      <c r="H658" s="19">
        <f t="shared" si="61"/>
        <v>81062.989090909075</v>
      </c>
      <c r="I658" s="114" t="s">
        <v>1521</v>
      </c>
      <c r="J658" s="210">
        <f>VLOOKUP(I658,'Reajuste Atual'!$L$19:$M$25,2,FALSE)</f>
        <v>3.1053999999999999</v>
      </c>
      <c r="K658" s="190"/>
      <c r="L658" s="20">
        <v>3393.75</v>
      </c>
      <c r="M658" s="765">
        <f t="shared" si="58"/>
        <v>2424.1071428571431</v>
      </c>
      <c r="N658" s="765">
        <f t="shared" si="57"/>
        <v>2468.181818181818</v>
      </c>
      <c r="O658" s="765">
        <f t="shared" si="59"/>
        <v>2468.181818181818</v>
      </c>
    </row>
    <row r="659" spans="1:15" s="98" customFormat="1" outlineLevel="1">
      <c r="A659" s="141" t="s">
        <v>3483</v>
      </c>
      <c r="B659" s="114" t="s">
        <v>910</v>
      </c>
      <c r="C659" s="100" t="s">
        <v>2316</v>
      </c>
      <c r="D659" s="181" t="s">
        <v>1468</v>
      </c>
      <c r="E659" s="20">
        <v>16</v>
      </c>
      <c r="F659" s="20">
        <f t="shared" si="56"/>
        <v>2835.1490909090908</v>
      </c>
      <c r="G659" s="19">
        <f t="shared" si="60"/>
        <v>45362.385454545452</v>
      </c>
      <c r="H659" s="19">
        <f t="shared" si="61"/>
        <v>186230.73724509089</v>
      </c>
      <c r="I659" s="114" t="s">
        <v>1521</v>
      </c>
      <c r="J659" s="210">
        <f>VLOOKUP(I659,'Reajuste Atual'!$L$19:$M$25,2,FALSE)</f>
        <v>3.1053999999999999</v>
      </c>
      <c r="K659" s="190"/>
      <c r="L659" s="20">
        <v>3898.33</v>
      </c>
      <c r="M659" s="765">
        <f t="shared" si="58"/>
        <v>2784.5214285714287</v>
      </c>
      <c r="N659" s="765">
        <f t="shared" si="57"/>
        <v>2835.1490909090908</v>
      </c>
      <c r="O659" s="765">
        <f t="shared" si="59"/>
        <v>2835.1490909090908</v>
      </c>
    </row>
    <row r="660" spans="1:15" s="98" customFormat="1" outlineLevel="1">
      <c r="A660" s="141" t="s">
        <v>3483</v>
      </c>
      <c r="B660" s="114" t="s">
        <v>911</v>
      </c>
      <c r="C660" s="100" t="s">
        <v>2317</v>
      </c>
      <c r="D660" s="181" t="s">
        <v>1468</v>
      </c>
      <c r="E660" s="20">
        <v>8</v>
      </c>
      <c r="F660" s="20">
        <f t="shared" si="56"/>
        <v>5445.716363636363</v>
      </c>
      <c r="G660" s="19">
        <f t="shared" si="60"/>
        <v>43565.730909090904</v>
      </c>
      <c r="H660" s="19">
        <f t="shared" si="61"/>
        <v>178854.75167418178</v>
      </c>
      <c r="I660" s="114" t="s">
        <v>1521</v>
      </c>
      <c r="J660" s="210">
        <f>VLOOKUP(I660,'Reajuste Atual'!$L$19:$M$25,2,FALSE)</f>
        <v>3.1053999999999999</v>
      </c>
      <c r="K660" s="190"/>
      <c r="L660" s="20">
        <v>7487.86</v>
      </c>
      <c r="M660" s="765">
        <f t="shared" si="58"/>
        <v>5348.471428571429</v>
      </c>
      <c r="N660" s="765">
        <f t="shared" si="57"/>
        <v>5445.716363636363</v>
      </c>
      <c r="O660" s="765">
        <f t="shared" si="59"/>
        <v>5445.716363636363</v>
      </c>
    </row>
    <row r="661" spans="1:15" s="98" customFormat="1" outlineLevel="1">
      <c r="A661" s="141" t="s">
        <v>3483</v>
      </c>
      <c r="B661" s="114" t="s">
        <v>912</v>
      </c>
      <c r="C661" s="100" t="s">
        <v>2318</v>
      </c>
      <c r="D661" s="181" t="s">
        <v>1468</v>
      </c>
      <c r="E661" s="20">
        <v>8</v>
      </c>
      <c r="F661" s="20">
        <f t="shared" si="56"/>
        <v>2874.7127272727271</v>
      </c>
      <c r="G661" s="19">
        <f t="shared" si="60"/>
        <v>22997.701818181817</v>
      </c>
      <c r="H661" s="19">
        <f t="shared" si="61"/>
        <v>94414.765044363623</v>
      </c>
      <c r="I661" s="114" t="s">
        <v>1521</v>
      </c>
      <c r="J661" s="210">
        <f>VLOOKUP(I661,'Reajuste Atual'!$L$19:$M$25,2,FALSE)</f>
        <v>3.1053999999999999</v>
      </c>
      <c r="K661" s="190"/>
      <c r="L661" s="20">
        <v>3952.73</v>
      </c>
      <c r="M661" s="765">
        <f t="shared" si="58"/>
        <v>2823.3785714285718</v>
      </c>
      <c r="N661" s="765">
        <f t="shared" si="57"/>
        <v>2874.7127272727271</v>
      </c>
      <c r="O661" s="765">
        <f t="shared" si="59"/>
        <v>2874.7127272727271</v>
      </c>
    </row>
    <row r="662" spans="1:15" s="98" customFormat="1" outlineLevel="1">
      <c r="A662" s="141" t="s">
        <v>3483</v>
      </c>
      <c r="B662" s="114" t="s">
        <v>913</v>
      </c>
      <c r="C662" s="100" t="s">
        <v>2319</v>
      </c>
      <c r="D662" s="181" t="s">
        <v>1468</v>
      </c>
      <c r="E662" s="20">
        <v>8</v>
      </c>
      <c r="F662" s="20">
        <f t="shared" si="56"/>
        <v>3749.0181818181813</v>
      </c>
      <c r="G662" s="19">
        <f t="shared" si="60"/>
        <v>29992.145454545451</v>
      </c>
      <c r="H662" s="19">
        <f t="shared" si="61"/>
        <v>123129.75394909088</v>
      </c>
      <c r="I662" s="114" t="s">
        <v>1521</v>
      </c>
      <c r="J662" s="210">
        <f>VLOOKUP(I662,'Reajuste Atual'!$L$19:$M$25,2,FALSE)</f>
        <v>3.1053999999999999</v>
      </c>
      <c r="K662" s="190"/>
      <c r="L662" s="20">
        <v>5154.8999999999996</v>
      </c>
      <c r="M662" s="765">
        <f t="shared" si="58"/>
        <v>3682.0714285714284</v>
      </c>
      <c r="N662" s="765">
        <f t="shared" si="57"/>
        <v>3749.0181818181813</v>
      </c>
      <c r="O662" s="765">
        <f t="shared" si="59"/>
        <v>3749.0181818181813</v>
      </c>
    </row>
    <row r="663" spans="1:15" s="98" customFormat="1" outlineLevel="1">
      <c r="A663" s="141" t="s">
        <v>3483</v>
      </c>
      <c r="B663" s="114" t="s">
        <v>914</v>
      </c>
      <c r="C663" s="100" t="s">
        <v>2320</v>
      </c>
      <c r="D663" s="181" t="s">
        <v>1468</v>
      </c>
      <c r="E663" s="20">
        <v>16</v>
      </c>
      <c r="F663" s="20">
        <f t="shared" si="56"/>
        <v>1377.7309090909091</v>
      </c>
      <c r="G663" s="19">
        <f t="shared" si="60"/>
        <v>22043.694545454546</v>
      </c>
      <c r="H663" s="19">
        <f t="shared" si="61"/>
        <v>90498.183586909086</v>
      </c>
      <c r="I663" s="114" t="s">
        <v>1521</v>
      </c>
      <c r="J663" s="210">
        <f>VLOOKUP(I663,'Reajuste Atual'!$L$19:$M$25,2,FALSE)</f>
        <v>3.1053999999999999</v>
      </c>
      <c r="K663" s="190"/>
      <c r="L663" s="20">
        <v>1894.38</v>
      </c>
      <c r="M663" s="765">
        <f t="shared" si="58"/>
        <v>1353.1285714285716</v>
      </c>
      <c r="N663" s="765">
        <f t="shared" si="57"/>
        <v>1377.7309090909091</v>
      </c>
      <c r="O663" s="765">
        <f t="shared" si="59"/>
        <v>1377.7309090909091</v>
      </c>
    </row>
    <row r="664" spans="1:15" s="98" customFormat="1" outlineLevel="1">
      <c r="A664" s="141" t="s">
        <v>3483</v>
      </c>
      <c r="B664" s="114" t="s">
        <v>915</v>
      </c>
      <c r="C664" s="100" t="s">
        <v>2321</v>
      </c>
      <c r="D664" s="181" t="s">
        <v>1468</v>
      </c>
      <c r="E664" s="20">
        <v>5</v>
      </c>
      <c r="F664" s="20">
        <f t="shared" si="56"/>
        <v>6046.9963636363645</v>
      </c>
      <c r="G664" s="19">
        <f t="shared" si="60"/>
        <v>30234.981818181823</v>
      </c>
      <c r="H664" s="19">
        <f t="shared" si="61"/>
        <v>124126.69435636365</v>
      </c>
      <c r="I664" s="114" t="s">
        <v>1521</v>
      </c>
      <c r="J664" s="210">
        <f>VLOOKUP(I664,'Reajuste Atual'!$L$19:$M$25,2,FALSE)</f>
        <v>3.1053999999999999</v>
      </c>
      <c r="K664" s="190"/>
      <c r="L664" s="20">
        <v>8314.6200000000008</v>
      </c>
      <c r="M664" s="765">
        <f t="shared" si="58"/>
        <v>5939.0142857142864</v>
      </c>
      <c r="N664" s="765">
        <f t="shared" si="57"/>
        <v>6046.9963636363645</v>
      </c>
      <c r="O664" s="765">
        <f t="shared" si="59"/>
        <v>6046.9963636363645</v>
      </c>
    </row>
    <row r="665" spans="1:15" s="98" customFormat="1" outlineLevel="1">
      <c r="A665" s="141" t="s">
        <v>3483</v>
      </c>
      <c r="B665" s="114" t="s">
        <v>2844</v>
      </c>
      <c r="C665" s="119" t="s">
        <v>2845</v>
      </c>
      <c r="D665" s="181" t="s">
        <v>1468</v>
      </c>
      <c r="E665" s="20">
        <v>4</v>
      </c>
      <c r="F665" s="20">
        <f t="shared" si="56"/>
        <v>61663.176996139024</v>
      </c>
      <c r="G665" s="19">
        <f t="shared" si="60"/>
        <v>246652.70798455609</v>
      </c>
      <c r="H665" s="19">
        <f t="shared" si="61"/>
        <v>1012608.0273597965</v>
      </c>
      <c r="I665" s="114" t="s">
        <v>1521</v>
      </c>
      <c r="J665" s="210">
        <f>VLOOKUP(I665,'Reajuste Atual'!$L$19:$M$25,2,FALSE)</f>
        <v>3.1053999999999999</v>
      </c>
      <c r="K665" s="190"/>
      <c r="L665" s="20">
        <v>84786.868369691161</v>
      </c>
      <c r="M665" s="765">
        <f t="shared" si="58"/>
        <v>60562.04883549369</v>
      </c>
      <c r="N665" s="765">
        <f t="shared" si="57"/>
        <v>61663.176996139024</v>
      </c>
      <c r="O665" s="765">
        <f t="shared" si="59"/>
        <v>61663.176996139024</v>
      </c>
    </row>
    <row r="666" spans="1:15" s="98" customFormat="1" outlineLevel="1">
      <c r="A666" s="141" t="s">
        <v>3483</v>
      </c>
      <c r="B666" s="114" t="s">
        <v>2846</v>
      </c>
      <c r="C666" s="119" t="s">
        <v>2847</v>
      </c>
      <c r="D666" s="181" t="s">
        <v>1468</v>
      </c>
      <c r="E666" s="20">
        <v>4</v>
      </c>
      <c r="F666" s="20">
        <f t="shared" ref="F666:F672" si="62">O666</f>
        <v>52320.271390663416</v>
      </c>
      <c r="G666" s="19">
        <f t="shared" si="60"/>
        <v>209281.08556265366</v>
      </c>
      <c r="H666" s="19">
        <f t="shared" si="61"/>
        <v>859182.56866891822</v>
      </c>
      <c r="I666" s="114" t="s">
        <v>1521</v>
      </c>
      <c r="J666" s="210">
        <f>VLOOKUP(I666,'Reajuste Atual'!$L$19:$M$25,2,FALSE)</f>
        <v>3.1053999999999999</v>
      </c>
      <c r="K666" s="190"/>
      <c r="L666" s="20">
        <v>71940.373162162199</v>
      </c>
      <c r="M666" s="765">
        <f t="shared" si="58"/>
        <v>51385.980830115863</v>
      </c>
      <c r="N666" s="765">
        <f t="shared" ref="N666:N729" si="63">L666/($N$23+1)</f>
        <v>52320.271390663416</v>
      </c>
      <c r="O666" s="765">
        <f t="shared" si="59"/>
        <v>52320.271390663416</v>
      </c>
    </row>
    <row r="667" spans="1:15" s="98" customFormat="1" outlineLevel="1">
      <c r="A667" s="141" t="s">
        <v>3483</v>
      </c>
      <c r="B667" s="114" t="s">
        <v>2848</v>
      </c>
      <c r="C667" s="100" t="s">
        <v>1441</v>
      </c>
      <c r="D667" s="181" t="s">
        <v>1468</v>
      </c>
      <c r="E667" s="20">
        <v>16</v>
      </c>
      <c r="F667" s="20">
        <f t="shared" si="62"/>
        <v>276.9309090909091</v>
      </c>
      <c r="G667" s="19">
        <f t="shared" si="60"/>
        <v>4430.8945454545456</v>
      </c>
      <c r="H667" s="19">
        <f t="shared" si="61"/>
        <v>18190.59446690909</v>
      </c>
      <c r="I667" s="114" t="s">
        <v>1521</v>
      </c>
      <c r="J667" s="210">
        <f>VLOOKUP(I667,'Reajuste Atual'!$L$19:$M$25,2,FALSE)</f>
        <v>3.1053999999999999</v>
      </c>
      <c r="K667" s="190"/>
      <c r="L667" s="20">
        <v>380.78</v>
      </c>
      <c r="M667" s="765">
        <f t="shared" ref="M667:M672" si="64">L667/($M$23+1)</f>
        <v>271.98571428571427</v>
      </c>
      <c r="N667" s="765">
        <f t="shared" si="63"/>
        <v>276.9309090909091</v>
      </c>
      <c r="O667" s="765">
        <f t="shared" si="59"/>
        <v>276.9309090909091</v>
      </c>
    </row>
    <row r="668" spans="1:15" s="98" customFormat="1" outlineLevel="1">
      <c r="A668" s="141" t="s">
        <v>3483</v>
      </c>
      <c r="B668" s="114" t="s">
        <v>2849</v>
      </c>
      <c r="C668" s="100" t="s">
        <v>1440</v>
      </c>
      <c r="D668" s="181" t="s">
        <v>1468</v>
      </c>
      <c r="E668" s="20">
        <v>16</v>
      </c>
      <c r="F668" s="20">
        <f t="shared" si="62"/>
        <v>268.62545454545455</v>
      </c>
      <c r="G668" s="19">
        <f t="shared" si="60"/>
        <v>4298.0072727272727</v>
      </c>
      <c r="H668" s="19">
        <f t="shared" si="61"/>
        <v>17645.039057454542</v>
      </c>
      <c r="I668" s="114" t="s">
        <v>1521</v>
      </c>
      <c r="J668" s="210">
        <f>VLOOKUP(I668,'Reajuste Atual'!$L$19:$M$25,2,FALSE)</f>
        <v>3.1053999999999999</v>
      </c>
      <c r="K668" s="190"/>
      <c r="L668" s="20">
        <v>369.36</v>
      </c>
      <c r="M668" s="765">
        <f t="shared" si="64"/>
        <v>263.82857142857148</v>
      </c>
      <c r="N668" s="765">
        <f t="shared" si="63"/>
        <v>268.62545454545455</v>
      </c>
      <c r="O668" s="765">
        <f t="shared" ref="O668:O731" si="65">IF(A668="S",M668,N668)</f>
        <v>268.62545454545455</v>
      </c>
    </row>
    <row r="669" spans="1:15" s="98" customFormat="1" outlineLevel="1">
      <c r="A669" s="141" t="s">
        <v>3483</v>
      </c>
      <c r="B669" s="114" t="s">
        <v>2850</v>
      </c>
      <c r="C669" s="100" t="s">
        <v>2851</v>
      </c>
      <c r="D669" s="181" t="s">
        <v>1468</v>
      </c>
      <c r="E669" s="20">
        <v>16</v>
      </c>
      <c r="F669" s="20">
        <f t="shared" si="62"/>
        <v>425.61454545454546</v>
      </c>
      <c r="G669" s="19">
        <f t="shared" si="60"/>
        <v>6809.8327272727274</v>
      </c>
      <c r="H669" s="19">
        <f t="shared" si="61"/>
        <v>27957.087278545452</v>
      </c>
      <c r="I669" s="114" t="s">
        <v>1521</v>
      </c>
      <c r="J669" s="210">
        <f>VLOOKUP(I669,'Reajuste Atual'!$L$19:$M$25,2,FALSE)</f>
        <v>3.1053999999999999</v>
      </c>
      <c r="K669" s="190"/>
      <c r="L669" s="20">
        <v>585.22</v>
      </c>
      <c r="M669" s="765">
        <f t="shared" si="64"/>
        <v>418.01428571428573</v>
      </c>
      <c r="N669" s="765">
        <f t="shared" si="63"/>
        <v>425.61454545454546</v>
      </c>
      <c r="O669" s="765">
        <f t="shared" si="65"/>
        <v>425.61454545454546</v>
      </c>
    </row>
    <row r="670" spans="1:15" s="98" customFormat="1" outlineLevel="1">
      <c r="A670" s="141" t="s">
        <v>3483</v>
      </c>
      <c r="B670" s="114" t="s">
        <v>2852</v>
      </c>
      <c r="C670" s="100" t="s">
        <v>2853</v>
      </c>
      <c r="D670" s="181" t="s">
        <v>1468</v>
      </c>
      <c r="E670" s="20">
        <v>16</v>
      </c>
      <c r="F670" s="20">
        <f t="shared" si="62"/>
        <v>423.43272727272728</v>
      </c>
      <c r="G670" s="19">
        <f t="shared" si="60"/>
        <v>6774.9236363636364</v>
      </c>
      <c r="H670" s="19">
        <f t="shared" si="61"/>
        <v>27813.77149672727</v>
      </c>
      <c r="I670" s="114" t="s">
        <v>1521</v>
      </c>
      <c r="J670" s="210">
        <f>VLOOKUP(I670,'Reajuste Atual'!$L$19:$M$25,2,FALSE)</f>
        <v>3.1053999999999999</v>
      </c>
      <c r="K670" s="190"/>
      <c r="L670" s="20">
        <v>582.22</v>
      </c>
      <c r="M670" s="765">
        <f t="shared" si="64"/>
        <v>415.87142857142862</v>
      </c>
      <c r="N670" s="765">
        <f t="shared" si="63"/>
        <v>423.43272727272728</v>
      </c>
      <c r="O670" s="765">
        <f t="shared" si="65"/>
        <v>423.43272727272728</v>
      </c>
    </row>
    <row r="671" spans="1:15" s="98" customFormat="1" outlineLevel="1">
      <c r="A671" s="141" t="s">
        <v>3483</v>
      </c>
      <c r="B671" s="114" t="s">
        <v>2854</v>
      </c>
      <c r="C671" s="100" t="s">
        <v>2855</v>
      </c>
      <c r="D671" s="181" t="s">
        <v>1468</v>
      </c>
      <c r="E671" s="20">
        <v>1</v>
      </c>
      <c r="F671" s="20">
        <f t="shared" si="62"/>
        <v>536.77090909090907</v>
      </c>
      <c r="G671" s="19">
        <f t="shared" si="60"/>
        <v>536.77090909090907</v>
      </c>
      <c r="H671" s="19">
        <f t="shared" si="61"/>
        <v>2203.6592901818181</v>
      </c>
      <c r="I671" s="114" t="s">
        <v>1521</v>
      </c>
      <c r="J671" s="210">
        <f>VLOOKUP(I671,'Reajuste Atual'!$L$19:$M$25,2,FALSE)</f>
        <v>3.1053999999999999</v>
      </c>
      <c r="K671" s="190"/>
      <c r="L671" s="20">
        <v>738.06</v>
      </c>
      <c r="M671" s="765">
        <f t="shared" si="64"/>
        <v>527.18571428571431</v>
      </c>
      <c r="N671" s="765">
        <f t="shared" si="63"/>
        <v>536.77090909090907</v>
      </c>
      <c r="O671" s="765">
        <f t="shared" si="65"/>
        <v>536.77090909090907</v>
      </c>
    </row>
    <row r="672" spans="1:15" s="98" customFormat="1" ht="31.5" outlineLevel="1">
      <c r="A672" s="141" t="s">
        <v>3483</v>
      </c>
      <c r="B672" s="114" t="s">
        <v>2856</v>
      </c>
      <c r="C672" s="100" t="s">
        <v>1590</v>
      </c>
      <c r="D672" s="181" t="s">
        <v>1468</v>
      </c>
      <c r="E672" s="20">
        <v>1</v>
      </c>
      <c r="F672" s="20">
        <f t="shared" si="62"/>
        <v>484.64</v>
      </c>
      <c r="G672" s="19">
        <f t="shared" si="60"/>
        <v>484.64</v>
      </c>
      <c r="H672" s="19">
        <f t="shared" si="61"/>
        <v>1989.6410559999997</v>
      </c>
      <c r="I672" s="114" t="s">
        <v>1521</v>
      </c>
      <c r="J672" s="210">
        <f>VLOOKUP(I672,'Reajuste Atual'!$L$19:$M$25,2,FALSE)</f>
        <v>3.1053999999999999</v>
      </c>
      <c r="K672" s="190"/>
      <c r="L672" s="20">
        <v>666.38</v>
      </c>
      <c r="M672" s="765">
        <f t="shared" si="64"/>
        <v>475.98571428571432</v>
      </c>
      <c r="N672" s="765">
        <f t="shared" si="63"/>
        <v>484.64</v>
      </c>
      <c r="O672" s="765">
        <f t="shared" si="65"/>
        <v>484.64</v>
      </c>
    </row>
    <row r="673" spans="1:15" s="98" customFormat="1" outlineLevel="1">
      <c r="B673" s="115" t="s">
        <v>2857</v>
      </c>
      <c r="C673" s="102" t="s">
        <v>2858</v>
      </c>
      <c r="D673" s="85"/>
      <c r="E673" s="64"/>
      <c r="F673" s="64"/>
      <c r="G673" s="64">
        <f>G674+G678+G692+G719+G725</f>
        <v>84948.814285714296</v>
      </c>
      <c r="H673" s="64">
        <f>H674+H678+H692+H719+H725</f>
        <v>348748.86216857145</v>
      </c>
      <c r="I673" s="111"/>
      <c r="J673" s="86"/>
      <c r="K673" s="191"/>
      <c r="L673" s="20"/>
      <c r="M673" s="765"/>
      <c r="N673" s="765">
        <f t="shared" si="63"/>
        <v>0</v>
      </c>
      <c r="O673" s="765">
        <f t="shared" si="65"/>
        <v>0</v>
      </c>
    </row>
    <row r="674" spans="1:15" s="98" customFormat="1" outlineLevel="1">
      <c r="B674" s="115" t="s">
        <v>2859</v>
      </c>
      <c r="C674" s="102" t="s">
        <v>2860</v>
      </c>
      <c r="D674" s="85"/>
      <c r="E674" s="64"/>
      <c r="F674" s="64"/>
      <c r="G674" s="64">
        <f>SUM(G675:G677)</f>
        <v>3036.514285714286</v>
      </c>
      <c r="H674" s="64">
        <f>SUM(H675:H677)</f>
        <v>12466.105748571426</v>
      </c>
      <c r="I674" s="111"/>
      <c r="J674" s="86"/>
      <c r="K674" s="191"/>
      <c r="L674" s="20"/>
      <c r="M674" s="765"/>
      <c r="N674" s="765">
        <f t="shared" si="63"/>
        <v>0</v>
      </c>
      <c r="O674" s="765">
        <f t="shared" si="65"/>
        <v>0</v>
      </c>
    </row>
    <row r="675" spans="1:15" s="98" customFormat="1" outlineLevel="1">
      <c r="A675" s="141" t="s">
        <v>3478</v>
      </c>
      <c r="B675" s="791" t="s">
        <v>2861</v>
      </c>
      <c r="C675" s="100" t="s">
        <v>2741</v>
      </c>
      <c r="D675" s="181" t="s">
        <v>1468</v>
      </c>
      <c r="E675" s="20">
        <v>24</v>
      </c>
      <c r="F675" s="20">
        <f t="shared" ref="F675:F733" si="66">O675</f>
        <v>4.9928571428571429</v>
      </c>
      <c r="G675" s="19">
        <f>E675*F675</f>
        <v>119.82857142857142</v>
      </c>
      <c r="H675" s="19">
        <f t="shared" ref="H675:H677" si="67">G675*(1+J675)</f>
        <v>491.94421714285704</v>
      </c>
      <c r="I675" s="114" t="s">
        <v>1521</v>
      </c>
      <c r="J675" s="210">
        <f>VLOOKUP(I675,'Reajuste Atual'!$L$19:$M$25,2,FALSE)</f>
        <v>3.1053999999999999</v>
      </c>
      <c r="K675" s="190"/>
      <c r="L675" s="20">
        <v>6.99</v>
      </c>
      <c r="M675" s="765">
        <f t="shared" ref="M675:M733" si="68">L675/($M$23+1)</f>
        <v>4.9928571428571429</v>
      </c>
      <c r="N675" s="765">
        <f t="shared" si="63"/>
        <v>5.083636363636364</v>
      </c>
      <c r="O675" s="765">
        <f>IF(A677="S",M675,N675)</f>
        <v>4.9928571428571429</v>
      </c>
    </row>
    <row r="676" spans="1:15" s="98" customFormat="1" ht="31.5" outlineLevel="1">
      <c r="A676" s="141" t="s">
        <v>3478</v>
      </c>
      <c r="B676" s="114" t="s">
        <v>2862</v>
      </c>
      <c r="C676" s="100" t="s">
        <v>1593</v>
      </c>
      <c r="D676" s="99" t="s">
        <v>1472</v>
      </c>
      <c r="E676" s="20">
        <v>484</v>
      </c>
      <c r="F676" s="20">
        <f t="shared" si="66"/>
        <v>5.9642857142857144</v>
      </c>
      <c r="G676" s="19">
        <f>E676*F676</f>
        <v>2886.7142857142858</v>
      </c>
      <c r="H676" s="19">
        <f t="shared" si="67"/>
        <v>11851.116828571427</v>
      </c>
      <c r="I676" s="114" t="s">
        <v>1521</v>
      </c>
      <c r="J676" s="210">
        <f>VLOOKUP(I676,'Reajuste Atual'!$L$19:$M$25,2,FALSE)</f>
        <v>3.1053999999999999</v>
      </c>
      <c r="K676" s="190"/>
      <c r="L676" s="20">
        <v>8.35</v>
      </c>
      <c r="M676" s="765">
        <f t="shared" si="68"/>
        <v>5.9642857142857144</v>
      </c>
      <c r="N676" s="765">
        <f t="shared" si="63"/>
        <v>6.0727272727272723</v>
      </c>
      <c r="O676" s="765">
        <f t="shared" si="65"/>
        <v>5.9642857142857144</v>
      </c>
    </row>
    <row r="677" spans="1:15" s="98" customFormat="1" outlineLevel="1">
      <c r="A677" s="141" t="s">
        <v>3478</v>
      </c>
      <c r="B677" s="114" t="s">
        <v>2863</v>
      </c>
      <c r="C677" s="100" t="s">
        <v>1599</v>
      </c>
      <c r="D677" s="182" t="s">
        <v>1468</v>
      </c>
      <c r="E677" s="20">
        <v>4</v>
      </c>
      <c r="F677" s="20">
        <f t="shared" si="66"/>
        <v>7.4928571428571438</v>
      </c>
      <c r="G677" s="19">
        <f>E677*F677</f>
        <v>29.971428571428575</v>
      </c>
      <c r="H677" s="19">
        <f t="shared" si="67"/>
        <v>123.04470285714285</v>
      </c>
      <c r="I677" s="114" t="s">
        <v>1521</v>
      </c>
      <c r="J677" s="210">
        <f>VLOOKUP(I677,'Reajuste Atual'!$L$19:$M$25,2,FALSE)</f>
        <v>3.1053999999999999</v>
      </c>
      <c r="K677" s="190"/>
      <c r="L677" s="20">
        <v>10.49</v>
      </c>
      <c r="M677" s="765">
        <f t="shared" si="68"/>
        <v>7.4928571428571438</v>
      </c>
      <c r="N677" s="765">
        <f t="shared" si="63"/>
        <v>7.6290909090909089</v>
      </c>
      <c r="O677" s="765">
        <f t="shared" si="65"/>
        <v>7.4928571428571438</v>
      </c>
    </row>
    <row r="678" spans="1:15" s="98" customFormat="1" outlineLevel="1">
      <c r="B678" s="115" t="s">
        <v>2864</v>
      </c>
      <c r="C678" s="102" t="s">
        <v>2774</v>
      </c>
      <c r="D678" s="85"/>
      <c r="E678" s="62"/>
      <c r="F678" s="62"/>
      <c r="G678" s="64">
        <f>SUM(G679:G691)</f>
        <v>12205.328571428576</v>
      </c>
      <c r="H678" s="64">
        <f>SUM(H679:H691)</f>
        <v>50107.755917142844</v>
      </c>
      <c r="I678" s="111"/>
      <c r="J678" s="86"/>
      <c r="K678" s="191"/>
      <c r="L678" s="20"/>
      <c r="M678" s="765"/>
      <c r="N678" s="765">
        <f t="shared" si="63"/>
        <v>0</v>
      </c>
      <c r="O678" s="765">
        <f t="shared" si="65"/>
        <v>0</v>
      </c>
    </row>
    <row r="679" spans="1:15" s="98" customFormat="1" outlineLevel="1">
      <c r="A679" s="141" t="s">
        <v>3478</v>
      </c>
      <c r="B679" s="114" t="s">
        <v>2865</v>
      </c>
      <c r="C679" s="100" t="s">
        <v>2738</v>
      </c>
      <c r="D679" s="181" t="s">
        <v>1468</v>
      </c>
      <c r="E679" s="20">
        <v>24</v>
      </c>
      <c r="F679" s="20">
        <f t="shared" si="66"/>
        <v>341.28571428571433</v>
      </c>
      <c r="G679" s="19">
        <f t="shared" ref="G679:G691" si="69">E679*F679</f>
        <v>8190.857142857144</v>
      </c>
      <c r="H679" s="19">
        <f t="shared" ref="H679:H691" si="70">G679*(1+J679)</f>
        <v>33626.744914285715</v>
      </c>
      <c r="I679" s="114" t="s">
        <v>1521</v>
      </c>
      <c r="J679" s="210">
        <f>VLOOKUP(I679,'Reajuste Atual'!$L$19:$M$25,2,FALSE)</f>
        <v>3.1053999999999999</v>
      </c>
      <c r="K679" s="190"/>
      <c r="L679" s="20">
        <v>477.8</v>
      </c>
      <c r="M679" s="765">
        <f t="shared" si="68"/>
        <v>341.28571428571433</v>
      </c>
      <c r="N679" s="765">
        <f t="shared" si="63"/>
        <v>347.4909090909091</v>
      </c>
      <c r="O679" s="765">
        <f t="shared" si="65"/>
        <v>341.28571428571433</v>
      </c>
    </row>
    <row r="680" spans="1:15" s="98" customFormat="1" outlineLevel="1">
      <c r="A680" s="141" t="s">
        <v>3478</v>
      </c>
      <c r="B680" s="114" t="s">
        <v>2866</v>
      </c>
      <c r="C680" s="100" t="s">
        <v>1597</v>
      </c>
      <c r="D680" s="181" t="s">
        <v>1468</v>
      </c>
      <c r="E680" s="20">
        <v>198</v>
      </c>
      <c r="F680" s="20">
        <f t="shared" si="66"/>
        <v>2.5</v>
      </c>
      <c r="G680" s="19">
        <f t="shared" si="69"/>
        <v>495</v>
      </c>
      <c r="H680" s="19">
        <f t="shared" si="70"/>
        <v>2032.1729999999998</v>
      </c>
      <c r="I680" s="114" t="s">
        <v>1521</v>
      </c>
      <c r="J680" s="210">
        <f>VLOOKUP(I680,'Reajuste Atual'!$L$19:$M$25,2,FALSE)</f>
        <v>3.1053999999999999</v>
      </c>
      <c r="K680" s="190"/>
      <c r="L680" s="20">
        <v>3.5</v>
      </c>
      <c r="M680" s="765">
        <f t="shared" si="68"/>
        <v>2.5</v>
      </c>
      <c r="N680" s="765">
        <f t="shared" si="63"/>
        <v>2.5454545454545454</v>
      </c>
      <c r="O680" s="765">
        <f t="shared" si="65"/>
        <v>2.5</v>
      </c>
    </row>
    <row r="681" spans="1:15" s="98" customFormat="1" outlineLevel="1">
      <c r="A681" s="141" t="s">
        <v>3478</v>
      </c>
      <c r="B681" s="114" t="s">
        <v>2867</v>
      </c>
      <c r="C681" s="100" t="s">
        <v>2739</v>
      </c>
      <c r="D681" s="181" t="s">
        <v>1468</v>
      </c>
      <c r="E681" s="20">
        <v>24</v>
      </c>
      <c r="F681" s="20">
        <f t="shared" si="66"/>
        <v>5.0142857142857142</v>
      </c>
      <c r="G681" s="19">
        <f t="shared" si="69"/>
        <v>120.34285714285714</v>
      </c>
      <c r="H681" s="19">
        <f t="shared" si="70"/>
        <v>494.05556571428565</v>
      </c>
      <c r="I681" s="114" t="s">
        <v>1521</v>
      </c>
      <c r="J681" s="210">
        <f>VLOOKUP(I681,'Reajuste Atual'!$L$19:$M$25,2,FALSE)</f>
        <v>3.1053999999999999</v>
      </c>
      <c r="K681" s="190"/>
      <c r="L681" s="20">
        <v>7.02</v>
      </c>
      <c r="M681" s="765">
        <f t="shared" si="68"/>
        <v>5.0142857142857142</v>
      </c>
      <c r="N681" s="765">
        <f t="shared" si="63"/>
        <v>5.1054545454545455</v>
      </c>
      <c r="O681" s="765">
        <f t="shared" si="65"/>
        <v>5.0142857142857142</v>
      </c>
    </row>
    <row r="682" spans="1:15" s="98" customFormat="1" ht="31.5" outlineLevel="1">
      <c r="A682" s="141" t="s">
        <v>3478</v>
      </c>
      <c r="B682" s="114" t="s">
        <v>2868</v>
      </c>
      <c r="C682" s="100" t="s">
        <v>2742</v>
      </c>
      <c r="D682" s="181" t="s">
        <v>1468</v>
      </c>
      <c r="E682" s="20">
        <v>24</v>
      </c>
      <c r="F682" s="20">
        <f t="shared" si="66"/>
        <v>94.585714285714289</v>
      </c>
      <c r="G682" s="19">
        <f t="shared" si="69"/>
        <v>2270.0571428571429</v>
      </c>
      <c r="H682" s="19">
        <f t="shared" si="70"/>
        <v>9319.4925942857135</v>
      </c>
      <c r="I682" s="114" t="s">
        <v>1521</v>
      </c>
      <c r="J682" s="210">
        <f>VLOOKUP(I682,'Reajuste Atual'!$L$19:$M$25,2,FALSE)</f>
        <v>3.1053999999999999</v>
      </c>
      <c r="K682" s="190"/>
      <c r="L682" s="20">
        <v>132.41999999999999</v>
      </c>
      <c r="M682" s="765">
        <f t="shared" si="68"/>
        <v>94.585714285714289</v>
      </c>
      <c r="N682" s="765">
        <f t="shared" si="63"/>
        <v>96.305454545454538</v>
      </c>
      <c r="O682" s="765">
        <f t="shared" si="65"/>
        <v>94.585714285714289</v>
      </c>
    </row>
    <row r="683" spans="1:15" s="98" customFormat="1" outlineLevel="1">
      <c r="A683" s="141" t="s">
        <v>3478</v>
      </c>
      <c r="B683" s="114" t="s">
        <v>2869</v>
      </c>
      <c r="C683" s="100" t="s">
        <v>1598</v>
      </c>
      <c r="D683" s="181" t="s">
        <v>1468</v>
      </c>
      <c r="E683" s="20">
        <v>168</v>
      </c>
      <c r="F683" s="20">
        <f t="shared" si="66"/>
        <v>0.40000000000000008</v>
      </c>
      <c r="G683" s="19">
        <f t="shared" si="69"/>
        <v>67.200000000000017</v>
      </c>
      <c r="H683" s="19">
        <f t="shared" si="70"/>
        <v>275.88288000000006</v>
      </c>
      <c r="I683" s="114" t="s">
        <v>1521</v>
      </c>
      <c r="J683" s="210">
        <f>VLOOKUP(I683,'Reajuste Atual'!$L$19:$M$25,2,FALSE)</f>
        <v>3.1053999999999999</v>
      </c>
      <c r="K683" s="190"/>
      <c r="L683" s="20">
        <v>0.56000000000000005</v>
      </c>
      <c r="M683" s="765">
        <f t="shared" si="68"/>
        <v>0.40000000000000008</v>
      </c>
      <c r="N683" s="765">
        <f t="shared" si="63"/>
        <v>0.40727272727272729</v>
      </c>
      <c r="O683" s="765">
        <f t="shared" si="65"/>
        <v>0.40000000000000008</v>
      </c>
    </row>
    <row r="684" spans="1:15" s="98" customFormat="1" outlineLevel="1">
      <c r="A684" s="141" t="s">
        <v>3478</v>
      </c>
      <c r="B684" s="114" t="s">
        <v>2870</v>
      </c>
      <c r="C684" s="100" t="s">
        <v>2871</v>
      </c>
      <c r="D684" s="181" t="s">
        <v>1468</v>
      </c>
      <c r="E684" s="20">
        <v>24</v>
      </c>
      <c r="F684" s="20">
        <f t="shared" si="66"/>
        <v>0.44285714285714289</v>
      </c>
      <c r="G684" s="19">
        <f t="shared" si="69"/>
        <v>10.62857142857143</v>
      </c>
      <c r="H684" s="19">
        <f t="shared" si="70"/>
        <v>43.634537142857141</v>
      </c>
      <c r="I684" s="114" t="s">
        <v>1521</v>
      </c>
      <c r="J684" s="210">
        <f>VLOOKUP(I684,'Reajuste Atual'!$L$19:$M$25,2,FALSE)</f>
        <v>3.1053999999999999</v>
      </c>
      <c r="K684" s="190"/>
      <c r="L684" s="20">
        <v>0.62</v>
      </c>
      <c r="M684" s="765">
        <f t="shared" si="68"/>
        <v>0.44285714285714289</v>
      </c>
      <c r="N684" s="765">
        <f t="shared" si="63"/>
        <v>0.45090909090909093</v>
      </c>
      <c r="O684" s="765">
        <f t="shared" si="65"/>
        <v>0.44285714285714289</v>
      </c>
    </row>
    <row r="685" spans="1:15" s="98" customFormat="1" outlineLevel="1">
      <c r="A685" s="141" t="s">
        <v>3478</v>
      </c>
      <c r="B685" s="114" t="s">
        <v>2872</v>
      </c>
      <c r="C685" s="100" t="s">
        <v>2873</v>
      </c>
      <c r="D685" s="181" t="s">
        <v>1468</v>
      </c>
      <c r="E685" s="20">
        <v>72</v>
      </c>
      <c r="F685" s="20">
        <f t="shared" si="66"/>
        <v>0.44285714285714289</v>
      </c>
      <c r="G685" s="19">
        <f t="shared" si="69"/>
        <v>31.88571428571429</v>
      </c>
      <c r="H685" s="19">
        <f t="shared" si="70"/>
        <v>130.90361142857142</v>
      </c>
      <c r="I685" s="114" t="s">
        <v>1521</v>
      </c>
      <c r="J685" s="210">
        <f>VLOOKUP(I685,'Reajuste Atual'!$L$19:$M$25,2,FALSE)</f>
        <v>3.1053999999999999</v>
      </c>
      <c r="K685" s="190"/>
      <c r="L685" s="20">
        <v>0.62</v>
      </c>
      <c r="M685" s="765">
        <f t="shared" si="68"/>
        <v>0.44285714285714289</v>
      </c>
      <c r="N685" s="765">
        <f t="shared" si="63"/>
        <v>0.45090909090909093</v>
      </c>
      <c r="O685" s="765">
        <f t="shared" si="65"/>
        <v>0.44285714285714289</v>
      </c>
    </row>
    <row r="686" spans="1:15" s="98" customFormat="1" outlineLevel="1">
      <c r="A686" s="141" t="s">
        <v>3478</v>
      </c>
      <c r="B686" s="114" t="s">
        <v>2874</v>
      </c>
      <c r="C686" s="100" t="s">
        <v>2875</v>
      </c>
      <c r="D686" s="181" t="s">
        <v>1468</v>
      </c>
      <c r="E686" s="20">
        <v>24</v>
      </c>
      <c r="F686" s="20">
        <f t="shared" si="66"/>
        <v>0.44285714285714289</v>
      </c>
      <c r="G686" s="19">
        <f t="shared" si="69"/>
        <v>10.62857142857143</v>
      </c>
      <c r="H686" s="19">
        <f t="shared" si="70"/>
        <v>43.634537142857141</v>
      </c>
      <c r="I686" s="114" t="s">
        <v>1521</v>
      </c>
      <c r="J686" s="210">
        <f>VLOOKUP(I686,'Reajuste Atual'!$L$19:$M$25,2,FALSE)</f>
        <v>3.1053999999999999</v>
      </c>
      <c r="K686" s="190"/>
      <c r="L686" s="20">
        <v>0.62</v>
      </c>
      <c r="M686" s="765">
        <f t="shared" si="68"/>
        <v>0.44285714285714289</v>
      </c>
      <c r="N686" s="765">
        <f t="shared" si="63"/>
        <v>0.45090909090909093</v>
      </c>
      <c r="O686" s="765">
        <f t="shared" si="65"/>
        <v>0.44285714285714289</v>
      </c>
    </row>
    <row r="687" spans="1:15" s="98" customFormat="1" outlineLevel="1">
      <c r="A687" s="141" t="s">
        <v>3478</v>
      </c>
      <c r="B687" s="114" t="s">
        <v>2876</v>
      </c>
      <c r="C687" s="100" t="s">
        <v>2172</v>
      </c>
      <c r="D687" s="99" t="s">
        <v>1480</v>
      </c>
      <c r="E687" s="20">
        <v>24</v>
      </c>
      <c r="F687" s="20">
        <f t="shared" si="66"/>
        <v>0.75714285714285723</v>
      </c>
      <c r="G687" s="19">
        <f t="shared" si="69"/>
        <v>18.171428571428574</v>
      </c>
      <c r="H687" s="19">
        <f t="shared" si="70"/>
        <v>74.600982857142867</v>
      </c>
      <c r="I687" s="114" t="s">
        <v>1521</v>
      </c>
      <c r="J687" s="210">
        <f>VLOOKUP(I687,'Reajuste Atual'!$L$19:$M$25,2,FALSE)</f>
        <v>3.1053999999999999</v>
      </c>
      <c r="K687" s="190"/>
      <c r="L687" s="20">
        <v>1.06</v>
      </c>
      <c r="M687" s="765">
        <f t="shared" si="68"/>
        <v>0.75714285714285723</v>
      </c>
      <c r="N687" s="765">
        <f t="shared" si="63"/>
        <v>0.77090909090909099</v>
      </c>
      <c r="O687" s="765">
        <f t="shared" si="65"/>
        <v>0.75714285714285723</v>
      </c>
    </row>
    <row r="688" spans="1:15" s="98" customFormat="1" outlineLevel="1">
      <c r="A688" s="141" t="s">
        <v>3478</v>
      </c>
      <c r="B688" s="114" t="s">
        <v>2877</v>
      </c>
      <c r="C688" s="100" t="s">
        <v>2724</v>
      </c>
      <c r="D688" s="181" t="s">
        <v>1468</v>
      </c>
      <c r="E688" s="20">
        <v>42</v>
      </c>
      <c r="F688" s="20">
        <f t="shared" si="66"/>
        <v>6.1928571428571431</v>
      </c>
      <c r="G688" s="19">
        <f t="shared" si="69"/>
        <v>260.10000000000002</v>
      </c>
      <c r="H688" s="19">
        <f t="shared" si="70"/>
        <v>1067.8145399999999</v>
      </c>
      <c r="I688" s="114" t="s">
        <v>1521</v>
      </c>
      <c r="J688" s="210">
        <f>VLOOKUP(I688,'Reajuste Atual'!$L$19:$M$25,2,FALSE)</f>
        <v>3.1053999999999999</v>
      </c>
      <c r="K688" s="190"/>
      <c r="L688" s="20">
        <v>8.67</v>
      </c>
      <c r="M688" s="765">
        <f t="shared" si="68"/>
        <v>6.1928571428571431</v>
      </c>
      <c r="N688" s="765">
        <f t="shared" si="63"/>
        <v>6.3054545454545456</v>
      </c>
      <c r="O688" s="765">
        <f t="shared" si="65"/>
        <v>6.1928571428571431</v>
      </c>
    </row>
    <row r="689" spans="1:15" s="98" customFormat="1" outlineLevel="1">
      <c r="A689" s="141" t="s">
        <v>3478</v>
      </c>
      <c r="B689" s="114" t="s">
        <v>2878</v>
      </c>
      <c r="C689" s="100" t="s">
        <v>2879</v>
      </c>
      <c r="D689" s="181" t="s">
        <v>1468</v>
      </c>
      <c r="E689" s="20">
        <v>72</v>
      </c>
      <c r="F689" s="20">
        <f t="shared" si="66"/>
        <v>0.44285714285714289</v>
      </c>
      <c r="G689" s="19">
        <f t="shared" si="69"/>
        <v>31.88571428571429</v>
      </c>
      <c r="H689" s="19">
        <f t="shared" si="70"/>
        <v>130.90361142857142</v>
      </c>
      <c r="I689" s="114" t="s">
        <v>1521</v>
      </c>
      <c r="J689" s="210">
        <f>VLOOKUP(I689,'Reajuste Atual'!$L$19:$M$25,2,FALSE)</f>
        <v>3.1053999999999999</v>
      </c>
      <c r="K689" s="190"/>
      <c r="L689" s="20">
        <v>0.62</v>
      </c>
      <c r="M689" s="765">
        <f t="shared" si="68"/>
        <v>0.44285714285714289</v>
      </c>
      <c r="N689" s="765">
        <f t="shared" si="63"/>
        <v>0.45090909090909093</v>
      </c>
      <c r="O689" s="765">
        <f t="shared" si="65"/>
        <v>0.44285714285714289</v>
      </c>
    </row>
    <row r="690" spans="1:15" s="98" customFormat="1" outlineLevel="1">
      <c r="A690" s="141" t="s">
        <v>3478</v>
      </c>
      <c r="B690" s="114" t="s">
        <v>2880</v>
      </c>
      <c r="C690" s="100" t="s">
        <v>2881</v>
      </c>
      <c r="D690" s="181" t="s">
        <v>1468</v>
      </c>
      <c r="E690" s="20">
        <v>312</v>
      </c>
      <c r="F690" s="20">
        <f t="shared" si="66"/>
        <v>1.892857142857143</v>
      </c>
      <c r="G690" s="19">
        <f t="shared" si="69"/>
        <v>590.57142857142867</v>
      </c>
      <c r="H690" s="19">
        <f t="shared" si="70"/>
        <v>2424.5319428571429</v>
      </c>
      <c r="I690" s="114" t="s">
        <v>1521</v>
      </c>
      <c r="J690" s="210">
        <f>VLOOKUP(I690,'Reajuste Atual'!$L$19:$M$25,2,FALSE)</f>
        <v>3.1053999999999999</v>
      </c>
      <c r="K690" s="190"/>
      <c r="L690" s="20">
        <v>2.65</v>
      </c>
      <c r="M690" s="765">
        <f t="shared" si="68"/>
        <v>1.892857142857143</v>
      </c>
      <c r="N690" s="765">
        <f t="shared" si="63"/>
        <v>1.9272727272727272</v>
      </c>
      <c r="O690" s="765">
        <f t="shared" si="65"/>
        <v>1.892857142857143</v>
      </c>
    </row>
    <row r="691" spans="1:15" s="98" customFormat="1" ht="47.25" outlineLevel="1">
      <c r="A691" s="141" t="s">
        <v>3478</v>
      </c>
      <c r="B691" s="114" t="s">
        <v>2882</v>
      </c>
      <c r="C691" s="100" t="s">
        <v>2727</v>
      </c>
      <c r="D691" s="99" t="s">
        <v>1480</v>
      </c>
      <c r="E691" s="20">
        <v>144</v>
      </c>
      <c r="F691" s="20">
        <f t="shared" si="66"/>
        <v>0.75000000000000011</v>
      </c>
      <c r="G691" s="19">
        <f t="shared" si="69"/>
        <v>108.00000000000001</v>
      </c>
      <c r="H691" s="19">
        <f t="shared" si="70"/>
        <v>443.38319999999999</v>
      </c>
      <c r="I691" s="114" t="s">
        <v>1521</v>
      </c>
      <c r="J691" s="210">
        <f>VLOOKUP(I691,'Reajuste Atual'!$L$19:$M$25,2,FALSE)</f>
        <v>3.1053999999999999</v>
      </c>
      <c r="K691" s="190"/>
      <c r="L691" s="20">
        <v>1.05</v>
      </c>
      <c r="M691" s="765">
        <f t="shared" si="68"/>
        <v>0.75000000000000011</v>
      </c>
      <c r="N691" s="765">
        <f t="shared" si="63"/>
        <v>0.76363636363636367</v>
      </c>
      <c r="O691" s="765">
        <f t="shared" si="65"/>
        <v>0.75000000000000011</v>
      </c>
    </row>
    <row r="692" spans="1:15" s="98" customFormat="1" outlineLevel="1">
      <c r="B692" s="115" t="s">
        <v>2883</v>
      </c>
      <c r="C692" s="102" t="s">
        <v>2884</v>
      </c>
      <c r="D692" s="85"/>
      <c r="E692" s="62"/>
      <c r="F692" s="62"/>
      <c r="G692" s="64">
        <f>SUM(G693:G718)</f>
        <v>0</v>
      </c>
      <c r="H692" s="64">
        <f>SUM(H693:H718)</f>
        <v>0</v>
      </c>
      <c r="I692" s="111"/>
      <c r="J692" s="86"/>
      <c r="K692" s="191"/>
      <c r="L692" s="20"/>
      <c r="M692" s="765"/>
      <c r="N692" s="765">
        <f t="shared" si="63"/>
        <v>0</v>
      </c>
      <c r="O692" s="765">
        <f t="shared" si="65"/>
        <v>0</v>
      </c>
    </row>
    <row r="693" spans="1:15" s="98" customFormat="1" outlineLevel="1">
      <c r="A693" s="141" t="s">
        <v>3478</v>
      </c>
      <c r="B693" s="114" t="s">
        <v>2885</v>
      </c>
      <c r="C693" s="100" t="s">
        <v>1601</v>
      </c>
      <c r="D693" s="99" t="s">
        <v>1472</v>
      </c>
      <c r="E693" s="491"/>
      <c r="F693" s="20">
        <f t="shared" si="66"/>
        <v>7.4928571428571438</v>
      </c>
      <c r="G693" s="19">
        <f t="shared" ref="G693:G718" si="71">E693*F693</f>
        <v>0</v>
      </c>
      <c r="H693" s="19">
        <f t="shared" ref="H693:H718" si="72">G693*(1+J693)</f>
        <v>0</v>
      </c>
      <c r="I693" s="114" t="s">
        <v>1521</v>
      </c>
      <c r="J693" s="210">
        <f>VLOOKUP(I693,'Reajuste Atual'!$L$19:$M$25,2,FALSE)</f>
        <v>3.1053999999999999</v>
      </c>
      <c r="K693" s="190"/>
      <c r="L693" s="20">
        <v>10.49</v>
      </c>
      <c r="M693" s="765">
        <f t="shared" si="68"/>
        <v>7.4928571428571438</v>
      </c>
      <c r="N693" s="765">
        <f t="shared" si="63"/>
        <v>7.6290909090909089</v>
      </c>
      <c r="O693" s="765">
        <f t="shared" si="65"/>
        <v>7.4928571428571438</v>
      </c>
    </row>
    <row r="694" spans="1:15" s="98" customFormat="1" outlineLevel="1">
      <c r="A694" s="141" t="s">
        <v>3478</v>
      </c>
      <c r="B694" s="114" t="s">
        <v>2886</v>
      </c>
      <c r="C694" s="100" t="s">
        <v>2763</v>
      </c>
      <c r="D694" s="99" t="s">
        <v>1472</v>
      </c>
      <c r="E694" s="491"/>
      <c r="F694" s="20">
        <f t="shared" si="66"/>
        <v>9.0285714285714302</v>
      </c>
      <c r="G694" s="19">
        <f t="shared" si="71"/>
        <v>0</v>
      </c>
      <c r="H694" s="19">
        <f t="shared" si="72"/>
        <v>0</v>
      </c>
      <c r="I694" s="114" t="s">
        <v>1521</v>
      </c>
      <c r="J694" s="210">
        <f>VLOOKUP(I694,'Reajuste Atual'!$L$19:$M$25,2,FALSE)</f>
        <v>3.1053999999999999</v>
      </c>
      <c r="K694" s="190"/>
      <c r="L694" s="20">
        <v>12.64</v>
      </c>
      <c r="M694" s="765">
        <f t="shared" si="68"/>
        <v>9.0285714285714302</v>
      </c>
      <c r="N694" s="765">
        <f t="shared" si="63"/>
        <v>9.1927272727272733</v>
      </c>
      <c r="O694" s="765">
        <f t="shared" si="65"/>
        <v>9.0285714285714302</v>
      </c>
    </row>
    <row r="695" spans="1:15" s="98" customFormat="1" outlineLevel="1">
      <c r="A695" s="141" t="s">
        <v>3478</v>
      </c>
      <c r="B695" s="114" t="s">
        <v>2887</v>
      </c>
      <c r="C695" s="100" t="s">
        <v>1602</v>
      </c>
      <c r="D695" s="80" t="s">
        <v>1472</v>
      </c>
      <c r="E695" s="491"/>
      <c r="F695" s="20">
        <f t="shared" si="66"/>
        <v>6.2428571428571438</v>
      </c>
      <c r="G695" s="19">
        <f t="shared" si="71"/>
        <v>0</v>
      </c>
      <c r="H695" s="19">
        <f t="shared" si="72"/>
        <v>0</v>
      </c>
      <c r="I695" s="114" t="s">
        <v>1521</v>
      </c>
      <c r="J695" s="210">
        <f>VLOOKUP(I695,'Reajuste Atual'!$L$19:$M$25,2,FALSE)</f>
        <v>3.1053999999999999</v>
      </c>
      <c r="K695" s="190"/>
      <c r="L695" s="20">
        <v>8.74</v>
      </c>
      <c r="M695" s="765">
        <f t="shared" si="68"/>
        <v>6.2428571428571438</v>
      </c>
      <c r="N695" s="765">
        <f t="shared" si="63"/>
        <v>6.3563636363636364</v>
      </c>
      <c r="O695" s="765">
        <f t="shared" si="65"/>
        <v>6.2428571428571438</v>
      </c>
    </row>
    <row r="696" spans="1:15" s="98" customFormat="1" outlineLevel="1">
      <c r="A696" s="141" t="s">
        <v>3478</v>
      </c>
      <c r="B696" s="114" t="s">
        <v>2888</v>
      </c>
      <c r="C696" s="100" t="s">
        <v>2889</v>
      </c>
      <c r="D696" s="99" t="s">
        <v>1472</v>
      </c>
      <c r="E696" s="491"/>
      <c r="F696" s="20">
        <f t="shared" si="66"/>
        <v>14.4</v>
      </c>
      <c r="G696" s="19">
        <f t="shared" si="71"/>
        <v>0</v>
      </c>
      <c r="H696" s="19">
        <f t="shared" si="72"/>
        <v>0</v>
      </c>
      <c r="I696" s="114" t="s">
        <v>1521</v>
      </c>
      <c r="J696" s="210">
        <f>VLOOKUP(I696,'Reajuste Atual'!$L$19:$M$25,2,FALSE)</f>
        <v>3.1053999999999999</v>
      </c>
      <c r="K696" s="190"/>
      <c r="L696" s="20">
        <v>20.16</v>
      </c>
      <c r="M696" s="765">
        <f t="shared" si="68"/>
        <v>14.4</v>
      </c>
      <c r="N696" s="765">
        <f t="shared" si="63"/>
        <v>14.661818181818182</v>
      </c>
      <c r="O696" s="765">
        <f t="shared" si="65"/>
        <v>14.4</v>
      </c>
    </row>
    <row r="697" spans="1:15" s="98" customFormat="1" outlineLevel="1">
      <c r="A697" s="141" t="s">
        <v>3478</v>
      </c>
      <c r="B697" s="114" t="s">
        <v>2890</v>
      </c>
      <c r="C697" s="100" t="s">
        <v>2891</v>
      </c>
      <c r="D697" s="99" t="s">
        <v>1472</v>
      </c>
      <c r="E697" s="491"/>
      <c r="F697" s="20">
        <f t="shared" si="66"/>
        <v>13.985714285714286</v>
      </c>
      <c r="G697" s="19">
        <f t="shared" si="71"/>
        <v>0</v>
      </c>
      <c r="H697" s="19">
        <f t="shared" si="72"/>
        <v>0</v>
      </c>
      <c r="I697" s="114" t="s">
        <v>1521</v>
      </c>
      <c r="J697" s="210">
        <f>VLOOKUP(I697,'Reajuste Atual'!$L$19:$M$25,2,FALSE)</f>
        <v>3.1053999999999999</v>
      </c>
      <c r="K697" s="190"/>
      <c r="L697" s="20">
        <v>19.579999999999998</v>
      </c>
      <c r="M697" s="765">
        <f t="shared" si="68"/>
        <v>13.985714285714286</v>
      </c>
      <c r="N697" s="765">
        <f t="shared" si="63"/>
        <v>14.239999999999998</v>
      </c>
      <c r="O697" s="765">
        <f t="shared" si="65"/>
        <v>13.985714285714286</v>
      </c>
    </row>
    <row r="698" spans="1:15" s="98" customFormat="1" outlineLevel="1">
      <c r="A698" s="141" t="s">
        <v>3478</v>
      </c>
      <c r="B698" s="114" t="s">
        <v>2892</v>
      </c>
      <c r="C698" s="100" t="s">
        <v>1561</v>
      </c>
      <c r="D698" s="99" t="s">
        <v>1468</v>
      </c>
      <c r="E698" s="491"/>
      <c r="F698" s="20">
        <f t="shared" si="66"/>
        <v>341.28571428571433</v>
      </c>
      <c r="G698" s="19">
        <f t="shared" si="71"/>
        <v>0</v>
      </c>
      <c r="H698" s="19">
        <f t="shared" si="72"/>
        <v>0</v>
      </c>
      <c r="I698" s="114" t="s">
        <v>1521</v>
      </c>
      <c r="J698" s="210">
        <f>VLOOKUP(I698,'Reajuste Atual'!$L$19:$M$25,2,FALSE)</f>
        <v>3.1053999999999999</v>
      </c>
      <c r="K698" s="190"/>
      <c r="L698" s="20">
        <v>477.8</v>
      </c>
      <c r="M698" s="765">
        <f t="shared" si="68"/>
        <v>341.28571428571433</v>
      </c>
      <c r="N698" s="765">
        <f t="shared" si="63"/>
        <v>347.4909090909091</v>
      </c>
      <c r="O698" s="765">
        <f t="shared" si="65"/>
        <v>341.28571428571433</v>
      </c>
    </row>
    <row r="699" spans="1:15" s="98" customFormat="1" outlineLevel="1">
      <c r="A699" s="141" t="s">
        <v>3478</v>
      </c>
      <c r="B699" s="114" t="s">
        <v>2893</v>
      </c>
      <c r="C699" s="100" t="s">
        <v>2764</v>
      </c>
      <c r="D699" s="99" t="s">
        <v>1468</v>
      </c>
      <c r="E699" s="491"/>
      <c r="F699" s="20">
        <f t="shared" si="66"/>
        <v>1.9642857142857144</v>
      </c>
      <c r="G699" s="19">
        <f t="shared" si="71"/>
        <v>0</v>
      </c>
      <c r="H699" s="19">
        <f t="shared" si="72"/>
        <v>0</v>
      </c>
      <c r="I699" s="114" t="s">
        <v>1521</v>
      </c>
      <c r="J699" s="210">
        <f>VLOOKUP(I699,'Reajuste Atual'!$L$19:$M$25,2,FALSE)</f>
        <v>3.1053999999999999</v>
      </c>
      <c r="K699" s="190"/>
      <c r="L699" s="20">
        <v>2.75</v>
      </c>
      <c r="M699" s="765">
        <f t="shared" si="68"/>
        <v>1.9642857142857144</v>
      </c>
      <c r="N699" s="765">
        <f t="shared" si="63"/>
        <v>2</v>
      </c>
      <c r="O699" s="765">
        <f t="shared" si="65"/>
        <v>1.9642857142857144</v>
      </c>
    </row>
    <row r="700" spans="1:15" s="98" customFormat="1" outlineLevel="1">
      <c r="A700" s="141" t="s">
        <v>3478</v>
      </c>
      <c r="B700" s="114" t="s">
        <v>2894</v>
      </c>
      <c r="C700" s="100" t="s">
        <v>2765</v>
      </c>
      <c r="D700" s="99" t="s">
        <v>1468</v>
      </c>
      <c r="E700" s="491"/>
      <c r="F700" s="20">
        <f t="shared" si="66"/>
        <v>4.4785714285714286</v>
      </c>
      <c r="G700" s="19">
        <f t="shared" si="71"/>
        <v>0</v>
      </c>
      <c r="H700" s="19">
        <f t="shared" si="72"/>
        <v>0</v>
      </c>
      <c r="I700" s="114" t="s">
        <v>1521</v>
      </c>
      <c r="J700" s="210">
        <f>VLOOKUP(I700,'Reajuste Atual'!$L$19:$M$25,2,FALSE)</f>
        <v>3.1053999999999999</v>
      </c>
      <c r="K700" s="190"/>
      <c r="L700" s="20">
        <v>6.27</v>
      </c>
      <c r="M700" s="765">
        <f t="shared" si="68"/>
        <v>4.4785714285714286</v>
      </c>
      <c r="N700" s="765">
        <f t="shared" si="63"/>
        <v>4.5599999999999996</v>
      </c>
      <c r="O700" s="765">
        <f t="shared" si="65"/>
        <v>4.4785714285714286</v>
      </c>
    </row>
    <row r="701" spans="1:15" s="98" customFormat="1" outlineLevel="1">
      <c r="A701" s="141" t="s">
        <v>3478</v>
      </c>
      <c r="B701" s="114" t="s">
        <v>2895</v>
      </c>
      <c r="C701" s="100" t="s">
        <v>2766</v>
      </c>
      <c r="D701" s="99" t="s">
        <v>1468</v>
      </c>
      <c r="E701" s="491"/>
      <c r="F701" s="20">
        <f t="shared" si="66"/>
        <v>4.4785714285714286</v>
      </c>
      <c r="G701" s="19">
        <f t="shared" si="71"/>
        <v>0</v>
      </c>
      <c r="H701" s="19">
        <f t="shared" si="72"/>
        <v>0</v>
      </c>
      <c r="I701" s="114" t="s">
        <v>1521</v>
      </c>
      <c r="J701" s="210">
        <f>VLOOKUP(I701,'Reajuste Atual'!$L$19:$M$25,2,FALSE)</f>
        <v>3.1053999999999999</v>
      </c>
      <c r="K701" s="190"/>
      <c r="L701" s="20">
        <v>6.27</v>
      </c>
      <c r="M701" s="765">
        <f t="shared" si="68"/>
        <v>4.4785714285714286</v>
      </c>
      <c r="N701" s="765">
        <f t="shared" si="63"/>
        <v>4.5599999999999996</v>
      </c>
      <c r="O701" s="765">
        <f t="shared" si="65"/>
        <v>4.4785714285714286</v>
      </c>
    </row>
    <row r="702" spans="1:15" s="98" customFormat="1" outlineLevel="1">
      <c r="A702" s="141" t="s">
        <v>3478</v>
      </c>
      <c r="B702" s="114" t="s">
        <v>2896</v>
      </c>
      <c r="C702" s="100" t="s">
        <v>2767</v>
      </c>
      <c r="D702" s="99" t="s">
        <v>1468</v>
      </c>
      <c r="E702" s="491"/>
      <c r="F702" s="20">
        <f t="shared" si="66"/>
        <v>229.19285714285715</v>
      </c>
      <c r="G702" s="19">
        <f t="shared" si="71"/>
        <v>0</v>
      </c>
      <c r="H702" s="19">
        <f t="shared" si="72"/>
        <v>0</v>
      </c>
      <c r="I702" s="114" t="s">
        <v>1521</v>
      </c>
      <c r="J702" s="210">
        <f>VLOOKUP(I702,'Reajuste Atual'!$L$19:$M$25,2,FALSE)</f>
        <v>3.1053999999999999</v>
      </c>
      <c r="K702" s="190"/>
      <c r="L702" s="20">
        <v>320.87</v>
      </c>
      <c r="M702" s="765">
        <f t="shared" si="68"/>
        <v>229.19285714285715</v>
      </c>
      <c r="N702" s="765">
        <f t="shared" si="63"/>
        <v>233.36</v>
      </c>
      <c r="O702" s="765">
        <f t="shared" si="65"/>
        <v>229.19285714285715</v>
      </c>
    </row>
    <row r="703" spans="1:15" s="98" customFormat="1" ht="31.5" outlineLevel="1">
      <c r="A703" s="141" t="s">
        <v>3478</v>
      </c>
      <c r="B703" s="114" t="s">
        <v>2897</v>
      </c>
      <c r="C703" s="100" t="s">
        <v>2768</v>
      </c>
      <c r="D703" s="99" t="s">
        <v>1468</v>
      </c>
      <c r="E703" s="491"/>
      <c r="F703" s="20">
        <f t="shared" si="66"/>
        <v>4.4785714285714286</v>
      </c>
      <c r="G703" s="19">
        <f t="shared" si="71"/>
        <v>0</v>
      </c>
      <c r="H703" s="19">
        <f t="shared" si="72"/>
        <v>0</v>
      </c>
      <c r="I703" s="114" t="s">
        <v>1521</v>
      </c>
      <c r="J703" s="210">
        <f>VLOOKUP(I703,'Reajuste Atual'!$L$19:$M$25,2,FALSE)</f>
        <v>3.1053999999999999</v>
      </c>
      <c r="K703" s="190"/>
      <c r="L703" s="20">
        <v>6.27</v>
      </c>
      <c r="M703" s="765">
        <f t="shared" si="68"/>
        <v>4.4785714285714286</v>
      </c>
      <c r="N703" s="765">
        <f t="shared" si="63"/>
        <v>4.5599999999999996</v>
      </c>
      <c r="O703" s="765">
        <f t="shared" si="65"/>
        <v>4.4785714285714286</v>
      </c>
    </row>
    <row r="704" spans="1:15" s="98" customFormat="1" outlineLevel="1">
      <c r="A704" s="141" t="s">
        <v>3478</v>
      </c>
      <c r="B704" s="114" t="s">
        <v>2898</v>
      </c>
      <c r="C704" s="100" t="s">
        <v>2769</v>
      </c>
      <c r="D704" s="99" t="s">
        <v>1468</v>
      </c>
      <c r="E704" s="491"/>
      <c r="F704" s="20">
        <f t="shared" si="66"/>
        <v>247.92857142857147</v>
      </c>
      <c r="G704" s="19">
        <f t="shared" si="71"/>
        <v>0</v>
      </c>
      <c r="H704" s="19">
        <f t="shared" si="72"/>
        <v>0</v>
      </c>
      <c r="I704" s="114" t="s">
        <v>1521</v>
      </c>
      <c r="J704" s="210">
        <f>VLOOKUP(I704,'Reajuste Atual'!$L$19:$M$25,2,FALSE)</f>
        <v>3.1053999999999999</v>
      </c>
      <c r="K704" s="190"/>
      <c r="L704" s="20">
        <v>347.1</v>
      </c>
      <c r="M704" s="765">
        <f t="shared" si="68"/>
        <v>247.92857142857147</v>
      </c>
      <c r="N704" s="765">
        <f t="shared" si="63"/>
        <v>252.43636363636367</v>
      </c>
      <c r="O704" s="765">
        <f t="shared" si="65"/>
        <v>247.92857142857147</v>
      </c>
    </row>
    <row r="705" spans="1:15" s="98" customFormat="1" outlineLevel="1">
      <c r="A705" s="141" t="s">
        <v>3478</v>
      </c>
      <c r="B705" s="114" t="s">
        <v>2899</v>
      </c>
      <c r="C705" s="100" t="s">
        <v>2900</v>
      </c>
      <c r="D705" s="99" t="s">
        <v>1468</v>
      </c>
      <c r="E705" s="491"/>
      <c r="F705" s="20">
        <f t="shared" si="66"/>
        <v>53.314285714285717</v>
      </c>
      <c r="G705" s="19">
        <f t="shared" si="71"/>
        <v>0</v>
      </c>
      <c r="H705" s="19">
        <f t="shared" si="72"/>
        <v>0</v>
      </c>
      <c r="I705" s="114" t="s">
        <v>1521</v>
      </c>
      <c r="J705" s="210">
        <f>VLOOKUP(I705,'Reajuste Atual'!$L$19:$M$25,2,FALSE)</f>
        <v>3.1053999999999999</v>
      </c>
      <c r="K705" s="190"/>
      <c r="L705" s="20">
        <v>74.64</v>
      </c>
      <c r="M705" s="765">
        <f t="shared" si="68"/>
        <v>53.314285714285717</v>
      </c>
      <c r="N705" s="765">
        <f t="shared" si="63"/>
        <v>54.283636363636361</v>
      </c>
      <c r="O705" s="765">
        <f t="shared" si="65"/>
        <v>53.314285714285717</v>
      </c>
    </row>
    <row r="706" spans="1:15" s="98" customFormat="1" outlineLevel="1">
      <c r="A706" s="141" t="s">
        <v>3478</v>
      </c>
      <c r="B706" s="114" t="s">
        <v>2901</v>
      </c>
      <c r="C706" s="100" t="s">
        <v>2770</v>
      </c>
      <c r="D706" s="99" t="s">
        <v>1468</v>
      </c>
      <c r="E706" s="491"/>
      <c r="F706" s="20">
        <f t="shared" si="66"/>
        <v>128.92142857142858</v>
      </c>
      <c r="G706" s="19">
        <f t="shared" si="71"/>
        <v>0</v>
      </c>
      <c r="H706" s="19">
        <f t="shared" si="72"/>
        <v>0</v>
      </c>
      <c r="I706" s="114" t="s">
        <v>1521</v>
      </c>
      <c r="J706" s="210">
        <f>VLOOKUP(I706,'Reajuste Atual'!$L$19:$M$25,2,FALSE)</f>
        <v>3.1053999999999999</v>
      </c>
      <c r="K706" s="190"/>
      <c r="L706" s="20">
        <v>180.49</v>
      </c>
      <c r="M706" s="765">
        <f t="shared" si="68"/>
        <v>128.92142857142858</v>
      </c>
      <c r="N706" s="765">
        <f t="shared" si="63"/>
        <v>131.26545454545456</v>
      </c>
      <c r="O706" s="765">
        <f t="shared" si="65"/>
        <v>128.92142857142858</v>
      </c>
    </row>
    <row r="707" spans="1:15" s="98" customFormat="1" outlineLevel="1">
      <c r="A707" s="141" t="s">
        <v>3478</v>
      </c>
      <c r="B707" s="114" t="s">
        <v>2902</v>
      </c>
      <c r="C707" s="792" t="s">
        <v>2771</v>
      </c>
      <c r="D707" s="99" t="s">
        <v>1468</v>
      </c>
      <c r="E707" s="491"/>
      <c r="F707" s="20">
        <f t="shared" si="66"/>
        <v>63.028571428571432</v>
      </c>
      <c r="G707" s="19">
        <f t="shared" si="71"/>
        <v>0</v>
      </c>
      <c r="H707" s="19">
        <f t="shared" si="72"/>
        <v>0</v>
      </c>
      <c r="I707" s="114" t="s">
        <v>1521</v>
      </c>
      <c r="J707" s="210">
        <f>VLOOKUP(I707,'Reajuste Atual'!$L$19:$M$25,2,FALSE)</f>
        <v>3.1053999999999999</v>
      </c>
      <c r="K707" s="190"/>
      <c r="L707" s="20">
        <v>88.24</v>
      </c>
      <c r="M707" s="765">
        <f t="shared" si="68"/>
        <v>63.028571428571432</v>
      </c>
      <c r="N707" s="765">
        <f t="shared" si="63"/>
        <v>64.174545454545452</v>
      </c>
      <c r="O707" s="765">
        <f t="shared" si="65"/>
        <v>63.028571428571432</v>
      </c>
    </row>
    <row r="708" spans="1:15" s="98" customFormat="1" outlineLevel="1">
      <c r="A708" s="141" t="s">
        <v>3478</v>
      </c>
      <c r="B708" s="114" t="s">
        <v>2903</v>
      </c>
      <c r="C708" s="792" t="s">
        <v>2728</v>
      </c>
      <c r="D708" s="99" t="s">
        <v>1468</v>
      </c>
      <c r="E708" s="491"/>
      <c r="F708" s="20">
        <f t="shared" si="66"/>
        <v>0.75000000000000011</v>
      </c>
      <c r="G708" s="19">
        <f t="shared" si="71"/>
        <v>0</v>
      </c>
      <c r="H708" s="19">
        <f t="shared" si="72"/>
        <v>0</v>
      </c>
      <c r="I708" s="114" t="s">
        <v>1521</v>
      </c>
      <c r="J708" s="210">
        <f>VLOOKUP(I708,'Reajuste Atual'!$L$19:$M$25,2,FALSE)</f>
        <v>3.1053999999999999</v>
      </c>
      <c r="K708" s="190"/>
      <c r="L708" s="20">
        <v>1.05</v>
      </c>
      <c r="M708" s="765">
        <f t="shared" si="68"/>
        <v>0.75000000000000011</v>
      </c>
      <c r="N708" s="765">
        <f t="shared" si="63"/>
        <v>0.76363636363636367</v>
      </c>
      <c r="O708" s="765">
        <f t="shared" si="65"/>
        <v>0.75000000000000011</v>
      </c>
    </row>
    <row r="709" spans="1:15" s="98" customFormat="1" outlineLevel="1">
      <c r="A709" s="141" t="s">
        <v>3478</v>
      </c>
      <c r="B709" s="114" t="s">
        <v>2904</v>
      </c>
      <c r="C709" s="100" t="s">
        <v>2164</v>
      </c>
      <c r="D709" s="99" t="s">
        <v>1468</v>
      </c>
      <c r="E709" s="491"/>
      <c r="F709" s="20">
        <f t="shared" si="66"/>
        <v>3.8214285714285716</v>
      </c>
      <c r="G709" s="19">
        <f t="shared" si="71"/>
        <v>0</v>
      </c>
      <c r="H709" s="19">
        <f t="shared" si="72"/>
        <v>0</v>
      </c>
      <c r="I709" s="114" t="s">
        <v>1521</v>
      </c>
      <c r="J709" s="210">
        <f>VLOOKUP(I709,'Reajuste Atual'!$L$19:$M$25,2,FALSE)</f>
        <v>3.1053999999999999</v>
      </c>
      <c r="K709" s="190"/>
      <c r="L709" s="20">
        <v>5.35</v>
      </c>
      <c r="M709" s="765">
        <f t="shared" si="68"/>
        <v>3.8214285714285716</v>
      </c>
      <c r="N709" s="765">
        <f t="shared" si="63"/>
        <v>3.8909090909090907</v>
      </c>
      <c r="O709" s="765">
        <f t="shared" si="65"/>
        <v>3.8214285714285716</v>
      </c>
    </row>
    <row r="710" spans="1:15" s="98" customFormat="1" outlineLevel="1">
      <c r="A710" s="141" t="s">
        <v>3478</v>
      </c>
      <c r="B710" s="114" t="s">
        <v>2905</v>
      </c>
      <c r="C710" s="100" t="s">
        <v>2729</v>
      </c>
      <c r="D710" s="99" t="s">
        <v>1480</v>
      </c>
      <c r="E710" s="491"/>
      <c r="F710" s="20">
        <f t="shared" si="66"/>
        <v>0.37142857142857144</v>
      </c>
      <c r="G710" s="19">
        <f t="shared" si="71"/>
        <v>0</v>
      </c>
      <c r="H710" s="19">
        <f t="shared" si="72"/>
        <v>0</v>
      </c>
      <c r="I710" s="114" t="s">
        <v>1521</v>
      </c>
      <c r="J710" s="210">
        <f>VLOOKUP(I710,'Reajuste Atual'!$L$19:$M$25,2,FALSE)</f>
        <v>3.1053999999999999</v>
      </c>
      <c r="K710" s="190"/>
      <c r="L710" s="20">
        <v>0.52</v>
      </c>
      <c r="M710" s="765">
        <f t="shared" si="68"/>
        <v>0.37142857142857144</v>
      </c>
      <c r="N710" s="765">
        <f t="shared" si="63"/>
        <v>0.37818181818181817</v>
      </c>
      <c r="O710" s="765">
        <f t="shared" si="65"/>
        <v>0.37142857142857144</v>
      </c>
    </row>
    <row r="711" spans="1:15" s="98" customFormat="1" ht="47.25" outlineLevel="1">
      <c r="A711" s="141" t="s">
        <v>3478</v>
      </c>
      <c r="B711" s="114" t="s">
        <v>2906</v>
      </c>
      <c r="C711" s="792" t="s">
        <v>2731</v>
      </c>
      <c r="D711" s="99" t="s">
        <v>1480</v>
      </c>
      <c r="E711" s="491"/>
      <c r="F711" s="20">
        <f t="shared" si="66"/>
        <v>2</v>
      </c>
      <c r="G711" s="19">
        <f t="shared" si="71"/>
        <v>0</v>
      </c>
      <c r="H711" s="19">
        <f t="shared" si="72"/>
        <v>0</v>
      </c>
      <c r="I711" s="114" t="s">
        <v>1521</v>
      </c>
      <c r="J711" s="210">
        <f>VLOOKUP(I711,'Reajuste Atual'!$L$19:$M$25,2,FALSE)</f>
        <v>3.1053999999999999</v>
      </c>
      <c r="K711" s="190"/>
      <c r="L711" s="20">
        <v>2.8</v>
      </c>
      <c r="M711" s="765">
        <f t="shared" si="68"/>
        <v>2</v>
      </c>
      <c r="N711" s="765">
        <f t="shared" si="63"/>
        <v>2.0363636363636362</v>
      </c>
      <c r="O711" s="765">
        <f t="shared" si="65"/>
        <v>2</v>
      </c>
    </row>
    <row r="712" spans="1:15" s="98" customFormat="1" ht="47.25" outlineLevel="1">
      <c r="A712" s="141" t="s">
        <v>3478</v>
      </c>
      <c r="B712" s="114" t="s">
        <v>2907</v>
      </c>
      <c r="C712" s="100" t="s">
        <v>2730</v>
      </c>
      <c r="D712" s="99" t="s">
        <v>1480</v>
      </c>
      <c r="E712" s="491"/>
      <c r="F712" s="20">
        <f t="shared" si="66"/>
        <v>1.7500000000000002</v>
      </c>
      <c r="G712" s="19">
        <f t="shared" si="71"/>
        <v>0</v>
      </c>
      <c r="H712" s="19">
        <f t="shared" si="72"/>
        <v>0</v>
      </c>
      <c r="I712" s="114" t="s">
        <v>1521</v>
      </c>
      <c r="J712" s="210">
        <f>VLOOKUP(I712,'Reajuste Atual'!$L$19:$M$25,2,FALSE)</f>
        <v>3.1053999999999999</v>
      </c>
      <c r="K712" s="190"/>
      <c r="L712" s="20">
        <v>2.4500000000000002</v>
      </c>
      <c r="M712" s="765">
        <f t="shared" si="68"/>
        <v>1.7500000000000002</v>
      </c>
      <c r="N712" s="765">
        <f t="shared" si="63"/>
        <v>1.781818181818182</v>
      </c>
      <c r="O712" s="765">
        <f t="shared" si="65"/>
        <v>1.7500000000000002</v>
      </c>
    </row>
    <row r="713" spans="1:15" s="98" customFormat="1" outlineLevel="1">
      <c r="A713" s="141" t="s">
        <v>3478</v>
      </c>
      <c r="B713" s="114" t="s">
        <v>2908</v>
      </c>
      <c r="C713" s="100" t="s">
        <v>2772</v>
      </c>
      <c r="D713" s="99" t="s">
        <v>1468</v>
      </c>
      <c r="E713" s="491"/>
      <c r="F713" s="20">
        <f t="shared" si="66"/>
        <v>14.321428571428573</v>
      </c>
      <c r="G713" s="19">
        <f t="shared" si="71"/>
        <v>0</v>
      </c>
      <c r="H713" s="19">
        <f t="shared" si="72"/>
        <v>0</v>
      </c>
      <c r="I713" s="114" t="s">
        <v>1521</v>
      </c>
      <c r="J713" s="210">
        <f>VLOOKUP(I713,'Reajuste Atual'!$L$19:$M$25,2,FALSE)</f>
        <v>3.1053999999999999</v>
      </c>
      <c r="K713" s="190"/>
      <c r="L713" s="20">
        <v>20.05</v>
      </c>
      <c r="M713" s="765">
        <f t="shared" si="68"/>
        <v>14.321428571428573</v>
      </c>
      <c r="N713" s="765">
        <f t="shared" si="63"/>
        <v>14.581818181818182</v>
      </c>
      <c r="O713" s="765">
        <f t="shared" si="65"/>
        <v>14.321428571428573</v>
      </c>
    </row>
    <row r="714" spans="1:15" s="98" customFormat="1" outlineLevel="1">
      <c r="A714" s="141" t="s">
        <v>3478</v>
      </c>
      <c r="B714" s="114" t="s">
        <v>2909</v>
      </c>
      <c r="C714" s="100" t="s">
        <v>2722</v>
      </c>
      <c r="D714" s="99" t="s">
        <v>1468</v>
      </c>
      <c r="E714" s="491"/>
      <c r="F714" s="20">
        <f t="shared" si="66"/>
        <v>0.75000000000000011</v>
      </c>
      <c r="G714" s="19">
        <f t="shared" si="71"/>
        <v>0</v>
      </c>
      <c r="H714" s="19">
        <f t="shared" si="72"/>
        <v>0</v>
      </c>
      <c r="I714" s="114" t="s">
        <v>1521</v>
      </c>
      <c r="J714" s="210">
        <f>VLOOKUP(I714,'Reajuste Atual'!$L$19:$M$25,2,FALSE)</f>
        <v>3.1053999999999999</v>
      </c>
      <c r="K714" s="190"/>
      <c r="L714" s="20">
        <v>1.05</v>
      </c>
      <c r="M714" s="765">
        <f t="shared" si="68"/>
        <v>0.75000000000000011</v>
      </c>
      <c r="N714" s="765">
        <f t="shared" si="63"/>
        <v>0.76363636363636367</v>
      </c>
      <c r="O714" s="765">
        <f t="shared" si="65"/>
        <v>0.75000000000000011</v>
      </c>
    </row>
    <row r="715" spans="1:15" s="98" customFormat="1" outlineLevel="1">
      <c r="A715" s="141" t="s">
        <v>3478</v>
      </c>
      <c r="B715" s="114" t="s">
        <v>2910</v>
      </c>
      <c r="C715" s="100" t="s">
        <v>2773</v>
      </c>
      <c r="D715" s="99" t="s">
        <v>1468</v>
      </c>
      <c r="E715" s="491"/>
      <c r="F715" s="20">
        <f t="shared" si="66"/>
        <v>4.7714285714285714</v>
      </c>
      <c r="G715" s="19">
        <f t="shared" si="71"/>
        <v>0</v>
      </c>
      <c r="H715" s="19">
        <f t="shared" si="72"/>
        <v>0</v>
      </c>
      <c r="I715" s="114" t="s">
        <v>1521</v>
      </c>
      <c r="J715" s="210">
        <f>VLOOKUP(I715,'Reajuste Atual'!$L$19:$M$25,2,FALSE)</f>
        <v>3.1053999999999999</v>
      </c>
      <c r="K715" s="190"/>
      <c r="L715" s="20">
        <v>6.68</v>
      </c>
      <c r="M715" s="765">
        <f t="shared" si="68"/>
        <v>4.7714285714285714</v>
      </c>
      <c r="N715" s="765">
        <f t="shared" si="63"/>
        <v>4.8581818181818184</v>
      </c>
      <c r="O715" s="765">
        <f t="shared" si="65"/>
        <v>4.7714285714285714</v>
      </c>
    </row>
    <row r="716" spans="1:15" s="98" customFormat="1" outlineLevel="1">
      <c r="A716" s="141" t="s">
        <v>3478</v>
      </c>
      <c r="B716" s="114" t="s">
        <v>2911</v>
      </c>
      <c r="C716" s="100" t="s">
        <v>2912</v>
      </c>
      <c r="D716" s="99" t="s">
        <v>1468</v>
      </c>
      <c r="E716" s="491"/>
      <c r="F716" s="20">
        <f t="shared" si="66"/>
        <v>3379.2714285714283</v>
      </c>
      <c r="G716" s="19">
        <f t="shared" si="71"/>
        <v>0</v>
      </c>
      <c r="H716" s="19">
        <f t="shared" si="72"/>
        <v>0</v>
      </c>
      <c r="I716" s="114" t="s">
        <v>1521</v>
      </c>
      <c r="J716" s="210">
        <f>VLOOKUP(I716,'Reajuste Atual'!$L$19:$M$25,2,FALSE)</f>
        <v>3.1053999999999999</v>
      </c>
      <c r="K716" s="190"/>
      <c r="L716" s="20">
        <v>4730.9799999999996</v>
      </c>
      <c r="M716" s="765">
        <f t="shared" si="68"/>
        <v>3379.2714285714283</v>
      </c>
      <c r="N716" s="765">
        <f t="shared" si="63"/>
        <v>3440.7127272727271</v>
      </c>
      <c r="O716" s="765">
        <f t="shared" si="65"/>
        <v>3379.2714285714283</v>
      </c>
    </row>
    <row r="717" spans="1:15" s="98" customFormat="1" ht="63" outlineLevel="1">
      <c r="A717" s="141" t="s">
        <v>3478</v>
      </c>
      <c r="B717" s="114" t="s">
        <v>2913</v>
      </c>
      <c r="C717" s="100" t="s">
        <v>2914</v>
      </c>
      <c r="D717" s="99" t="s">
        <v>1468</v>
      </c>
      <c r="E717" s="491"/>
      <c r="F717" s="20">
        <f t="shared" si="66"/>
        <v>6273.2071428571435</v>
      </c>
      <c r="G717" s="19">
        <f t="shared" si="71"/>
        <v>0</v>
      </c>
      <c r="H717" s="19">
        <f t="shared" si="72"/>
        <v>0</v>
      </c>
      <c r="I717" s="114" t="s">
        <v>1521</v>
      </c>
      <c r="J717" s="210">
        <f>VLOOKUP(I717,'Reajuste Atual'!$L$19:$M$25,2,FALSE)</f>
        <v>3.1053999999999999</v>
      </c>
      <c r="K717" s="190"/>
      <c r="L717" s="20">
        <v>8782.49</v>
      </c>
      <c r="M717" s="765">
        <f t="shared" si="68"/>
        <v>6273.2071428571435</v>
      </c>
      <c r="N717" s="765">
        <f t="shared" si="63"/>
        <v>6387.2654545454543</v>
      </c>
      <c r="O717" s="765">
        <f t="shared" si="65"/>
        <v>6273.2071428571435</v>
      </c>
    </row>
    <row r="718" spans="1:15" s="98" customFormat="1" outlineLevel="1">
      <c r="A718" s="141" t="s">
        <v>3478</v>
      </c>
      <c r="B718" s="114" t="s">
        <v>3054</v>
      </c>
      <c r="C718" s="119" t="s">
        <v>3055</v>
      </c>
      <c r="D718" s="181" t="s">
        <v>2775</v>
      </c>
      <c r="E718" s="491"/>
      <c r="F718" s="20">
        <f t="shared" si="66"/>
        <v>30888.989863425166</v>
      </c>
      <c r="G718" s="19">
        <f t="shared" si="71"/>
        <v>0</v>
      </c>
      <c r="H718" s="19">
        <f t="shared" si="72"/>
        <v>0</v>
      </c>
      <c r="I718" s="114" t="s">
        <v>1521</v>
      </c>
      <c r="J718" s="210">
        <f>VLOOKUP(I718,'Reajuste Atual'!$L$19:$M$25,2,FALSE)</f>
        <v>3.1053999999999999</v>
      </c>
      <c r="K718" s="191"/>
      <c r="L718" s="20">
        <v>43244.585808795229</v>
      </c>
      <c r="M718" s="765">
        <f t="shared" si="68"/>
        <v>30888.989863425166</v>
      </c>
      <c r="N718" s="765">
        <f t="shared" si="63"/>
        <v>31450.607860941986</v>
      </c>
      <c r="O718" s="765">
        <f t="shared" si="65"/>
        <v>30888.989863425166</v>
      </c>
    </row>
    <row r="719" spans="1:15" s="98" customFormat="1" outlineLevel="1">
      <c r="B719" s="115" t="s">
        <v>2915</v>
      </c>
      <c r="C719" s="102" t="s">
        <v>2916</v>
      </c>
      <c r="D719" s="85"/>
      <c r="E719" s="62"/>
      <c r="F719" s="62"/>
      <c r="G719" s="64">
        <f>SUM(G720:G724)</f>
        <v>65091.514285714293</v>
      </c>
      <c r="H719" s="64">
        <f>SUM(H720:H724)</f>
        <v>267226.70274857141</v>
      </c>
      <c r="I719" s="111"/>
      <c r="J719" s="86"/>
      <c r="K719" s="190"/>
      <c r="L719" s="20"/>
      <c r="M719" s="765"/>
      <c r="N719" s="765">
        <f t="shared" si="63"/>
        <v>0</v>
      </c>
      <c r="O719" s="765">
        <f t="shared" si="65"/>
        <v>0</v>
      </c>
    </row>
    <row r="720" spans="1:15" s="98" customFormat="1" ht="31.5" outlineLevel="1">
      <c r="A720" s="141" t="s">
        <v>3478</v>
      </c>
      <c r="B720" s="114" t="s">
        <v>2917</v>
      </c>
      <c r="C720" s="100" t="s">
        <v>2918</v>
      </c>
      <c r="D720" s="99" t="s">
        <v>1476</v>
      </c>
      <c r="E720" s="19">
        <v>12</v>
      </c>
      <c r="F720" s="20">
        <f t="shared" si="66"/>
        <v>48.400000000000006</v>
      </c>
      <c r="G720" s="19">
        <f>E720*F720</f>
        <v>580.80000000000007</v>
      </c>
      <c r="H720" s="19">
        <f t="shared" ref="H720:H724" si="73">G720*(1+J720)</f>
        <v>2384.4163199999998</v>
      </c>
      <c r="I720" s="114" t="s">
        <v>1521</v>
      </c>
      <c r="J720" s="210">
        <f>VLOOKUP(I720,'Reajuste Atual'!$L$19:$M$25,2,FALSE)</f>
        <v>3.1053999999999999</v>
      </c>
      <c r="K720" s="190"/>
      <c r="L720" s="20">
        <v>67.760000000000005</v>
      </c>
      <c r="M720" s="765">
        <f t="shared" si="68"/>
        <v>48.400000000000006</v>
      </c>
      <c r="N720" s="765">
        <f t="shared" si="63"/>
        <v>49.28</v>
      </c>
      <c r="O720" s="765">
        <f t="shared" si="65"/>
        <v>48.400000000000006</v>
      </c>
    </row>
    <row r="721" spans="1:15" s="98" customFormat="1" ht="31.5" outlineLevel="1">
      <c r="A721" s="141" t="s">
        <v>3478</v>
      </c>
      <c r="B721" s="114" t="s">
        <v>2919</v>
      </c>
      <c r="C721" s="100" t="s">
        <v>1610</v>
      </c>
      <c r="D721" s="181" t="s">
        <v>1468</v>
      </c>
      <c r="E721" s="20">
        <v>32</v>
      </c>
      <c r="F721" s="20">
        <f t="shared" si="66"/>
        <v>11.357142857142858</v>
      </c>
      <c r="G721" s="19">
        <f>E721*F721</f>
        <v>363.42857142857144</v>
      </c>
      <c r="H721" s="19">
        <f t="shared" si="73"/>
        <v>1492.0196571428571</v>
      </c>
      <c r="I721" s="114" t="s">
        <v>1521</v>
      </c>
      <c r="J721" s="210">
        <f>VLOOKUP(I721,'Reajuste Atual'!$L$19:$M$25,2,FALSE)</f>
        <v>3.1053999999999999</v>
      </c>
      <c r="K721" s="190"/>
      <c r="L721" s="20">
        <v>15.9</v>
      </c>
      <c r="M721" s="765">
        <f t="shared" si="68"/>
        <v>11.357142857142858</v>
      </c>
      <c r="N721" s="765">
        <f t="shared" si="63"/>
        <v>11.563636363636364</v>
      </c>
      <c r="O721" s="765">
        <f t="shared" si="65"/>
        <v>11.357142857142858</v>
      </c>
    </row>
    <row r="722" spans="1:15" s="98" customFormat="1" outlineLevel="1">
      <c r="A722" s="141" t="s">
        <v>3478</v>
      </c>
      <c r="B722" s="114" t="s">
        <v>2920</v>
      </c>
      <c r="C722" s="100" t="s">
        <v>2718</v>
      </c>
      <c r="D722" s="99" t="s">
        <v>1472</v>
      </c>
      <c r="E722" s="20">
        <v>280</v>
      </c>
      <c r="F722" s="20">
        <f t="shared" si="66"/>
        <v>1.9214285714285715</v>
      </c>
      <c r="G722" s="19">
        <f>E722*F722</f>
        <v>538</v>
      </c>
      <c r="H722" s="19">
        <f t="shared" si="73"/>
        <v>2208.7051999999999</v>
      </c>
      <c r="I722" s="114" t="s">
        <v>1521</v>
      </c>
      <c r="J722" s="210">
        <f>VLOOKUP(I722,'Reajuste Atual'!$L$19:$M$25,2,FALSE)</f>
        <v>3.1053999999999999</v>
      </c>
      <c r="K722" s="190"/>
      <c r="L722" s="20">
        <v>2.69</v>
      </c>
      <c r="M722" s="765">
        <f t="shared" si="68"/>
        <v>1.9214285714285715</v>
      </c>
      <c r="N722" s="765">
        <f t="shared" si="63"/>
        <v>1.9563636363636363</v>
      </c>
      <c r="O722" s="765">
        <f t="shared" si="65"/>
        <v>1.9214285714285715</v>
      </c>
    </row>
    <row r="723" spans="1:15" s="98" customFormat="1" outlineLevel="1">
      <c r="A723" s="141" t="s">
        <v>3478</v>
      </c>
      <c r="B723" s="114" t="s">
        <v>2921</v>
      </c>
      <c r="C723" s="100" t="s">
        <v>2922</v>
      </c>
      <c r="D723" s="99" t="s">
        <v>1472</v>
      </c>
      <c r="E723" s="20">
        <v>3500</v>
      </c>
      <c r="F723" s="20">
        <f t="shared" si="66"/>
        <v>14.078571428571431</v>
      </c>
      <c r="G723" s="19">
        <f>E723*F723</f>
        <v>49275.000000000007</v>
      </c>
      <c r="H723" s="19">
        <f t="shared" si="73"/>
        <v>202293.58499999999</v>
      </c>
      <c r="I723" s="114" t="s">
        <v>1521</v>
      </c>
      <c r="J723" s="210">
        <f>VLOOKUP(I723,'Reajuste Atual'!$L$19:$M$25,2,FALSE)</f>
        <v>3.1053999999999999</v>
      </c>
      <c r="K723" s="190"/>
      <c r="L723" s="20">
        <v>19.71</v>
      </c>
      <c r="M723" s="765">
        <f t="shared" si="68"/>
        <v>14.078571428571431</v>
      </c>
      <c r="N723" s="765">
        <f t="shared" si="63"/>
        <v>14.334545454545456</v>
      </c>
      <c r="O723" s="765">
        <f t="shared" si="65"/>
        <v>14.078571428571431</v>
      </c>
    </row>
    <row r="724" spans="1:15" s="98" customFormat="1" outlineLevel="1">
      <c r="A724" s="141" t="s">
        <v>3478</v>
      </c>
      <c r="B724" s="114" t="s">
        <v>2923</v>
      </c>
      <c r="C724" s="100" t="s">
        <v>2924</v>
      </c>
      <c r="D724" s="99" t="s">
        <v>1472</v>
      </c>
      <c r="E724" s="20">
        <v>1160</v>
      </c>
      <c r="F724" s="20">
        <f t="shared" si="66"/>
        <v>12.357142857142858</v>
      </c>
      <c r="G724" s="19">
        <f>E724*F724</f>
        <v>14334.285714285716</v>
      </c>
      <c r="H724" s="19">
        <f t="shared" si="73"/>
        <v>58847.976571428568</v>
      </c>
      <c r="I724" s="114" t="s">
        <v>1521</v>
      </c>
      <c r="J724" s="210">
        <f>VLOOKUP(I724,'Reajuste Atual'!$L$19:$M$25,2,FALSE)</f>
        <v>3.1053999999999999</v>
      </c>
      <c r="K724" s="191"/>
      <c r="L724" s="20">
        <v>17.3</v>
      </c>
      <c r="M724" s="765">
        <f t="shared" si="68"/>
        <v>12.357142857142858</v>
      </c>
      <c r="N724" s="765">
        <f t="shared" si="63"/>
        <v>12.581818181818182</v>
      </c>
      <c r="O724" s="765">
        <f t="shared" si="65"/>
        <v>12.357142857142858</v>
      </c>
    </row>
    <row r="725" spans="1:15" s="98" customFormat="1" outlineLevel="1">
      <c r="B725" s="115" t="s">
        <v>2925</v>
      </c>
      <c r="C725" s="102" t="s">
        <v>2926</v>
      </c>
      <c r="D725" s="85"/>
      <c r="E725" s="62"/>
      <c r="F725" s="62"/>
      <c r="G725" s="64">
        <f>SUM(G726:G733)</f>
        <v>4615.4571428571435</v>
      </c>
      <c r="H725" s="64">
        <f>SUM(H726:H733)</f>
        <v>18948.297754285715</v>
      </c>
      <c r="I725" s="111"/>
      <c r="J725" s="86"/>
      <c r="K725" s="190"/>
      <c r="L725" s="20"/>
      <c r="M725" s="765"/>
      <c r="N725" s="765">
        <f t="shared" si="63"/>
        <v>0</v>
      </c>
      <c r="O725" s="765">
        <f t="shared" si="65"/>
        <v>0</v>
      </c>
    </row>
    <row r="726" spans="1:15" s="98" customFormat="1" outlineLevel="1">
      <c r="A726" s="141" t="s">
        <v>3478</v>
      </c>
      <c r="B726" s="114" t="s">
        <v>2927</v>
      </c>
      <c r="C726" s="100" t="s">
        <v>1604</v>
      </c>
      <c r="D726" s="99" t="s">
        <v>1468</v>
      </c>
      <c r="E726" s="20">
        <v>56</v>
      </c>
      <c r="F726" s="20">
        <f t="shared" si="66"/>
        <v>8.7714285714285722</v>
      </c>
      <c r="G726" s="19">
        <f>E726*F726</f>
        <v>491.20000000000005</v>
      </c>
      <c r="H726" s="19">
        <f t="shared" ref="H726:H729" si="74">G726*(1+J726)</f>
        <v>2016.57248</v>
      </c>
      <c r="I726" s="114" t="s">
        <v>1521</v>
      </c>
      <c r="J726" s="210">
        <f>VLOOKUP(I726,'Reajuste Atual'!$L$19:$M$25,2,FALSE)</f>
        <v>3.1053999999999999</v>
      </c>
      <c r="K726" s="190"/>
      <c r="L726" s="20">
        <v>12.28</v>
      </c>
      <c r="M726" s="765">
        <f t="shared" si="68"/>
        <v>8.7714285714285722</v>
      </c>
      <c r="N726" s="765">
        <f t="shared" si="63"/>
        <v>8.9309090909090898</v>
      </c>
      <c r="O726" s="765">
        <f t="shared" si="65"/>
        <v>8.7714285714285722</v>
      </c>
    </row>
    <row r="727" spans="1:15" s="98" customFormat="1" outlineLevel="1">
      <c r="A727" s="141" t="s">
        <v>3478</v>
      </c>
      <c r="B727" s="114" t="s">
        <v>2928</v>
      </c>
      <c r="C727" s="100" t="s">
        <v>1605</v>
      </c>
      <c r="D727" s="181" t="s">
        <v>1468</v>
      </c>
      <c r="E727" s="20">
        <v>52</v>
      </c>
      <c r="F727" s="20">
        <f t="shared" si="66"/>
        <v>0.75000000000000011</v>
      </c>
      <c r="G727" s="19">
        <f>E727*F727</f>
        <v>39.000000000000007</v>
      </c>
      <c r="H727" s="19">
        <f t="shared" si="74"/>
        <v>160.11060000000001</v>
      </c>
      <c r="I727" s="114" t="s">
        <v>1521</v>
      </c>
      <c r="J727" s="210">
        <f>VLOOKUP(I727,'Reajuste Atual'!$L$19:$M$25,2,FALSE)</f>
        <v>3.1053999999999999</v>
      </c>
      <c r="K727" s="190"/>
      <c r="L727" s="20">
        <v>1.05</v>
      </c>
      <c r="M727" s="765">
        <f t="shared" si="68"/>
        <v>0.75000000000000011</v>
      </c>
      <c r="N727" s="765">
        <f t="shared" si="63"/>
        <v>0.76363636363636367</v>
      </c>
      <c r="O727" s="765">
        <f t="shared" si="65"/>
        <v>0.75000000000000011</v>
      </c>
    </row>
    <row r="728" spans="1:15" s="98" customFormat="1" outlineLevel="1">
      <c r="A728" s="141" t="s">
        <v>3478</v>
      </c>
      <c r="B728" s="114" t="s">
        <v>2929</v>
      </c>
      <c r="C728" s="100" t="s">
        <v>2719</v>
      </c>
      <c r="D728" s="182" t="s">
        <v>1468</v>
      </c>
      <c r="E728" s="20">
        <v>24</v>
      </c>
      <c r="F728" s="20">
        <f t="shared" si="66"/>
        <v>2.2928571428571431</v>
      </c>
      <c r="G728" s="19">
        <f>E728*F728</f>
        <v>55.028571428571439</v>
      </c>
      <c r="H728" s="19">
        <f t="shared" si="74"/>
        <v>225.91429714285715</v>
      </c>
      <c r="I728" s="114" t="s">
        <v>1521</v>
      </c>
      <c r="J728" s="210">
        <f>VLOOKUP(I728,'Reajuste Atual'!$L$19:$M$25,2,FALSE)</f>
        <v>3.1053999999999999</v>
      </c>
      <c r="K728" s="190"/>
      <c r="L728" s="20">
        <v>3.21</v>
      </c>
      <c r="M728" s="765">
        <f t="shared" si="68"/>
        <v>2.2928571428571431</v>
      </c>
      <c r="N728" s="765">
        <f t="shared" si="63"/>
        <v>2.3345454545454545</v>
      </c>
      <c r="O728" s="765">
        <f t="shared" si="65"/>
        <v>2.2928571428571431</v>
      </c>
    </row>
    <row r="729" spans="1:15" s="98" customFormat="1" ht="47.25" outlineLevel="1">
      <c r="A729" s="141" t="s">
        <v>3478</v>
      </c>
      <c r="B729" s="114" t="s">
        <v>2930</v>
      </c>
      <c r="C729" s="100" t="s">
        <v>1592</v>
      </c>
      <c r="D729" s="181" t="s">
        <v>1468</v>
      </c>
      <c r="E729" s="20">
        <v>72</v>
      </c>
      <c r="F729" s="20">
        <f t="shared" si="66"/>
        <v>47.328571428571436</v>
      </c>
      <c r="G729" s="19">
        <f>E729*F729</f>
        <v>3407.6571428571433</v>
      </c>
      <c r="H729" s="19">
        <f t="shared" si="74"/>
        <v>13989.795634285714</v>
      </c>
      <c r="I729" s="114" t="s">
        <v>1521</v>
      </c>
      <c r="J729" s="210">
        <f>VLOOKUP(I729,'Reajuste Atual'!$L$19:$M$25,2,FALSE)</f>
        <v>3.1053999999999999</v>
      </c>
      <c r="K729" s="190"/>
      <c r="L729" s="20">
        <v>66.260000000000005</v>
      </c>
      <c r="M729" s="765">
        <f t="shared" si="68"/>
        <v>47.328571428571436</v>
      </c>
      <c r="N729" s="765">
        <f t="shared" si="63"/>
        <v>48.189090909090915</v>
      </c>
      <c r="O729" s="765">
        <f t="shared" si="65"/>
        <v>47.328571428571436</v>
      </c>
    </row>
    <row r="730" spans="1:15" s="98" customFormat="1" ht="47.25" outlineLevel="1">
      <c r="A730" s="141" t="s">
        <v>3478</v>
      </c>
      <c r="B730" s="114" t="s">
        <v>2931</v>
      </c>
      <c r="C730" s="100" t="s">
        <v>1611</v>
      </c>
      <c r="D730" s="181" t="s">
        <v>1468</v>
      </c>
      <c r="E730" s="20"/>
      <c r="F730" s="20"/>
      <c r="G730" s="19"/>
      <c r="H730" s="19"/>
      <c r="I730" s="114"/>
      <c r="J730" s="210"/>
      <c r="K730" s="190"/>
      <c r="L730" s="20"/>
      <c r="M730" s="765"/>
      <c r="N730" s="765">
        <f t="shared" ref="N730:N793" si="75">L730/($N$23+1)</f>
        <v>0</v>
      </c>
      <c r="O730" s="765">
        <f t="shared" si="65"/>
        <v>0</v>
      </c>
    </row>
    <row r="731" spans="1:15" s="98" customFormat="1" outlineLevel="1">
      <c r="A731" s="141" t="s">
        <v>3478</v>
      </c>
      <c r="B731" s="114" t="s">
        <v>2932</v>
      </c>
      <c r="C731" s="100" t="s">
        <v>1404</v>
      </c>
      <c r="D731" s="182" t="s">
        <v>1468</v>
      </c>
      <c r="E731" s="20">
        <v>96</v>
      </c>
      <c r="F731" s="20">
        <f t="shared" si="66"/>
        <v>4.4285714285714288</v>
      </c>
      <c r="G731" s="19">
        <f>E731*F731</f>
        <v>425.14285714285717</v>
      </c>
      <c r="H731" s="19">
        <f t="shared" ref="H731:H733" si="76">G731*(1+J731)</f>
        <v>1745.3814857142856</v>
      </c>
      <c r="I731" s="114" t="s">
        <v>1521</v>
      </c>
      <c r="J731" s="210">
        <f>VLOOKUP(I731,'Reajuste Atual'!$L$19:$M$25,2,FALSE)</f>
        <v>3.1053999999999999</v>
      </c>
      <c r="K731" s="190"/>
      <c r="L731" s="20">
        <v>6.2</v>
      </c>
      <c r="M731" s="765">
        <f t="shared" si="68"/>
        <v>4.4285714285714288</v>
      </c>
      <c r="N731" s="765">
        <f t="shared" si="75"/>
        <v>4.5090909090909088</v>
      </c>
      <c r="O731" s="765">
        <f t="shared" si="65"/>
        <v>4.4285714285714288</v>
      </c>
    </row>
    <row r="732" spans="1:15" s="98" customFormat="1" outlineLevel="1">
      <c r="A732" s="141" t="s">
        <v>3478</v>
      </c>
      <c r="B732" s="114" t="s">
        <v>2933</v>
      </c>
      <c r="C732" s="100" t="s">
        <v>1591</v>
      </c>
      <c r="D732" s="51" t="s">
        <v>1468</v>
      </c>
      <c r="E732" s="20">
        <v>40</v>
      </c>
      <c r="F732" s="20">
        <f t="shared" si="66"/>
        <v>2.8500000000000005</v>
      </c>
      <c r="G732" s="19">
        <f>E732*F732</f>
        <v>114.00000000000003</v>
      </c>
      <c r="H732" s="19">
        <f t="shared" si="76"/>
        <v>468.01560000000006</v>
      </c>
      <c r="I732" s="114" t="s">
        <v>1521</v>
      </c>
      <c r="J732" s="210">
        <f>VLOOKUP(I732,'Reajuste Atual'!$L$19:$M$25,2,FALSE)</f>
        <v>3.1053999999999999</v>
      </c>
      <c r="K732" s="190"/>
      <c r="L732" s="20">
        <v>3.99</v>
      </c>
      <c r="M732" s="765">
        <f t="shared" si="68"/>
        <v>2.8500000000000005</v>
      </c>
      <c r="N732" s="765">
        <f t="shared" si="75"/>
        <v>2.9018181818181819</v>
      </c>
      <c r="O732" s="765">
        <f t="shared" ref="O732:O795" si="77">IF(A732="S",M732,N732)</f>
        <v>2.8500000000000005</v>
      </c>
    </row>
    <row r="733" spans="1:15" s="98" customFormat="1" outlineLevel="1">
      <c r="A733" s="141" t="s">
        <v>3478</v>
      </c>
      <c r="B733" s="114" t="s">
        <v>2934</v>
      </c>
      <c r="C733" s="100" t="s">
        <v>1405</v>
      </c>
      <c r="D733" s="51" t="s">
        <v>1468</v>
      </c>
      <c r="E733" s="20">
        <v>20</v>
      </c>
      <c r="F733" s="20">
        <f t="shared" si="66"/>
        <v>4.1714285714285717</v>
      </c>
      <c r="G733" s="19">
        <f>E733*F733</f>
        <v>83.428571428571431</v>
      </c>
      <c r="H733" s="19">
        <f t="shared" si="76"/>
        <v>342.50765714285711</v>
      </c>
      <c r="I733" s="114" t="s">
        <v>1521</v>
      </c>
      <c r="J733" s="210">
        <f>VLOOKUP(I733,'Reajuste Atual'!$L$19:$M$25,2,FALSE)</f>
        <v>3.1053999999999999</v>
      </c>
      <c r="K733" s="191"/>
      <c r="L733" s="20">
        <v>5.84</v>
      </c>
      <c r="M733" s="765">
        <f t="shared" si="68"/>
        <v>4.1714285714285717</v>
      </c>
      <c r="N733" s="765">
        <f t="shared" si="75"/>
        <v>4.2472727272727271</v>
      </c>
      <c r="O733" s="765">
        <f t="shared" si="77"/>
        <v>4.1714285714285717</v>
      </c>
    </row>
    <row r="734" spans="1:15" s="98" customFormat="1" outlineLevel="1">
      <c r="B734" s="115" t="s">
        <v>2935</v>
      </c>
      <c r="C734" s="102" t="s">
        <v>2936</v>
      </c>
      <c r="D734" s="85"/>
      <c r="E734" s="62"/>
      <c r="F734" s="62"/>
      <c r="G734" s="64">
        <f>G735+G739+G752+G777+G783</f>
        <v>344541.97818181815</v>
      </c>
      <c r="H734" s="64">
        <f>H735+H739+H752+H777+H783</f>
        <v>1349434.1960756362</v>
      </c>
      <c r="I734" s="111"/>
      <c r="J734" s="86"/>
      <c r="K734" s="191"/>
      <c r="L734" s="20"/>
      <c r="M734" s="765"/>
      <c r="N734" s="765">
        <f t="shared" si="75"/>
        <v>0</v>
      </c>
      <c r="O734" s="765">
        <f t="shared" si="77"/>
        <v>0</v>
      </c>
    </row>
    <row r="735" spans="1:15" s="98" customFormat="1" outlineLevel="1">
      <c r="B735" s="115" t="s">
        <v>2937</v>
      </c>
      <c r="C735" s="102" t="s">
        <v>2860</v>
      </c>
      <c r="D735" s="85"/>
      <c r="E735" s="62"/>
      <c r="F735" s="62"/>
      <c r="G735" s="64">
        <f>SUM(G736:G738)</f>
        <v>2548.8872727272728</v>
      </c>
      <c r="H735" s="64">
        <f>SUM(H736:H738)</f>
        <v>10464.201809454544</v>
      </c>
      <c r="I735" s="111"/>
      <c r="J735" s="86"/>
      <c r="K735" s="190"/>
      <c r="L735" s="20"/>
      <c r="M735" s="765"/>
      <c r="N735" s="765">
        <f t="shared" si="75"/>
        <v>0</v>
      </c>
      <c r="O735" s="765">
        <f t="shared" si="77"/>
        <v>0</v>
      </c>
    </row>
    <row r="736" spans="1:15" s="98" customFormat="1" outlineLevel="1">
      <c r="A736" s="141" t="s">
        <v>3483</v>
      </c>
      <c r="B736" s="791" t="s">
        <v>2938</v>
      </c>
      <c r="C736" s="100" t="s">
        <v>2741</v>
      </c>
      <c r="D736" s="99" t="s">
        <v>1468</v>
      </c>
      <c r="E736" s="19">
        <v>24</v>
      </c>
      <c r="F736" s="20">
        <f t="shared" ref="F736:F799" si="78">O736</f>
        <v>4.1963636363636363</v>
      </c>
      <c r="G736" s="19">
        <f>E736*F736</f>
        <v>100.71272727272728</v>
      </c>
      <c r="H736" s="19">
        <f t="shared" ref="H736:H738" si="79">G736*(1+J736)</f>
        <v>413.46603054545454</v>
      </c>
      <c r="I736" s="114" t="s">
        <v>1521</v>
      </c>
      <c r="J736" s="210">
        <f>VLOOKUP(I736,'Reajuste Atual'!$L$19:$M$25,2,FALSE)</f>
        <v>3.1053999999999999</v>
      </c>
      <c r="K736" s="190"/>
      <c r="L736" s="20">
        <v>5.77</v>
      </c>
      <c r="M736" s="765">
        <f t="shared" ref="M736:M799" si="80">L736/($M$23+1)</f>
        <v>4.121428571428571</v>
      </c>
      <c r="N736" s="765">
        <f t="shared" si="75"/>
        <v>4.1963636363636363</v>
      </c>
      <c r="O736" s="765">
        <f t="shared" si="77"/>
        <v>4.1963636363636363</v>
      </c>
    </row>
    <row r="737" spans="1:15" s="98" customFormat="1" ht="31.5" outlineLevel="1">
      <c r="A737" s="141" t="s">
        <v>3483</v>
      </c>
      <c r="B737" s="791" t="s">
        <v>2939</v>
      </c>
      <c r="C737" s="100" t="s">
        <v>1593</v>
      </c>
      <c r="D737" s="99" t="s">
        <v>1472</v>
      </c>
      <c r="E737" s="20">
        <v>484</v>
      </c>
      <c r="F737" s="20">
        <f t="shared" si="78"/>
        <v>3.8690909090909091</v>
      </c>
      <c r="G737" s="19">
        <f>E737*F737</f>
        <v>1872.64</v>
      </c>
      <c r="H737" s="19">
        <f t="shared" si="79"/>
        <v>7687.936255999999</v>
      </c>
      <c r="I737" s="114" t="s">
        <v>1521</v>
      </c>
      <c r="J737" s="210">
        <f>VLOOKUP(I737,'Reajuste Atual'!$L$19:$M$25,2,FALSE)</f>
        <v>3.1053999999999999</v>
      </c>
      <c r="K737" s="190"/>
      <c r="L737" s="20">
        <v>5.32</v>
      </c>
      <c r="M737" s="765">
        <f t="shared" si="80"/>
        <v>3.8000000000000003</v>
      </c>
      <c r="N737" s="765">
        <f t="shared" si="75"/>
        <v>3.8690909090909091</v>
      </c>
      <c r="O737" s="765">
        <f t="shared" si="77"/>
        <v>3.8690909090909091</v>
      </c>
    </row>
    <row r="738" spans="1:15" s="98" customFormat="1" outlineLevel="1">
      <c r="A738" s="141" t="s">
        <v>3483</v>
      </c>
      <c r="B738" s="114" t="s">
        <v>2940</v>
      </c>
      <c r="C738" s="100" t="s">
        <v>1599</v>
      </c>
      <c r="D738" s="182" t="s">
        <v>1468</v>
      </c>
      <c r="E738" s="20">
        <v>4</v>
      </c>
      <c r="F738" s="20">
        <f t="shared" si="78"/>
        <v>143.88363636363636</v>
      </c>
      <c r="G738" s="19">
        <f>E738*F738</f>
        <v>575.53454545454542</v>
      </c>
      <c r="H738" s="19">
        <f t="shared" si="79"/>
        <v>2362.7995229090907</v>
      </c>
      <c r="I738" s="114" t="s">
        <v>1521</v>
      </c>
      <c r="J738" s="210">
        <f>VLOOKUP(I738,'Reajuste Atual'!$L$19:$M$25,2,FALSE)</f>
        <v>3.1053999999999999</v>
      </c>
      <c r="K738" s="191"/>
      <c r="L738" s="20">
        <v>197.84</v>
      </c>
      <c r="M738" s="765">
        <f t="shared" si="80"/>
        <v>141.31428571428572</v>
      </c>
      <c r="N738" s="765">
        <f t="shared" si="75"/>
        <v>143.88363636363636</v>
      </c>
      <c r="O738" s="765">
        <f t="shared" si="77"/>
        <v>143.88363636363636</v>
      </c>
    </row>
    <row r="739" spans="1:15" s="98" customFormat="1" outlineLevel="1">
      <c r="A739" s="141" t="s">
        <v>3483</v>
      </c>
      <c r="B739" s="115" t="s">
        <v>2941</v>
      </c>
      <c r="C739" s="102" t="s">
        <v>2774</v>
      </c>
      <c r="D739" s="85"/>
      <c r="E739" s="62"/>
      <c r="F739" s="62"/>
      <c r="G739" s="64">
        <f>SUM(G740:G751)</f>
        <v>14785.003636363635</v>
      </c>
      <c r="H739" s="64">
        <f>SUM(H740:H751)</f>
        <v>60698.353928727258</v>
      </c>
      <c r="I739" s="111"/>
      <c r="J739" s="86"/>
      <c r="K739" s="190"/>
      <c r="L739" s="20"/>
      <c r="M739" s="765"/>
      <c r="N739" s="765">
        <f t="shared" si="75"/>
        <v>0</v>
      </c>
      <c r="O739" s="765">
        <f t="shared" si="77"/>
        <v>0</v>
      </c>
    </row>
    <row r="740" spans="1:15" s="98" customFormat="1" outlineLevel="1">
      <c r="A740" s="141" t="s">
        <v>3483</v>
      </c>
      <c r="B740" s="114" t="s">
        <v>2942</v>
      </c>
      <c r="C740" s="100" t="s">
        <v>2738</v>
      </c>
      <c r="D740" s="181" t="s">
        <v>1468</v>
      </c>
      <c r="E740" s="20">
        <v>24</v>
      </c>
      <c r="F740" s="20">
        <f t="shared" si="78"/>
        <v>307.28727272727269</v>
      </c>
      <c r="G740" s="19">
        <f t="shared" ref="G740:G751" si="81">E740*F740</f>
        <v>7374.8945454545446</v>
      </c>
      <c r="H740" s="19">
        <f t="shared" ref="H740:H751" si="82">G740*(1+J740)</f>
        <v>30276.892066909084</v>
      </c>
      <c r="I740" s="114" t="s">
        <v>1521</v>
      </c>
      <c r="J740" s="210">
        <f>VLOOKUP(I740,'Reajuste Atual'!$L$19:$M$25,2,FALSE)</f>
        <v>3.1053999999999999</v>
      </c>
      <c r="K740" s="190"/>
      <c r="L740" s="20">
        <v>422.52</v>
      </c>
      <c r="M740" s="765">
        <f t="shared" si="80"/>
        <v>301.8</v>
      </c>
      <c r="N740" s="765">
        <f t="shared" si="75"/>
        <v>307.28727272727269</v>
      </c>
      <c r="O740" s="765">
        <f t="shared" si="77"/>
        <v>307.28727272727269</v>
      </c>
    </row>
    <row r="741" spans="1:15" s="98" customFormat="1" outlineLevel="1">
      <c r="A741" s="141" t="s">
        <v>3483</v>
      </c>
      <c r="B741" s="114" t="s">
        <v>2943</v>
      </c>
      <c r="C741" s="100" t="s">
        <v>1597</v>
      </c>
      <c r="D741" s="181" t="s">
        <v>1468</v>
      </c>
      <c r="E741" s="20">
        <v>198</v>
      </c>
      <c r="F741" s="20">
        <f t="shared" si="78"/>
        <v>3.0036363636363634</v>
      </c>
      <c r="G741" s="19">
        <f t="shared" si="81"/>
        <v>594.71999999999991</v>
      </c>
      <c r="H741" s="19">
        <f t="shared" si="82"/>
        <v>2441.5634879999993</v>
      </c>
      <c r="I741" s="114" t="s">
        <v>1521</v>
      </c>
      <c r="J741" s="210">
        <f>VLOOKUP(I741,'Reajuste Atual'!$L$19:$M$25,2,FALSE)</f>
        <v>3.1053999999999999</v>
      </c>
      <c r="K741" s="190"/>
      <c r="L741" s="20">
        <v>4.13</v>
      </c>
      <c r="M741" s="765">
        <f t="shared" si="80"/>
        <v>2.95</v>
      </c>
      <c r="N741" s="765">
        <f t="shared" si="75"/>
        <v>3.0036363636363634</v>
      </c>
      <c r="O741" s="765">
        <f t="shared" si="77"/>
        <v>3.0036363636363634</v>
      </c>
    </row>
    <row r="742" spans="1:15" s="98" customFormat="1" outlineLevel="1">
      <c r="A742" s="141" t="s">
        <v>3483</v>
      </c>
      <c r="B742" s="114" t="s">
        <v>2944</v>
      </c>
      <c r="C742" s="100" t="s">
        <v>2739</v>
      </c>
      <c r="D742" s="181" t="s">
        <v>1468</v>
      </c>
      <c r="E742" s="20">
        <v>24</v>
      </c>
      <c r="F742" s="20">
        <f t="shared" si="78"/>
        <v>28.487272727272728</v>
      </c>
      <c r="G742" s="19">
        <f t="shared" si="81"/>
        <v>683.6945454545455</v>
      </c>
      <c r="H742" s="19">
        <f t="shared" si="82"/>
        <v>2806.8395869090909</v>
      </c>
      <c r="I742" s="114" t="s">
        <v>1521</v>
      </c>
      <c r="J742" s="210">
        <f>VLOOKUP(I742,'Reajuste Atual'!$L$19:$M$25,2,FALSE)</f>
        <v>3.1053999999999999</v>
      </c>
      <c r="K742" s="190"/>
      <c r="L742" s="20">
        <v>39.17</v>
      </c>
      <c r="M742" s="765">
        <f t="shared" si="80"/>
        <v>27.978571428571431</v>
      </c>
      <c r="N742" s="765">
        <f t="shared" si="75"/>
        <v>28.487272727272728</v>
      </c>
      <c r="O742" s="765">
        <f t="shared" si="77"/>
        <v>28.487272727272728</v>
      </c>
    </row>
    <row r="743" spans="1:15" s="98" customFormat="1" ht="31.5" outlineLevel="1">
      <c r="A743" s="141" t="s">
        <v>3483</v>
      </c>
      <c r="B743" s="114" t="s">
        <v>2945</v>
      </c>
      <c r="C743" s="100" t="s">
        <v>2742</v>
      </c>
      <c r="D743" s="181" t="s">
        <v>1468</v>
      </c>
      <c r="E743" s="20">
        <v>24</v>
      </c>
      <c r="F743" s="20">
        <f t="shared" si="78"/>
        <v>74.094545454545454</v>
      </c>
      <c r="G743" s="19">
        <f t="shared" si="81"/>
        <v>1778.2690909090909</v>
      </c>
      <c r="H743" s="19">
        <f t="shared" si="82"/>
        <v>7300.5059258181809</v>
      </c>
      <c r="I743" s="114" t="s">
        <v>1521</v>
      </c>
      <c r="J743" s="210">
        <f>VLOOKUP(I743,'Reajuste Atual'!$L$19:$M$25,2,FALSE)</f>
        <v>3.1053999999999999</v>
      </c>
      <c r="K743" s="190"/>
      <c r="L743" s="20">
        <v>101.88</v>
      </c>
      <c r="M743" s="765">
        <f t="shared" si="80"/>
        <v>72.771428571428572</v>
      </c>
      <c r="N743" s="765">
        <f t="shared" si="75"/>
        <v>74.094545454545454</v>
      </c>
      <c r="O743" s="765">
        <f t="shared" si="77"/>
        <v>74.094545454545454</v>
      </c>
    </row>
    <row r="744" spans="1:15" s="98" customFormat="1" outlineLevel="1">
      <c r="A744" s="141" t="s">
        <v>3483</v>
      </c>
      <c r="B744" s="114" t="s">
        <v>2946</v>
      </c>
      <c r="C744" s="100" t="s">
        <v>1598</v>
      </c>
      <c r="D744" s="181" t="s">
        <v>1468</v>
      </c>
      <c r="E744" s="20">
        <v>168</v>
      </c>
      <c r="F744" s="20">
        <f t="shared" si="78"/>
        <v>1.9272727272727272</v>
      </c>
      <c r="G744" s="19">
        <f t="shared" si="81"/>
        <v>323.78181818181815</v>
      </c>
      <c r="H744" s="19">
        <f t="shared" si="82"/>
        <v>1329.253876363636</v>
      </c>
      <c r="I744" s="114" t="s">
        <v>1521</v>
      </c>
      <c r="J744" s="210">
        <f>VLOOKUP(I744,'Reajuste Atual'!$L$19:$M$25,2,FALSE)</f>
        <v>3.1053999999999999</v>
      </c>
      <c r="K744" s="190"/>
      <c r="L744" s="20">
        <v>2.65</v>
      </c>
      <c r="M744" s="765">
        <f t="shared" si="80"/>
        <v>1.892857142857143</v>
      </c>
      <c r="N744" s="765">
        <f t="shared" si="75"/>
        <v>1.9272727272727272</v>
      </c>
      <c r="O744" s="765">
        <f t="shared" si="77"/>
        <v>1.9272727272727272</v>
      </c>
    </row>
    <row r="745" spans="1:15" s="98" customFormat="1" outlineLevel="1">
      <c r="A745" s="141" t="s">
        <v>3483</v>
      </c>
      <c r="B745" s="114" t="s">
        <v>2947</v>
      </c>
      <c r="C745" s="100" t="s">
        <v>2871</v>
      </c>
      <c r="D745" s="181" t="s">
        <v>1468</v>
      </c>
      <c r="E745" s="20">
        <v>24</v>
      </c>
      <c r="F745" s="20">
        <f t="shared" si="78"/>
        <v>1.3236363636363637</v>
      </c>
      <c r="G745" s="19">
        <f t="shared" si="81"/>
        <v>31.767272727272729</v>
      </c>
      <c r="H745" s="19">
        <f t="shared" si="82"/>
        <v>130.41736145454544</v>
      </c>
      <c r="I745" s="114" t="s">
        <v>1521</v>
      </c>
      <c r="J745" s="210">
        <f>VLOOKUP(I745,'Reajuste Atual'!$L$19:$M$25,2,FALSE)</f>
        <v>3.1053999999999999</v>
      </c>
      <c r="K745" s="190"/>
      <c r="L745" s="20">
        <v>1.82</v>
      </c>
      <c r="M745" s="765">
        <f t="shared" si="80"/>
        <v>1.3</v>
      </c>
      <c r="N745" s="765">
        <f t="shared" si="75"/>
        <v>1.3236363636363637</v>
      </c>
      <c r="O745" s="765">
        <f t="shared" si="77"/>
        <v>1.3236363636363637</v>
      </c>
    </row>
    <row r="746" spans="1:15" s="98" customFormat="1" outlineLevel="1">
      <c r="A746" s="141" t="s">
        <v>3483</v>
      </c>
      <c r="B746" s="114" t="s">
        <v>2948</v>
      </c>
      <c r="C746" s="100" t="s">
        <v>2873</v>
      </c>
      <c r="D746" s="181" t="s">
        <v>1468</v>
      </c>
      <c r="E746" s="20">
        <v>72</v>
      </c>
      <c r="F746" s="20">
        <f t="shared" si="78"/>
        <v>1.3236363636363637</v>
      </c>
      <c r="G746" s="19">
        <f t="shared" si="81"/>
        <v>95.301818181818192</v>
      </c>
      <c r="H746" s="19">
        <f t="shared" si="82"/>
        <v>391.25208436363636</v>
      </c>
      <c r="I746" s="114" t="s">
        <v>1521</v>
      </c>
      <c r="J746" s="210">
        <f>VLOOKUP(I746,'Reajuste Atual'!$L$19:$M$25,2,FALSE)</f>
        <v>3.1053999999999999</v>
      </c>
      <c r="K746" s="190"/>
      <c r="L746" s="20">
        <v>1.82</v>
      </c>
      <c r="M746" s="765">
        <f t="shared" si="80"/>
        <v>1.3</v>
      </c>
      <c r="N746" s="765">
        <f t="shared" si="75"/>
        <v>1.3236363636363637</v>
      </c>
      <c r="O746" s="765">
        <f t="shared" si="77"/>
        <v>1.3236363636363637</v>
      </c>
    </row>
    <row r="747" spans="1:15" s="98" customFormat="1" outlineLevel="1">
      <c r="A747" s="141" t="s">
        <v>3483</v>
      </c>
      <c r="B747" s="114" t="s">
        <v>2949</v>
      </c>
      <c r="C747" s="100" t="s">
        <v>2875</v>
      </c>
      <c r="D747" s="181" t="s">
        <v>1468</v>
      </c>
      <c r="E747" s="20">
        <v>24</v>
      </c>
      <c r="F747" s="20">
        <f t="shared" si="78"/>
        <v>1.3236363636363637</v>
      </c>
      <c r="G747" s="19">
        <f t="shared" si="81"/>
        <v>31.767272727272729</v>
      </c>
      <c r="H747" s="19">
        <f t="shared" si="82"/>
        <v>130.41736145454544</v>
      </c>
      <c r="I747" s="114" t="s">
        <v>1521</v>
      </c>
      <c r="J747" s="210">
        <f>VLOOKUP(I747,'Reajuste Atual'!$L$19:$M$25,2,FALSE)</f>
        <v>3.1053999999999999</v>
      </c>
      <c r="K747" s="190"/>
      <c r="L747" s="20">
        <v>1.82</v>
      </c>
      <c r="M747" s="765">
        <f t="shared" si="80"/>
        <v>1.3</v>
      </c>
      <c r="N747" s="765">
        <f t="shared" si="75"/>
        <v>1.3236363636363637</v>
      </c>
      <c r="O747" s="765">
        <f t="shared" si="77"/>
        <v>1.3236363636363637</v>
      </c>
    </row>
    <row r="748" spans="1:15" s="98" customFormat="1" outlineLevel="1">
      <c r="A748" s="141" t="s">
        <v>3483</v>
      </c>
      <c r="B748" s="114" t="s">
        <v>2950</v>
      </c>
      <c r="C748" s="100" t="s">
        <v>2725</v>
      </c>
      <c r="D748" s="183" t="s">
        <v>1468</v>
      </c>
      <c r="E748" s="20">
        <v>42</v>
      </c>
      <c r="F748" s="20">
        <f t="shared" si="78"/>
        <v>28.087272727272726</v>
      </c>
      <c r="G748" s="19">
        <f t="shared" si="81"/>
        <v>1179.6654545454544</v>
      </c>
      <c r="H748" s="19">
        <f t="shared" si="82"/>
        <v>4842.9985570909075</v>
      </c>
      <c r="I748" s="114" t="s">
        <v>1521</v>
      </c>
      <c r="J748" s="210">
        <f>VLOOKUP(I748,'Reajuste Atual'!$L$19:$M$25,2,FALSE)</f>
        <v>3.1053999999999999</v>
      </c>
      <c r="K748" s="190"/>
      <c r="L748" s="20">
        <v>38.619999999999997</v>
      </c>
      <c r="M748" s="765">
        <f t="shared" si="80"/>
        <v>27.585714285714285</v>
      </c>
      <c r="N748" s="765">
        <f t="shared" si="75"/>
        <v>28.087272727272726</v>
      </c>
      <c r="O748" s="765">
        <f t="shared" si="77"/>
        <v>28.087272727272726</v>
      </c>
    </row>
    <row r="749" spans="1:15" s="98" customFormat="1" outlineLevel="1">
      <c r="A749" s="141" t="s">
        <v>3483</v>
      </c>
      <c r="B749" s="114" t="s">
        <v>2951</v>
      </c>
      <c r="C749" s="100" t="s">
        <v>2879</v>
      </c>
      <c r="D749" s="183" t="s">
        <v>1468</v>
      </c>
      <c r="E749" s="20">
        <v>72</v>
      </c>
      <c r="F749" s="20">
        <f t="shared" si="78"/>
        <v>1.2</v>
      </c>
      <c r="G749" s="19">
        <f t="shared" si="81"/>
        <v>86.399999999999991</v>
      </c>
      <c r="H749" s="19">
        <f t="shared" si="82"/>
        <v>354.70655999999991</v>
      </c>
      <c r="I749" s="114" t="s">
        <v>1521</v>
      </c>
      <c r="J749" s="210">
        <f>VLOOKUP(I749,'Reajuste Atual'!$L$19:$M$25,2,FALSE)</f>
        <v>3.1053999999999999</v>
      </c>
      <c r="K749" s="190"/>
      <c r="L749" s="20">
        <v>1.65</v>
      </c>
      <c r="M749" s="765">
        <f t="shared" si="80"/>
        <v>1.1785714285714286</v>
      </c>
      <c r="N749" s="765">
        <f t="shared" si="75"/>
        <v>1.2</v>
      </c>
      <c r="O749" s="765">
        <f t="shared" si="77"/>
        <v>1.2</v>
      </c>
    </row>
    <row r="750" spans="1:15" s="98" customFormat="1" outlineLevel="1">
      <c r="A750" s="141" t="s">
        <v>3483</v>
      </c>
      <c r="B750" s="114" t="s">
        <v>2952</v>
      </c>
      <c r="C750" s="100" t="s">
        <v>2881</v>
      </c>
      <c r="D750" s="183" t="s">
        <v>1468</v>
      </c>
      <c r="E750" s="20">
        <v>312</v>
      </c>
      <c r="F750" s="20">
        <f t="shared" si="78"/>
        <v>2.2763636363636364</v>
      </c>
      <c r="G750" s="19">
        <f t="shared" si="81"/>
        <v>710.22545454545457</v>
      </c>
      <c r="H750" s="19">
        <f t="shared" si="82"/>
        <v>2915.7595810909088</v>
      </c>
      <c r="I750" s="114" t="s">
        <v>1521</v>
      </c>
      <c r="J750" s="210">
        <f>VLOOKUP(I750,'Reajuste Atual'!$L$19:$M$25,2,FALSE)</f>
        <v>3.1053999999999999</v>
      </c>
      <c r="K750" s="190"/>
      <c r="L750" s="20">
        <v>3.13</v>
      </c>
      <c r="M750" s="765">
        <f t="shared" si="80"/>
        <v>2.2357142857142858</v>
      </c>
      <c r="N750" s="765">
        <f t="shared" si="75"/>
        <v>2.2763636363636364</v>
      </c>
      <c r="O750" s="765">
        <f t="shared" si="77"/>
        <v>2.2763636363636364</v>
      </c>
    </row>
    <row r="751" spans="1:15" s="98" customFormat="1" ht="47.25" outlineLevel="1">
      <c r="A751" s="141" t="s">
        <v>3483</v>
      </c>
      <c r="B751" s="114" t="s">
        <v>2953</v>
      </c>
      <c r="C751" s="100" t="s">
        <v>2727</v>
      </c>
      <c r="D751" s="99" t="s">
        <v>1480</v>
      </c>
      <c r="E751" s="20">
        <v>144</v>
      </c>
      <c r="F751" s="20">
        <f t="shared" si="78"/>
        <v>13.156363636363636</v>
      </c>
      <c r="G751" s="19">
        <f t="shared" si="81"/>
        <v>1894.5163636363636</v>
      </c>
      <c r="H751" s="19">
        <f t="shared" si="82"/>
        <v>7777.7474792727262</v>
      </c>
      <c r="I751" s="114" t="s">
        <v>1521</v>
      </c>
      <c r="J751" s="210">
        <f>VLOOKUP(I751,'Reajuste Atual'!$L$19:$M$25,2,FALSE)</f>
        <v>3.1053999999999999</v>
      </c>
      <c r="K751" s="191"/>
      <c r="L751" s="20">
        <v>18.09</v>
      </c>
      <c r="M751" s="765">
        <f t="shared" si="80"/>
        <v>12.921428571428573</v>
      </c>
      <c r="N751" s="765">
        <f t="shared" si="75"/>
        <v>13.156363636363636</v>
      </c>
      <c r="O751" s="765">
        <f t="shared" si="77"/>
        <v>13.156363636363636</v>
      </c>
    </row>
    <row r="752" spans="1:15" s="98" customFormat="1" outlineLevel="1">
      <c r="A752" s="141" t="s">
        <v>3483</v>
      </c>
      <c r="B752" s="115" t="s">
        <v>2954</v>
      </c>
      <c r="C752" s="102" t="s">
        <v>2884</v>
      </c>
      <c r="D752" s="85"/>
      <c r="E752" s="62"/>
      <c r="F752" s="62"/>
      <c r="G752" s="64">
        <f>SUM(G753:G776)</f>
        <v>0</v>
      </c>
      <c r="H752" s="64">
        <f>SUM(H753:H776)</f>
        <v>0</v>
      </c>
      <c r="I752" s="111"/>
      <c r="J752" s="86"/>
      <c r="K752" s="190"/>
      <c r="L752" s="20"/>
      <c r="M752" s="765"/>
      <c r="N752" s="765">
        <f t="shared" si="75"/>
        <v>0</v>
      </c>
      <c r="O752" s="765">
        <f t="shared" si="77"/>
        <v>0</v>
      </c>
    </row>
    <row r="753" spans="1:15" s="98" customFormat="1" outlineLevel="1">
      <c r="A753" s="141" t="s">
        <v>3483</v>
      </c>
      <c r="B753" s="114" t="s">
        <v>2955</v>
      </c>
      <c r="C753" s="100" t="s">
        <v>1601</v>
      </c>
      <c r="D753" s="99" t="s">
        <v>1472</v>
      </c>
      <c r="E753" s="491"/>
      <c r="F753" s="20">
        <f t="shared" si="78"/>
        <v>6.0581818181818186</v>
      </c>
      <c r="G753" s="19">
        <f t="shared" ref="G753:G776" si="83">E753*F753</f>
        <v>0</v>
      </c>
      <c r="H753" s="19">
        <f t="shared" ref="H753:H776" si="84">G753*(1+J753)</f>
        <v>0</v>
      </c>
      <c r="I753" s="114" t="s">
        <v>1521</v>
      </c>
      <c r="J753" s="210">
        <f>VLOOKUP(I753,'Reajuste Atual'!$L$19:$M$25,2,FALSE)</f>
        <v>3.1053999999999999</v>
      </c>
      <c r="K753" s="190"/>
      <c r="L753" s="20">
        <v>8.33</v>
      </c>
      <c r="M753" s="765">
        <f t="shared" si="80"/>
        <v>5.95</v>
      </c>
      <c r="N753" s="765">
        <f t="shared" si="75"/>
        <v>6.0581818181818186</v>
      </c>
      <c r="O753" s="765">
        <f t="shared" si="77"/>
        <v>6.0581818181818186</v>
      </c>
    </row>
    <row r="754" spans="1:15" s="98" customFormat="1" outlineLevel="1">
      <c r="A754" s="141" t="s">
        <v>3483</v>
      </c>
      <c r="B754" s="114" t="s">
        <v>2956</v>
      </c>
      <c r="C754" s="100" t="s">
        <v>2763</v>
      </c>
      <c r="D754" s="99" t="s">
        <v>1472</v>
      </c>
      <c r="E754" s="491"/>
      <c r="F754" s="20">
        <f t="shared" si="78"/>
        <v>22.72</v>
      </c>
      <c r="G754" s="19">
        <f t="shared" si="83"/>
        <v>0</v>
      </c>
      <c r="H754" s="19">
        <f t="shared" si="84"/>
        <v>0</v>
      </c>
      <c r="I754" s="114" t="s">
        <v>1521</v>
      </c>
      <c r="J754" s="210">
        <f>VLOOKUP(I754,'Reajuste Atual'!$L$19:$M$25,2,FALSE)</f>
        <v>3.1053999999999999</v>
      </c>
      <c r="K754" s="190"/>
      <c r="L754" s="20">
        <v>31.24</v>
      </c>
      <c r="M754" s="765">
        <f t="shared" si="80"/>
        <v>22.314285714285713</v>
      </c>
      <c r="N754" s="765">
        <f t="shared" si="75"/>
        <v>22.72</v>
      </c>
      <c r="O754" s="765">
        <f t="shared" si="77"/>
        <v>22.72</v>
      </c>
    </row>
    <row r="755" spans="1:15" s="98" customFormat="1" outlineLevel="1">
      <c r="A755" s="141" t="s">
        <v>3483</v>
      </c>
      <c r="B755" s="114" t="s">
        <v>2957</v>
      </c>
      <c r="C755" s="100" t="s">
        <v>1602</v>
      </c>
      <c r="D755" s="99" t="s">
        <v>1472</v>
      </c>
      <c r="E755" s="491"/>
      <c r="F755" s="20">
        <f t="shared" si="78"/>
        <v>3.352727272727273</v>
      </c>
      <c r="G755" s="19">
        <f t="shared" si="83"/>
        <v>0</v>
      </c>
      <c r="H755" s="19">
        <f t="shared" si="84"/>
        <v>0</v>
      </c>
      <c r="I755" s="114" t="s">
        <v>1521</v>
      </c>
      <c r="J755" s="210">
        <f>VLOOKUP(I755,'Reajuste Atual'!$L$19:$M$25,2,FALSE)</f>
        <v>3.1053999999999999</v>
      </c>
      <c r="K755" s="190"/>
      <c r="L755" s="20">
        <v>4.6100000000000003</v>
      </c>
      <c r="M755" s="765">
        <f t="shared" si="80"/>
        <v>3.2928571428571431</v>
      </c>
      <c r="N755" s="765">
        <f t="shared" si="75"/>
        <v>3.352727272727273</v>
      </c>
      <c r="O755" s="765">
        <f t="shared" si="77"/>
        <v>3.352727272727273</v>
      </c>
    </row>
    <row r="756" spans="1:15" s="98" customFormat="1" outlineLevel="1">
      <c r="A756" s="141" t="s">
        <v>3483</v>
      </c>
      <c r="B756" s="114" t="s">
        <v>2958</v>
      </c>
      <c r="C756" s="100" t="s">
        <v>2889</v>
      </c>
      <c r="D756" s="99" t="s">
        <v>1472</v>
      </c>
      <c r="E756" s="491"/>
      <c r="F756" s="20">
        <f t="shared" si="78"/>
        <v>89.75272727272727</v>
      </c>
      <c r="G756" s="19">
        <f t="shared" si="83"/>
        <v>0</v>
      </c>
      <c r="H756" s="19">
        <f t="shared" si="84"/>
        <v>0</v>
      </c>
      <c r="I756" s="114" t="s">
        <v>1521</v>
      </c>
      <c r="J756" s="210">
        <f>VLOOKUP(I756,'Reajuste Atual'!$L$19:$M$25,2,FALSE)</f>
        <v>3.1053999999999999</v>
      </c>
      <c r="K756" s="190"/>
      <c r="L756" s="20">
        <v>123.41</v>
      </c>
      <c r="M756" s="765">
        <f t="shared" si="80"/>
        <v>88.15</v>
      </c>
      <c r="N756" s="765">
        <f t="shared" si="75"/>
        <v>89.75272727272727</v>
      </c>
      <c r="O756" s="765">
        <f t="shared" si="77"/>
        <v>89.75272727272727</v>
      </c>
    </row>
    <row r="757" spans="1:15" s="98" customFormat="1" outlineLevel="1">
      <c r="A757" s="141" t="s">
        <v>3483</v>
      </c>
      <c r="B757" s="114" t="s">
        <v>2959</v>
      </c>
      <c r="C757" s="100" t="s">
        <v>2891</v>
      </c>
      <c r="D757" s="99" t="s">
        <v>1472</v>
      </c>
      <c r="E757" s="491"/>
      <c r="F757" s="20">
        <f t="shared" si="78"/>
        <v>55.440000000000005</v>
      </c>
      <c r="G757" s="19">
        <f t="shared" si="83"/>
        <v>0</v>
      </c>
      <c r="H757" s="19">
        <f t="shared" si="84"/>
        <v>0</v>
      </c>
      <c r="I757" s="114" t="s">
        <v>1521</v>
      </c>
      <c r="J757" s="210">
        <f>VLOOKUP(I757,'Reajuste Atual'!$L$19:$M$25,2,FALSE)</f>
        <v>3.1053999999999999</v>
      </c>
      <c r="K757" s="190"/>
      <c r="L757" s="20">
        <v>76.23</v>
      </c>
      <c r="M757" s="765">
        <f t="shared" si="80"/>
        <v>54.45</v>
      </c>
      <c r="N757" s="765">
        <f t="shared" si="75"/>
        <v>55.440000000000005</v>
      </c>
      <c r="O757" s="765">
        <f t="shared" si="77"/>
        <v>55.440000000000005</v>
      </c>
    </row>
    <row r="758" spans="1:15" s="98" customFormat="1" outlineLevel="1">
      <c r="A758" s="141" t="s">
        <v>3483</v>
      </c>
      <c r="B758" s="114" t="s">
        <v>2960</v>
      </c>
      <c r="C758" s="100" t="s">
        <v>1561</v>
      </c>
      <c r="D758" s="183" t="s">
        <v>1468</v>
      </c>
      <c r="E758" s="491"/>
      <c r="F758" s="20">
        <f t="shared" si="78"/>
        <v>809.36727272727285</v>
      </c>
      <c r="G758" s="19">
        <f t="shared" si="83"/>
        <v>0</v>
      </c>
      <c r="H758" s="19">
        <f t="shared" si="84"/>
        <v>0</v>
      </c>
      <c r="I758" s="114" t="s">
        <v>1521</v>
      </c>
      <c r="J758" s="210">
        <f>VLOOKUP(I758,'Reajuste Atual'!$L$19:$M$25,2,FALSE)</f>
        <v>3.1053999999999999</v>
      </c>
      <c r="K758" s="190"/>
      <c r="L758" s="20">
        <v>1112.8800000000001</v>
      </c>
      <c r="M758" s="765">
        <f t="shared" si="80"/>
        <v>794.91428571428582</v>
      </c>
      <c r="N758" s="765">
        <f t="shared" si="75"/>
        <v>809.36727272727285</v>
      </c>
      <c r="O758" s="765">
        <f t="shared" si="77"/>
        <v>809.36727272727285</v>
      </c>
    </row>
    <row r="759" spans="1:15" s="98" customFormat="1" outlineLevel="1">
      <c r="A759" s="141" t="s">
        <v>3483</v>
      </c>
      <c r="B759" s="114" t="s">
        <v>2961</v>
      </c>
      <c r="C759" s="100" t="s">
        <v>2764</v>
      </c>
      <c r="D759" s="183" t="s">
        <v>1468</v>
      </c>
      <c r="E759" s="491"/>
      <c r="F759" s="20">
        <f t="shared" si="78"/>
        <v>13.280000000000001</v>
      </c>
      <c r="G759" s="19">
        <f t="shared" si="83"/>
        <v>0</v>
      </c>
      <c r="H759" s="19">
        <f t="shared" si="84"/>
        <v>0</v>
      </c>
      <c r="I759" s="114" t="s">
        <v>1521</v>
      </c>
      <c r="J759" s="210">
        <f>VLOOKUP(I759,'Reajuste Atual'!$L$19:$M$25,2,FALSE)</f>
        <v>3.1053999999999999</v>
      </c>
      <c r="K759" s="190"/>
      <c r="L759" s="20">
        <v>18.260000000000002</v>
      </c>
      <c r="M759" s="765">
        <f t="shared" si="80"/>
        <v>13.042857142857144</v>
      </c>
      <c r="N759" s="765">
        <f t="shared" si="75"/>
        <v>13.280000000000001</v>
      </c>
      <c r="O759" s="765">
        <f t="shared" si="77"/>
        <v>13.280000000000001</v>
      </c>
    </row>
    <row r="760" spans="1:15" s="98" customFormat="1" outlineLevel="1">
      <c r="A760" s="141" t="s">
        <v>3483</v>
      </c>
      <c r="B760" s="114" t="s">
        <v>2962</v>
      </c>
      <c r="C760" s="100" t="s">
        <v>2765</v>
      </c>
      <c r="D760" s="183" t="s">
        <v>1468</v>
      </c>
      <c r="E760" s="491"/>
      <c r="F760" s="20">
        <f t="shared" si="78"/>
        <v>3.0181818181818185</v>
      </c>
      <c r="G760" s="19">
        <f t="shared" si="83"/>
        <v>0</v>
      </c>
      <c r="H760" s="19">
        <f t="shared" si="84"/>
        <v>0</v>
      </c>
      <c r="I760" s="114" t="s">
        <v>1521</v>
      </c>
      <c r="J760" s="210">
        <f>VLOOKUP(I760,'Reajuste Atual'!$L$19:$M$25,2,FALSE)</f>
        <v>3.1053999999999999</v>
      </c>
      <c r="K760" s="190"/>
      <c r="L760" s="20">
        <v>4.1500000000000004</v>
      </c>
      <c r="M760" s="765">
        <f t="shared" si="80"/>
        <v>2.9642857142857149</v>
      </c>
      <c r="N760" s="765">
        <f t="shared" si="75"/>
        <v>3.0181818181818185</v>
      </c>
      <c r="O760" s="765">
        <f t="shared" si="77"/>
        <v>3.0181818181818185</v>
      </c>
    </row>
    <row r="761" spans="1:15" s="98" customFormat="1" outlineLevel="1">
      <c r="A761" s="141" t="s">
        <v>3483</v>
      </c>
      <c r="B761" s="114" t="s">
        <v>2963</v>
      </c>
      <c r="C761" s="100" t="s">
        <v>2766</v>
      </c>
      <c r="D761" s="183" t="s">
        <v>1468</v>
      </c>
      <c r="E761" s="491"/>
      <c r="F761" s="20">
        <f t="shared" si="78"/>
        <v>8.4072727272727281</v>
      </c>
      <c r="G761" s="19">
        <f t="shared" si="83"/>
        <v>0</v>
      </c>
      <c r="H761" s="19">
        <f t="shared" si="84"/>
        <v>0</v>
      </c>
      <c r="I761" s="114" t="s">
        <v>1521</v>
      </c>
      <c r="J761" s="210">
        <f>VLOOKUP(I761,'Reajuste Atual'!$L$19:$M$25,2,FALSE)</f>
        <v>3.1053999999999999</v>
      </c>
      <c r="K761" s="190"/>
      <c r="L761" s="20">
        <v>11.56</v>
      </c>
      <c r="M761" s="765">
        <f t="shared" si="80"/>
        <v>8.257142857142858</v>
      </c>
      <c r="N761" s="765">
        <f t="shared" si="75"/>
        <v>8.4072727272727281</v>
      </c>
      <c r="O761" s="765">
        <f t="shared" si="77"/>
        <v>8.4072727272727281</v>
      </c>
    </row>
    <row r="762" spans="1:15" s="98" customFormat="1" outlineLevel="1">
      <c r="A762" s="141" t="s">
        <v>3483</v>
      </c>
      <c r="B762" s="114" t="s">
        <v>2964</v>
      </c>
      <c r="C762" s="100" t="s">
        <v>2767</v>
      </c>
      <c r="D762" s="183" t="s">
        <v>1468</v>
      </c>
      <c r="E762" s="491"/>
      <c r="F762" s="20">
        <f t="shared" si="78"/>
        <v>108.96727272727274</v>
      </c>
      <c r="G762" s="19">
        <f t="shared" si="83"/>
        <v>0</v>
      </c>
      <c r="H762" s="19">
        <f t="shared" si="84"/>
        <v>0</v>
      </c>
      <c r="I762" s="114" t="s">
        <v>1521</v>
      </c>
      <c r="J762" s="210">
        <f>VLOOKUP(I762,'Reajuste Atual'!$L$19:$M$25,2,FALSE)</f>
        <v>3.1053999999999999</v>
      </c>
      <c r="K762" s="190"/>
      <c r="L762" s="20">
        <v>149.83000000000001</v>
      </c>
      <c r="M762" s="765">
        <f t="shared" si="80"/>
        <v>107.02142857142859</v>
      </c>
      <c r="N762" s="765">
        <f t="shared" si="75"/>
        <v>108.96727272727274</v>
      </c>
      <c r="O762" s="765">
        <f t="shared" si="77"/>
        <v>108.96727272727274</v>
      </c>
    </row>
    <row r="763" spans="1:15" s="98" customFormat="1" ht="31.5" outlineLevel="1">
      <c r="A763" s="141" t="s">
        <v>3483</v>
      </c>
      <c r="B763" s="114" t="s">
        <v>2965</v>
      </c>
      <c r="C763" s="100" t="s">
        <v>2768</v>
      </c>
      <c r="D763" s="183" t="s">
        <v>1468</v>
      </c>
      <c r="E763" s="491"/>
      <c r="F763" s="20">
        <f t="shared" si="78"/>
        <v>2</v>
      </c>
      <c r="G763" s="19">
        <f t="shared" si="83"/>
        <v>0</v>
      </c>
      <c r="H763" s="19">
        <f t="shared" si="84"/>
        <v>0</v>
      </c>
      <c r="I763" s="114" t="s">
        <v>1521</v>
      </c>
      <c r="J763" s="210">
        <f>VLOOKUP(I763,'Reajuste Atual'!$L$19:$M$25,2,FALSE)</f>
        <v>3.1053999999999999</v>
      </c>
      <c r="K763" s="190"/>
      <c r="L763" s="20">
        <v>2.75</v>
      </c>
      <c r="M763" s="765">
        <f t="shared" si="80"/>
        <v>1.9642857142857144</v>
      </c>
      <c r="N763" s="765">
        <f t="shared" si="75"/>
        <v>2</v>
      </c>
      <c r="O763" s="765">
        <f t="shared" si="77"/>
        <v>2</v>
      </c>
    </row>
    <row r="764" spans="1:15" s="98" customFormat="1" outlineLevel="1">
      <c r="A764" s="141" t="s">
        <v>3483</v>
      </c>
      <c r="B764" s="114" t="s">
        <v>2966</v>
      </c>
      <c r="C764" s="100" t="s">
        <v>2769</v>
      </c>
      <c r="D764" s="183" t="s">
        <v>1468</v>
      </c>
      <c r="E764" s="491"/>
      <c r="F764" s="20">
        <f t="shared" si="78"/>
        <v>136.67636363636365</v>
      </c>
      <c r="G764" s="19">
        <f t="shared" si="83"/>
        <v>0</v>
      </c>
      <c r="H764" s="19">
        <f t="shared" si="84"/>
        <v>0</v>
      </c>
      <c r="I764" s="114" t="s">
        <v>1521</v>
      </c>
      <c r="J764" s="210">
        <f>VLOOKUP(I764,'Reajuste Atual'!$L$19:$M$25,2,FALSE)</f>
        <v>3.1053999999999999</v>
      </c>
      <c r="K764" s="190"/>
      <c r="L764" s="20">
        <v>187.93</v>
      </c>
      <c r="M764" s="765">
        <f t="shared" si="80"/>
        <v>134.23571428571429</v>
      </c>
      <c r="N764" s="765">
        <f t="shared" si="75"/>
        <v>136.67636363636365</v>
      </c>
      <c r="O764" s="765">
        <f t="shared" si="77"/>
        <v>136.67636363636365</v>
      </c>
    </row>
    <row r="765" spans="1:15" s="98" customFormat="1" outlineLevel="1">
      <c r="A765" s="141" t="s">
        <v>3483</v>
      </c>
      <c r="B765" s="114" t="s">
        <v>2967</v>
      </c>
      <c r="C765" s="100" t="s">
        <v>2900</v>
      </c>
      <c r="D765" s="183" t="s">
        <v>1468</v>
      </c>
      <c r="E765" s="491"/>
      <c r="F765" s="20">
        <f t="shared" si="78"/>
        <v>209.57818181818183</v>
      </c>
      <c r="G765" s="19">
        <f t="shared" si="83"/>
        <v>0</v>
      </c>
      <c r="H765" s="19">
        <f t="shared" si="84"/>
        <v>0</v>
      </c>
      <c r="I765" s="114" t="s">
        <v>1521</v>
      </c>
      <c r="J765" s="210">
        <f>VLOOKUP(I765,'Reajuste Atual'!$L$19:$M$25,2,FALSE)</f>
        <v>3.1053999999999999</v>
      </c>
      <c r="K765" s="190"/>
      <c r="L765" s="20">
        <v>288.17</v>
      </c>
      <c r="M765" s="765">
        <f t="shared" si="80"/>
        <v>205.83571428571432</v>
      </c>
      <c r="N765" s="765">
        <f t="shared" si="75"/>
        <v>209.57818181818183</v>
      </c>
      <c r="O765" s="765">
        <f t="shared" si="77"/>
        <v>209.57818181818183</v>
      </c>
    </row>
    <row r="766" spans="1:15" s="98" customFormat="1" outlineLevel="1">
      <c r="A766" s="141" t="s">
        <v>3483</v>
      </c>
      <c r="B766" s="114" t="s">
        <v>2968</v>
      </c>
      <c r="C766" s="100" t="s">
        <v>2723</v>
      </c>
      <c r="D766" s="183" t="s">
        <v>1468</v>
      </c>
      <c r="E766" s="491"/>
      <c r="F766" s="20">
        <f t="shared" si="78"/>
        <v>224.49454545454546</v>
      </c>
      <c r="G766" s="19">
        <f t="shared" si="83"/>
        <v>0</v>
      </c>
      <c r="H766" s="19">
        <f t="shared" si="84"/>
        <v>0</v>
      </c>
      <c r="I766" s="114" t="s">
        <v>1521</v>
      </c>
      <c r="J766" s="210">
        <f>VLOOKUP(I766,'Reajuste Atual'!$L$19:$M$25,2,FALSE)</f>
        <v>3.1053999999999999</v>
      </c>
      <c r="K766" s="190"/>
      <c r="L766" s="20">
        <v>308.68</v>
      </c>
      <c r="M766" s="765">
        <f t="shared" si="80"/>
        <v>220.48571428571429</v>
      </c>
      <c r="N766" s="765">
        <f t="shared" si="75"/>
        <v>224.49454545454546</v>
      </c>
      <c r="O766" s="765">
        <f t="shared" si="77"/>
        <v>224.49454545454546</v>
      </c>
    </row>
    <row r="767" spans="1:15" s="98" customFormat="1" outlineLevel="1">
      <c r="A767" s="141" t="s">
        <v>3483</v>
      </c>
      <c r="B767" s="114" t="s">
        <v>2969</v>
      </c>
      <c r="C767" s="792" t="s">
        <v>2771</v>
      </c>
      <c r="D767" s="183" t="s">
        <v>1468</v>
      </c>
      <c r="E767" s="491"/>
      <c r="F767" s="20">
        <f t="shared" si="78"/>
        <v>62.909090909090907</v>
      </c>
      <c r="G767" s="19">
        <f t="shared" si="83"/>
        <v>0</v>
      </c>
      <c r="H767" s="19">
        <f t="shared" si="84"/>
        <v>0</v>
      </c>
      <c r="I767" s="114" t="s">
        <v>1521</v>
      </c>
      <c r="J767" s="210">
        <f>VLOOKUP(I767,'Reajuste Atual'!$L$19:$M$25,2,FALSE)</f>
        <v>3.1053999999999999</v>
      </c>
      <c r="K767" s="190"/>
      <c r="L767" s="20">
        <v>86.5</v>
      </c>
      <c r="M767" s="765">
        <f t="shared" si="80"/>
        <v>61.785714285714292</v>
      </c>
      <c r="N767" s="765">
        <f t="shared" si="75"/>
        <v>62.909090909090907</v>
      </c>
      <c r="O767" s="765">
        <f t="shared" si="77"/>
        <v>62.909090909090907</v>
      </c>
    </row>
    <row r="768" spans="1:15" s="98" customFormat="1" outlineLevel="1">
      <c r="A768" s="141" t="s">
        <v>3483</v>
      </c>
      <c r="B768" s="114" t="s">
        <v>2970</v>
      </c>
      <c r="C768" s="792" t="s">
        <v>2728</v>
      </c>
      <c r="D768" s="99" t="s">
        <v>1468</v>
      </c>
      <c r="E768" s="491"/>
      <c r="F768" s="20">
        <f t="shared" si="78"/>
        <v>3.083636363636364</v>
      </c>
      <c r="G768" s="19">
        <f t="shared" si="83"/>
        <v>0</v>
      </c>
      <c r="H768" s="19">
        <f t="shared" si="84"/>
        <v>0</v>
      </c>
      <c r="I768" s="114" t="s">
        <v>1521</v>
      </c>
      <c r="J768" s="210">
        <f>VLOOKUP(I768,'Reajuste Atual'!$L$19:$M$25,2,FALSE)</f>
        <v>3.1053999999999999</v>
      </c>
      <c r="K768" s="190"/>
      <c r="L768" s="20">
        <v>4.24</v>
      </c>
      <c r="M768" s="765">
        <f t="shared" si="80"/>
        <v>3.0285714285714289</v>
      </c>
      <c r="N768" s="765">
        <f t="shared" si="75"/>
        <v>3.083636363636364</v>
      </c>
      <c r="O768" s="765">
        <f t="shared" si="77"/>
        <v>3.083636363636364</v>
      </c>
    </row>
    <row r="769" spans="1:15" s="98" customFormat="1" outlineLevel="1">
      <c r="A769" s="141" t="s">
        <v>3483</v>
      </c>
      <c r="B769" s="114" t="s">
        <v>2971</v>
      </c>
      <c r="C769" s="100" t="s">
        <v>2729</v>
      </c>
      <c r="D769" s="99" t="s">
        <v>1480</v>
      </c>
      <c r="E769" s="491"/>
      <c r="F769" s="20">
        <f t="shared" si="78"/>
        <v>2.6763636363636363</v>
      </c>
      <c r="G769" s="19">
        <f t="shared" si="83"/>
        <v>0</v>
      </c>
      <c r="H769" s="19">
        <f t="shared" si="84"/>
        <v>0</v>
      </c>
      <c r="I769" s="114" t="s">
        <v>1521</v>
      </c>
      <c r="J769" s="210">
        <f>VLOOKUP(I769,'Reajuste Atual'!$L$19:$M$25,2,FALSE)</f>
        <v>3.1053999999999999</v>
      </c>
      <c r="K769" s="190"/>
      <c r="L769" s="20">
        <v>3.68</v>
      </c>
      <c r="M769" s="765">
        <f t="shared" si="80"/>
        <v>2.628571428571429</v>
      </c>
      <c r="N769" s="765">
        <f t="shared" si="75"/>
        <v>2.6763636363636363</v>
      </c>
      <c r="O769" s="765">
        <f t="shared" si="77"/>
        <v>2.6763636363636363</v>
      </c>
    </row>
    <row r="770" spans="1:15" s="98" customFormat="1" ht="47.25" outlineLevel="1">
      <c r="A770" s="141" t="s">
        <v>3483</v>
      </c>
      <c r="B770" s="114" t="s">
        <v>2972</v>
      </c>
      <c r="C770" s="792" t="s">
        <v>2731</v>
      </c>
      <c r="D770" s="99" t="s">
        <v>1480</v>
      </c>
      <c r="E770" s="491"/>
      <c r="F770" s="20">
        <f t="shared" si="78"/>
        <v>2.56</v>
      </c>
      <c r="G770" s="19">
        <f t="shared" si="83"/>
        <v>0</v>
      </c>
      <c r="H770" s="19">
        <f t="shared" si="84"/>
        <v>0</v>
      </c>
      <c r="I770" s="114" t="s">
        <v>1521</v>
      </c>
      <c r="J770" s="210">
        <f>VLOOKUP(I770,'Reajuste Atual'!$L$19:$M$25,2,FALSE)</f>
        <v>3.1053999999999999</v>
      </c>
      <c r="K770" s="190"/>
      <c r="L770" s="20">
        <v>3.52</v>
      </c>
      <c r="M770" s="765">
        <f t="shared" si="80"/>
        <v>2.5142857142857147</v>
      </c>
      <c r="N770" s="765">
        <f t="shared" si="75"/>
        <v>2.56</v>
      </c>
      <c r="O770" s="765">
        <f t="shared" si="77"/>
        <v>2.56</v>
      </c>
    </row>
    <row r="771" spans="1:15" s="98" customFormat="1" ht="47.25" outlineLevel="1">
      <c r="A771" s="141" t="s">
        <v>3483</v>
      </c>
      <c r="B771" s="114" t="s">
        <v>2973</v>
      </c>
      <c r="C771" s="100" t="s">
        <v>2730</v>
      </c>
      <c r="D771" s="99" t="s">
        <v>1480</v>
      </c>
      <c r="E771" s="491"/>
      <c r="F771" s="20">
        <f t="shared" si="78"/>
        <v>2.0945454545454543</v>
      </c>
      <c r="G771" s="19">
        <f t="shared" si="83"/>
        <v>0</v>
      </c>
      <c r="H771" s="19">
        <f t="shared" si="84"/>
        <v>0</v>
      </c>
      <c r="I771" s="114" t="s">
        <v>1521</v>
      </c>
      <c r="J771" s="210">
        <f>VLOOKUP(I771,'Reajuste Atual'!$L$19:$M$25,2,FALSE)</f>
        <v>3.1053999999999999</v>
      </c>
      <c r="K771" s="190"/>
      <c r="L771" s="20">
        <v>2.88</v>
      </c>
      <c r="M771" s="765">
        <f t="shared" si="80"/>
        <v>2.0571428571428574</v>
      </c>
      <c r="N771" s="765">
        <f t="shared" si="75"/>
        <v>2.0945454545454543</v>
      </c>
      <c r="O771" s="765">
        <f t="shared" si="77"/>
        <v>2.0945454545454543</v>
      </c>
    </row>
    <row r="772" spans="1:15" s="98" customFormat="1" outlineLevel="1">
      <c r="A772" s="141" t="s">
        <v>3483</v>
      </c>
      <c r="B772" s="114" t="s">
        <v>2974</v>
      </c>
      <c r="C772" s="100" t="s">
        <v>2772</v>
      </c>
      <c r="D772" s="183" t="s">
        <v>1468</v>
      </c>
      <c r="E772" s="491"/>
      <c r="F772" s="20">
        <f t="shared" si="78"/>
        <v>0.63272727272727269</v>
      </c>
      <c r="G772" s="19">
        <f t="shared" si="83"/>
        <v>0</v>
      </c>
      <c r="H772" s="19">
        <f t="shared" si="84"/>
        <v>0</v>
      </c>
      <c r="I772" s="114" t="s">
        <v>1521</v>
      </c>
      <c r="J772" s="210">
        <f>VLOOKUP(I772,'Reajuste Atual'!$L$19:$M$25,2,FALSE)</f>
        <v>3.1053999999999999</v>
      </c>
      <c r="K772" s="190"/>
      <c r="L772" s="20">
        <v>0.87</v>
      </c>
      <c r="M772" s="765">
        <f t="shared" si="80"/>
        <v>0.62142857142857144</v>
      </c>
      <c r="N772" s="765">
        <f t="shared" si="75"/>
        <v>0.63272727272727269</v>
      </c>
      <c r="O772" s="765">
        <f t="shared" si="77"/>
        <v>0.63272727272727269</v>
      </c>
    </row>
    <row r="773" spans="1:15" s="98" customFormat="1" outlineLevel="1">
      <c r="A773" s="141" t="s">
        <v>3483</v>
      </c>
      <c r="B773" s="114" t="s">
        <v>2975</v>
      </c>
      <c r="C773" s="100" t="s">
        <v>2722</v>
      </c>
      <c r="D773" s="183" t="s">
        <v>1468</v>
      </c>
      <c r="E773" s="491"/>
      <c r="F773" s="20">
        <f t="shared" si="78"/>
        <v>11.643636363636364</v>
      </c>
      <c r="G773" s="19">
        <f t="shared" si="83"/>
        <v>0</v>
      </c>
      <c r="H773" s="19">
        <f t="shared" si="84"/>
        <v>0</v>
      </c>
      <c r="I773" s="114" t="s">
        <v>1521</v>
      </c>
      <c r="J773" s="210">
        <f>VLOOKUP(I773,'Reajuste Atual'!$L$19:$M$25,2,FALSE)</f>
        <v>3.1053999999999999</v>
      </c>
      <c r="K773" s="190"/>
      <c r="L773" s="20">
        <v>16.010000000000002</v>
      </c>
      <c r="M773" s="765">
        <f t="shared" si="80"/>
        <v>11.435714285714287</v>
      </c>
      <c r="N773" s="765">
        <f t="shared" si="75"/>
        <v>11.643636363636364</v>
      </c>
      <c r="O773" s="765">
        <f t="shared" si="77"/>
        <v>11.643636363636364</v>
      </c>
    </row>
    <row r="774" spans="1:15" s="98" customFormat="1" outlineLevel="1">
      <c r="A774" s="141" t="s">
        <v>3483</v>
      </c>
      <c r="B774" s="114" t="s">
        <v>2976</v>
      </c>
      <c r="C774" s="100" t="s">
        <v>2773</v>
      </c>
      <c r="D774" s="183" t="s">
        <v>1468</v>
      </c>
      <c r="E774" s="491"/>
      <c r="F774" s="20">
        <f t="shared" si="78"/>
        <v>2.7054545454545456</v>
      </c>
      <c r="G774" s="19">
        <f t="shared" si="83"/>
        <v>0</v>
      </c>
      <c r="H774" s="19">
        <f t="shared" si="84"/>
        <v>0</v>
      </c>
      <c r="I774" s="114" t="s">
        <v>1521</v>
      </c>
      <c r="J774" s="210">
        <f>VLOOKUP(I774,'Reajuste Atual'!$L$19:$M$25,2,FALSE)</f>
        <v>3.1053999999999999</v>
      </c>
      <c r="K774" s="190"/>
      <c r="L774" s="20">
        <v>3.72</v>
      </c>
      <c r="M774" s="765">
        <f t="shared" si="80"/>
        <v>2.6571428571428575</v>
      </c>
      <c r="N774" s="765">
        <f t="shared" si="75"/>
        <v>2.7054545454545456</v>
      </c>
      <c r="O774" s="765">
        <f t="shared" si="77"/>
        <v>2.7054545454545456</v>
      </c>
    </row>
    <row r="775" spans="1:15" s="98" customFormat="1" outlineLevel="1">
      <c r="A775" s="141" t="s">
        <v>3483</v>
      </c>
      <c r="B775" s="114" t="s">
        <v>2977</v>
      </c>
      <c r="C775" s="100" t="s">
        <v>2912</v>
      </c>
      <c r="D775" s="183" t="s">
        <v>1468</v>
      </c>
      <c r="E775" s="491"/>
      <c r="F775" s="20">
        <f t="shared" si="78"/>
        <v>12146.184374852366</v>
      </c>
      <c r="G775" s="19">
        <f t="shared" si="83"/>
        <v>0</v>
      </c>
      <c r="H775" s="19">
        <f t="shared" si="84"/>
        <v>0</v>
      </c>
      <c r="I775" s="114" t="s">
        <v>1521</v>
      </c>
      <c r="J775" s="210">
        <f>VLOOKUP(I775,'Reajuste Atual'!$L$19:$M$25,2,FALSE)</f>
        <v>3.1053999999999999</v>
      </c>
      <c r="K775" s="190"/>
      <c r="L775" s="20">
        <v>16701.003515422002</v>
      </c>
      <c r="M775" s="765">
        <f t="shared" si="80"/>
        <v>11929.28822530143</v>
      </c>
      <c r="N775" s="765">
        <f t="shared" si="75"/>
        <v>12146.184374852366</v>
      </c>
      <c r="O775" s="765">
        <f t="shared" si="77"/>
        <v>12146.184374852366</v>
      </c>
    </row>
    <row r="776" spans="1:15" s="98" customFormat="1" ht="63" outlineLevel="1">
      <c r="A776" s="141" t="s">
        <v>3483</v>
      </c>
      <c r="B776" s="114" t="s">
        <v>2978</v>
      </c>
      <c r="C776" s="100" t="s">
        <v>2914</v>
      </c>
      <c r="D776" s="183" t="s">
        <v>1468</v>
      </c>
      <c r="E776" s="491"/>
      <c r="F776" s="20">
        <f t="shared" si="78"/>
        <v>303910.15999999997</v>
      </c>
      <c r="G776" s="19">
        <f t="shared" si="83"/>
        <v>0</v>
      </c>
      <c r="H776" s="19">
        <f t="shared" si="84"/>
        <v>0</v>
      </c>
      <c r="I776" s="114" t="s">
        <v>1521</v>
      </c>
      <c r="J776" s="210">
        <f>VLOOKUP(I776,'Reajuste Atual'!$L$19:$M$25,2,FALSE)</f>
        <v>3.1053999999999999</v>
      </c>
      <c r="K776" s="191"/>
      <c r="L776" s="20">
        <v>417876.47</v>
      </c>
      <c r="M776" s="765">
        <f t="shared" si="80"/>
        <v>298483.19285714283</v>
      </c>
      <c r="N776" s="765">
        <f t="shared" si="75"/>
        <v>303910.15999999997</v>
      </c>
      <c r="O776" s="765">
        <f t="shared" si="77"/>
        <v>303910.15999999997</v>
      </c>
    </row>
    <row r="777" spans="1:15" s="98" customFormat="1" outlineLevel="1">
      <c r="A777" s="141" t="s">
        <v>3483</v>
      </c>
      <c r="B777" s="115" t="s">
        <v>2979</v>
      </c>
      <c r="C777" s="102" t="s">
        <v>2916</v>
      </c>
      <c r="D777" s="85"/>
      <c r="E777" s="62"/>
      <c r="F777" s="62"/>
      <c r="G777" s="64">
        <f>SUM(G778:G782)</f>
        <v>299490.90909090906</v>
      </c>
      <c r="H777" s="64">
        <f>SUM(H778:H782)</f>
        <v>1229529.978181818</v>
      </c>
      <c r="I777" s="111"/>
      <c r="J777" s="86"/>
      <c r="K777" s="190"/>
      <c r="L777" s="20"/>
      <c r="M777" s="765"/>
      <c r="N777" s="765">
        <f t="shared" si="75"/>
        <v>0</v>
      </c>
      <c r="O777" s="765">
        <f t="shared" si="77"/>
        <v>0</v>
      </c>
    </row>
    <row r="778" spans="1:15" s="98" customFormat="1" ht="31.5" outlineLevel="1">
      <c r="A778" s="141" t="s">
        <v>3483</v>
      </c>
      <c r="B778" s="114" t="s">
        <v>2980</v>
      </c>
      <c r="C778" s="100" t="s">
        <v>2918</v>
      </c>
      <c r="D778" s="99" t="s">
        <v>1476</v>
      </c>
      <c r="E778" s="20">
        <v>12</v>
      </c>
      <c r="F778" s="20">
        <f t="shared" si="78"/>
        <v>86.538181818181812</v>
      </c>
      <c r="G778" s="19">
        <f>E778*F778</f>
        <v>1038.4581818181819</v>
      </c>
      <c r="H778" s="19">
        <f t="shared" ref="H778:H782" si="85">G778*(1+J778)</f>
        <v>4263.2862196363631</v>
      </c>
      <c r="I778" s="114" t="s">
        <v>1521</v>
      </c>
      <c r="J778" s="210">
        <f>VLOOKUP(I778,'Reajuste Atual'!$L$19:$M$25,2,FALSE)</f>
        <v>3.1053999999999999</v>
      </c>
      <c r="K778" s="190"/>
      <c r="L778" s="20">
        <v>118.99</v>
      </c>
      <c r="M778" s="765">
        <f t="shared" si="80"/>
        <v>84.992857142857147</v>
      </c>
      <c r="N778" s="765">
        <f t="shared" si="75"/>
        <v>86.538181818181812</v>
      </c>
      <c r="O778" s="765">
        <f t="shared" si="77"/>
        <v>86.538181818181812</v>
      </c>
    </row>
    <row r="779" spans="1:15" s="98" customFormat="1" ht="31.5" outlineLevel="1">
      <c r="A779" s="141" t="s">
        <v>3483</v>
      </c>
      <c r="B779" s="114" t="s">
        <v>2981</v>
      </c>
      <c r="C779" s="100" t="s">
        <v>1610</v>
      </c>
      <c r="D779" s="181" t="s">
        <v>1468</v>
      </c>
      <c r="E779" s="20">
        <v>32</v>
      </c>
      <c r="F779" s="20">
        <f t="shared" si="78"/>
        <v>58.152727272727269</v>
      </c>
      <c r="G779" s="19">
        <f>E779*F779</f>
        <v>1860.8872727272726</v>
      </c>
      <c r="H779" s="19">
        <f t="shared" si="85"/>
        <v>7639.6866094545439</v>
      </c>
      <c r="I779" s="114" t="s">
        <v>1521</v>
      </c>
      <c r="J779" s="210">
        <f>VLOOKUP(I779,'Reajuste Atual'!$L$19:$M$25,2,FALSE)</f>
        <v>3.1053999999999999</v>
      </c>
      <c r="K779" s="190"/>
      <c r="L779" s="20">
        <v>79.959999999999994</v>
      </c>
      <c r="M779" s="765">
        <f t="shared" si="80"/>
        <v>57.114285714285714</v>
      </c>
      <c r="N779" s="765">
        <f t="shared" si="75"/>
        <v>58.152727272727269</v>
      </c>
      <c r="O779" s="765">
        <f t="shared" si="77"/>
        <v>58.152727272727269</v>
      </c>
    </row>
    <row r="780" spans="1:15" s="98" customFormat="1" outlineLevel="1">
      <c r="A780" s="141" t="s">
        <v>3483</v>
      </c>
      <c r="B780" s="114" t="s">
        <v>2982</v>
      </c>
      <c r="C780" s="100" t="s">
        <v>2720</v>
      </c>
      <c r="D780" s="99" t="s">
        <v>1472</v>
      </c>
      <c r="E780" s="20">
        <v>280</v>
      </c>
      <c r="F780" s="20">
        <f t="shared" si="78"/>
        <v>8.7127272727272729</v>
      </c>
      <c r="G780" s="19">
        <f>E780*F780</f>
        <v>2439.5636363636363</v>
      </c>
      <c r="H780" s="19">
        <f t="shared" si="85"/>
        <v>10015.384552727272</v>
      </c>
      <c r="I780" s="114" t="s">
        <v>1521</v>
      </c>
      <c r="J780" s="210">
        <f>VLOOKUP(I780,'Reajuste Atual'!$L$19:$M$25,2,FALSE)</f>
        <v>3.1053999999999999</v>
      </c>
      <c r="K780" s="190"/>
      <c r="L780" s="20">
        <v>11.98</v>
      </c>
      <c r="M780" s="765">
        <f t="shared" si="80"/>
        <v>8.5571428571428587</v>
      </c>
      <c r="N780" s="765">
        <f t="shared" si="75"/>
        <v>8.7127272727272729</v>
      </c>
      <c r="O780" s="765">
        <f t="shared" si="77"/>
        <v>8.7127272727272729</v>
      </c>
    </row>
    <row r="781" spans="1:15" s="98" customFormat="1" outlineLevel="1">
      <c r="A781" s="141" t="s">
        <v>3483</v>
      </c>
      <c r="B781" s="114" t="s">
        <v>2983</v>
      </c>
      <c r="C781" s="100" t="s">
        <v>2922</v>
      </c>
      <c r="D781" s="99" t="s">
        <v>1472</v>
      </c>
      <c r="E781" s="20">
        <v>3500</v>
      </c>
      <c r="F781" s="20">
        <f t="shared" si="78"/>
        <v>72.196363636363628</v>
      </c>
      <c r="G781" s="19">
        <f>E781*F781</f>
        <v>252687.27272727271</v>
      </c>
      <c r="H781" s="19">
        <f t="shared" si="85"/>
        <v>1037382.3294545453</v>
      </c>
      <c r="I781" s="114" t="s">
        <v>1521</v>
      </c>
      <c r="J781" s="210">
        <f>VLOOKUP(I781,'Reajuste Atual'!$L$19:$M$25,2,FALSE)</f>
        <v>3.1053999999999999</v>
      </c>
      <c r="K781" s="190"/>
      <c r="L781" s="20">
        <v>99.27</v>
      </c>
      <c r="M781" s="765">
        <f t="shared" si="80"/>
        <v>70.907142857142858</v>
      </c>
      <c r="N781" s="765">
        <f t="shared" si="75"/>
        <v>72.196363636363628</v>
      </c>
      <c r="O781" s="765">
        <f t="shared" si="77"/>
        <v>72.196363636363628</v>
      </c>
    </row>
    <row r="782" spans="1:15" s="98" customFormat="1" outlineLevel="1">
      <c r="A782" s="141" t="s">
        <v>3483</v>
      </c>
      <c r="B782" s="114" t="s">
        <v>2984</v>
      </c>
      <c r="C782" s="100" t="s">
        <v>2924</v>
      </c>
      <c r="D782" s="99" t="s">
        <v>1472</v>
      </c>
      <c r="E782" s="20">
        <v>1160</v>
      </c>
      <c r="F782" s="20">
        <f t="shared" si="78"/>
        <v>35.745454545454542</v>
      </c>
      <c r="G782" s="19">
        <f>E782*F782</f>
        <v>41464.727272727272</v>
      </c>
      <c r="H782" s="19">
        <f t="shared" si="85"/>
        <v>170229.29134545452</v>
      </c>
      <c r="I782" s="114" t="s">
        <v>1521</v>
      </c>
      <c r="J782" s="210">
        <f>VLOOKUP(I782,'Reajuste Atual'!$L$19:$M$25,2,FALSE)</f>
        <v>3.1053999999999999</v>
      </c>
      <c r="K782" s="191"/>
      <c r="L782" s="20">
        <v>49.15</v>
      </c>
      <c r="M782" s="765">
        <f t="shared" si="80"/>
        <v>35.107142857142861</v>
      </c>
      <c r="N782" s="765">
        <f t="shared" si="75"/>
        <v>35.745454545454542</v>
      </c>
      <c r="O782" s="765">
        <f t="shared" si="77"/>
        <v>35.745454545454542</v>
      </c>
    </row>
    <row r="783" spans="1:15" s="98" customFormat="1" outlineLevel="1">
      <c r="A783" s="141" t="s">
        <v>3483</v>
      </c>
      <c r="B783" s="115" t="s">
        <v>2985</v>
      </c>
      <c r="C783" s="102" t="s">
        <v>2926</v>
      </c>
      <c r="D783" s="85"/>
      <c r="E783" s="62"/>
      <c r="F783" s="62"/>
      <c r="G783" s="64">
        <f>SUM(G784:G788)</f>
        <v>27717.178181818184</v>
      </c>
      <c r="H783" s="64">
        <f>SUM(H784:H788)</f>
        <v>48741.662155636368</v>
      </c>
      <c r="I783" s="111"/>
      <c r="J783" s="86"/>
      <c r="K783" s="190"/>
      <c r="L783" s="20"/>
      <c r="M783" s="765"/>
      <c r="N783" s="765">
        <f t="shared" si="75"/>
        <v>0</v>
      </c>
      <c r="O783" s="765">
        <f t="shared" si="77"/>
        <v>0</v>
      </c>
    </row>
    <row r="784" spans="1:15" s="98" customFormat="1" outlineLevel="1">
      <c r="A784" s="141" t="s">
        <v>3483</v>
      </c>
      <c r="B784" s="114" t="s">
        <v>2986</v>
      </c>
      <c r="C784" s="100" t="s">
        <v>1604</v>
      </c>
      <c r="D784" s="99" t="s">
        <v>1468</v>
      </c>
      <c r="E784" s="20">
        <v>56</v>
      </c>
      <c r="F784" s="20">
        <f t="shared" si="78"/>
        <v>44.014545454545456</v>
      </c>
      <c r="G784" s="19">
        <f>E784*F784</f>
        <v>2464.8145454545456</v>
      </c>
      <c r="H784" s="19">
        <f t="shared" ref="H784:H792" si="86">G784*(1+J784)</f>
        <v>10119.04963490909</v>
      </c>
      <c r="I784" s="114" t="s">
        <v>1521</v>
      </c>
      <c r="J784" s="210">
        <f>VLOOKUP(I784,'Reajuste Atual'!$L$19:$M$25,2,FALSE)</f>
        <v>3.1053999999999999</v>
      </c>
      <c r="K784" s="190"/>
      <c r="L784" s="20">
        <v>60.52</v>
      </c>
      <c r="M784" s="765">
        <f t="shared" si="80"/>
        <v>43.228571428571435</v>
      </c>
      <c r="N784" s="765">
        <f t="shared" si="75"/>
        <v>44.014545454545456</v>
      </c>
      <c r="O784" s="765">
        <f t="shared" si="77"/>
        <v>44.014545454545456</v>
      </c>
    </row>
    <row r="785" spans="1:15" s="98" customFormat="1" outlineLevel="1">
      <c r="A785" s="141" t="s">
        <v>3483</v>
      </c>
      <c r="B785" s="114" t="s">
        <v>2987</v>
      </c>
      <c r="C785" s="100" t="s">
        <v>1605</v>
      </c>
      <c r="D785" s="181" t="s">
        <v>1468</v>
      </c>
      <c r="E785" s="20">
        <v>52</v>
      </c>
      <c r="F785" s="20">
        <f t="shared" si="78"/>
        <v>0.86545454545454537</v>
      </c>
      <c r="G785" s="19">
        <f>E785*F785</f>
        <v>45.00363636363636</v>
      </c>
      <c r="H785" s="19">
        <f t="shared" si="86"/>
        <v>184.75792872727268</v>
      </c>
      <c r="I785" s="114" t="s">
        <v>1521</v>
      </c>
      <c r="J785" s="210">
        <f>VLOOKUP(I785,'Reajuste Atual'!$L$19:$M$25,2,FALSE)</f>
        <v>3.1053999999999999</v>
      </c>
      <c r="K785" s="190"/>
      <c r="L785" s="20">
        <v>1.19</v>
      </c>
      <c r="M785" s="765">
        <f t="shared" si="80"/>
        <v>0.85</v>
      </c>
      <c r="N785" s="765">
        <f t="shared" si="75"/>
        <v>0.86545454545454537</v>
      </c>
      <c r="O785" s="765">
        <f t="shared" si="77"/>
        <v>0.86545454545454537</v>
      </c>
    </row>
    <row r="786" spans="1:15" s="98" customFormat="1" outlineLevel="1">
      <c r="A786" s="141" t="s">
        <v>3483</v>
      </c>
      <c r="B786" s="114" t="s">
        <v>2988</v>
      </c>
      <c r="C786" s="100" t="s">
        <v>2721</v>
      </c>
      <c r="D786" s="181" t="s">
        <v>1468</v>
      </c>
      <c r="E786" s="20">
        <v>24</v>
      </c>
      <c r="F786" s="20">
        <f t="shared" si="78"/>
        <v>8.036363636363637</v>
      </c>
      <c r="G786" s="19">
        <f>E786*F786</f>
        <v>192.87272727272727</v>
      </c>
      <c r="H786" s="19">
        <f t="shared" si="86"/>
        <v>791.81969454545447</v>
      </c>
      <c r="I786" s="114" t="s">
        <v>1521</v>
      </c>
      <c r="J786" s="210">
        <f>VLOOKUP(I786,'Reajuste Atual'!$L$19:$M$25,2,FALSE)</f>
        <v>3.1053999999999999</v>
      </c>
      <c r="K786" s="190"/>
      <c r="L786" s="20">
        <v>11.05</v>
      </c>
      <c r="M786" s="765">
        <f t="shared" si="80"/>
        <v>7.8928571428571441</v>
      </c>
      <c r="N786" s="765">
        <f t="shared" si="75"/>
        <v>8.036363636363637</v>
      </c>
      <c r="O786" s="765">
        <f t="shared" si="77"/>
        <v>8.036363636363637</v>
      </c>
    </row>
    <row r="787" spans="1:15" s="98" customFormat="1" ht="47.25" outlineLevel="1">
      <c r="A787" s="141" t="s">
        <v>3483</v>
      </c>
      <c r="B787" s="114" t="s">
        <v>2989</v>
      </c>
      <c r="C787" s="100" t="s">
        <v>1592</v>
      </c>
      <c r="D787" s="181" t="s">
        <v>1468</v>
      </c>
      <c r="E787" s="20">
        <v>72</v>
      </c>
      <c r="F787" s="20">
        <f t="shared" si="78"/>
        <v>56.49454545454546</v>
      </c>
      <c r="G787" s="19">
        <f>E787*F787</f>
        <v>4067.6072727272731</v>
      </c>
      <c r="H787" s="19">
        <f t="shared" si="86"/>
        <v>16699.154897454544</v>
      </c>
      <c r="I787" s="114" t="s">
        <v>1521</v>
      </c>
      <c r="J787" s="210">
        <f>VLOOKUP(I787,'Reajuste Atual'!$L$19:$M$25,2,FALSE)</f>
        <v>3.1053999999999999</v>
      </c>
      <c r="K787" s="190"/>
      <c r="L787" s="20">
        <v>77.680000000000007</v>
      </c>
      <c r="M787" s="765">
        <f t="shared" si="80"/>
        <v>55.485714285714295</v>
      </c>
      <c r="N787" s="765">
        <f t="shared" si="75"/>
        <v>56.49454545454546</v>
      </c>
      <c r="O787" s="765">
        <f t="shared" si="77"/>
        <v>56.49454545454546</v>
      </c>
    </row>
    <row r="788" spans="1:15" s="98" customFormat="1" ht="47.25" outlineLevel="1">
      <c r="A788" s="141" t="s">
        <v>3483</v>
      </c>
      <c r="B788" s="114" t="s">
        <v>2990</v>
      </c>
      <c r="C788" s="100" t="s">
        <v>1611</v>
      </c>
      <c r="D788" s="181" t="s">
        <v>1468</v>
      </c>
      <c r="E788" s="20"/>
      <c r="F788" s="20"/>
      <c r="G788" s="19">
        <f>SUM(G789:G792)</f>
        <v>20946.88</v>
      </c>
      <c r="H788" s="19">
        <f t="shared" si="86"/>
        <v>20946.88</v>
      </c>
      <c r="I788" s="114"/>
      <c r="J788" s="210"/>
      <c r="K788" s="190"/>
      <c r="L788" s="20"/>
      <c r="M788" s="765"/>
      <c r="N788" s="765">
        <f t="shared" si="75"/>
        <v>0</v>
      </c>
      <c r="O788" s="765">
        <f t="shared" si="77"/>
        <v>0</v>
      </c>
    </row>
    <row r="789" spans="1:15" s="98" customFormat="1" outlineLevel="1">
      <c r="A789" s="141" t="s">
        <v>3483</v>
      </c>
      <c r="B789" s="114" t="s">
        <v>2991</v>
      </c>
      <c r="C789" s="100" t="s">
        <v>1404</v>
      </c>
      <c r="D789" s="181" t="s">
        <v>1468</v>
      </c>
      <c r="E789" s="20">
        <v>96</v>
      </c>
      <c r="F789" s="20">
        <f t="shared" si="78"/>
        <v>8.2981818181818188</v>
      </c>
      <c r="G789" s="19">
        <f>E789*F789</f>
        <v>796.62545454545466</v>
      </c>
      <c r="H789" s="19">
        <f t="shared" si="86"/>
        <v>3270.4661410909093</v>
      </c>
      <c r="I789" s="114" t="s">
        <v>1521</v>
      </c>
      <c r="J789" s="210">
        <f>VLOOKUP(I789,'Reajuste Atual'!$L$19:$M$25,2,FALSE)</f>
        <v>3.1053999999999999</v>
      </c>
      <c r="K789" s="190"/>
      <c r="L789" s="20">
        <v>11.41</v>
      </c>
      <c r="M789" s="765">
        <f t="shared" si="80"/>
        <v>8.15</v>
      </c>
      <c r="N789" s="765">
        <f t="shared" si="75"/>
        <v>8.2981818181818188</v>
      </c>
      <c r="O789" s="765">
        <f t="shared" si="77"/>
        <v>8.2981818181818188</v>
      </c>
    </row>
    <row r="790" spans="1:15" s="98" customFormat="1" outlineLevel="1">
      <c r="A790" s="141" t="s">
        <v>3483</v>
      </c>
      <c r="B790" s="114" t="s">
        <v>2992</v>
      </c>
      <c r="C790" s="100" t="s">
        <v>1591</v>
      </c>
      <c r="D790" s="181" t="s">
        <v>1468</v>
      </c>
      <c r="E790" s="20">
        <v>40</v>
      </c>
      <c r="F790" s="20">
        <f t="shared" si="78"/>
        <v>8.2981818181818188</v>
      </c>
      <c r="G790" s="19">
        <f>E790*F790</f>
        <v>331.92727272727274</v>
      </c>
      <c r="H790" s="19">
        <f t="shared" si="86"/>
        <v>1362.6942254545454</v>
      </c>
      <c r="I790" s="114" t="s">
        <v>1521</v>
      </c>
      <c r="J790" s="210">
        <f>VLOOKUP(I790,'Reajuste Atual'!$L$19:$M$25,2,FALSE)</f>
        <v>3.1053999999999999</v>
      </c>
      <c r="K790" s="190"/>
      <c r="L790" s="20">
        <v>11.41</v>
      </c>
      <c r="M790" s="765">
        <f t="shared" si="80"/>
        <v>8.15</v>
      </c>
      <c r="N790" s="765">
        <f t="shared" si="75"/>
        <v>8.2981818181818188</v>
      </c>
      <c r="O790" s="765">
        <f t="shared" si="77"/>
        <v>8.2981818181818188</v>
      </c>
    </row>
    <row r="791" spans="1:15" s="98" customFormat="1" outlineLevel="1">
      <c r="A791" s="141" t="s">
        <v>3483</v>
      </c>
      <c r="B791" s="114" t="s">
        <v>2993</v>
      </c>
      <c r="C791" s="100" t="s">
        <v>1405</v>
      </c>
      <c r="D791" s="181" t="s">
        <v>1468</v>
      </c>
      <c r="E791" s="20">
        <v>20</v>
      </c>
      <c r="F791" s="20">
        <f t="shared" si="78"/>
        <v>8.2981818181818188</v>
      </c>
      <c r="G791" s="19">
        <f>E791*F791</f>
        <v>165.96363636363637</v>
      </c>
      <c r="H791" s="19">
        <f t="shared" si="86"/>
        <v>681.3471127272727</v>
      </c>
      <c r="I791" s="114" t="s">
        <v>1521</v>
      </c>
      <c r="J791" s="210">
        <f>VLOOKUP(I791,'Reajuste Atual'!$L$19:$M$25,2,FALSE)</f>
        <v>3.1053999999999999</v>
      </c>
      <c r="K791" s="190"/>
      <c r="L791" s="20">
        <v>11.41</v>
      </c>
      <c r="M791" s="765">
        <f t="shared" si="80"/>
        <v>8.15</v>
      </c>
      <c r="N791" s="765">
        <f t="shared" si="75"/>
        <v>8.2981818181818188</v>
      </c>
      <c r="O791" s="765">
        <f t="shared" si="77"/>
        <v>8.2981818181818188</v>
      </c>
    </row>
    <row r="792" spans="1:15" s="98" customFormat="1" outlineLevel="1">
      <c r="A792" s="141" t="s">
        <v>3483</v>
      </c>
      <c r="B792" s="114" t="s">
        <v>2994</v>
      </c>
      <c r="C792" s="100" t="s">
        <v>1616</v>
      </c>
      <c r="D792" s="181" t="s">
        <v>1468</v>
      </c>
      <c r="E792" s="20">
        <v>8</v>
      </c>
      <c r="F792" s="20">
        <f t="shared" si="78"/>
        <v>2456.5454545454545</v>
      </c>
      <c r="G792" s="19">
        <f>E792*F792</f>
        <v>19652.363636363636</v>
      </c>
      <c r="H792" s="19">
        <f t="shared" si="86"/>
        <v>80680.813672727265</v>
      </c>
      <c r="I792" s="114" t="s">
        <v>1521</v>
      </c>
      <c r="J792" s="210">
        <f>VLOOKUP(I792,'Reajuste Atual'!$L$19:$M$25,2,FALSE)</f>
        <v>3.1053999999999999</v>
      </c>
      <c r="K792" s="191"/>
      <c r="L792" s="20">
        <v>3377.75</v>
      </c>
      <c r="M792" s="765">
        <f t="shared" si="80"/>
        <v>2412.6785714285716</v>
      </c>
      <c r="N792" s="765">
        <f t="shared" si="75"/>
        <v>2456.5454545454545</v>
      </c>
      <c r="O792" s="765">
        <f t="shared" si="77"/>
        <v>2456.5454545454545</v>
      </c>
    </row>
    <row r="793" spans="1:15" s="98" customFormat="1" outlineLevel="1">
      <c r="B793" s="115" t="s">
        <v>2995</v>
      </c>
      <c r="C793" s="102" t="s">
        <v>2996</v>
      </c>
      <c r="D793" s="85"/>
      <c r="E793" s="62"/>
      <c r="F793" s="62"/>
      <c r="G793" s="64">
        <f>SUM(G794:G812)</f>
        <v>47589.903245667068</v>
      </c>
      <c r="H793" s="64">
        <f>SUM(H794:H812)</f>
        <v>195375.58878476155</v>
      </c>
      <c r="I793" s="111"/>
      <c r="J793" s="86"/>
      <c r="K793" s="190"/>
      <c r="L793" s="20"/>
      <c r="M793" s="765"/>
      <c r="N793" s="765">
        <f t="shared" si="75"/>
        <v>0</v>
      </c>
      <c r="O793" s="765">
        <f t="shared" si="77"/>
        <v>0</v>
      </c>
    </row>
    <row r="794" spans="1:15" s="98" customFormat="1" outlineLevel="1">
      <c r="A794" s="141" t="s">
        <v>3478</v>
      </c>
      <c r="B794" s="114" t="s">
        <v>2997</v>
      </c>
      <c r="C794" s="100" t="s">
        <v>2732</v>
      </c>
      <c r="D794" s="99" t="s">
        <v>1468</v>
      </c>
      <c r="E794" s="20">
        <v>4</v>
      </c>
      <c r="F794" s="20">
        <f t="shared" si="78"/>
        <v>2580.1142857142859</v>
      </c>
      <c r="G794" s="19">
        <f t="shared" ref="G794:G812" si="87">E794*F794</f>
        <v>10320.457142857143</v>
      </c>
      <c r="H794" s="19">
        <f t="shared" ref="H794:H812" si="88">G794*(1+J794)</f>
        <v>42369.604754285712</v>
      </c>
      <c r="I794" s="114" t="s">
        <v>1521</v>
      </c>
      <c r="J794" s="210">
        <f>VLOOKUP(I794,'Reajuste Atual'!$L$19:$M$25,2,FALSE)</f>
        <v>3.1053999999999999</v>
      </c>
      <c r="K794" s="190"/>
      <c r="L794" s="20">
        <v>3612.16</v>
      </c>
      <c r="M794" s="765">
        <f t="shared" si="80"/>
        <v>2580.1142857142859</v>
      </c>
      <c r="N794" s="765">
        <f t="shared" ref="N794:N832" si="89">L794/($N$23+1)</f>
        <v>2627.0254545454545</v>
      </c>
      <c r="O794" s="765">
        <f t="shared" si="77"/>
        <v>2580.1142857142859</v>
      </c>
    </row>
    <row r="795" spans="1:15" s="98" customFormat="1" outlineLevel="1">
      <c r="A795" s="141" t="s">
        <v>3478</v>
      </c>
      <c r="B795" s="114" t="s">
        <v>2998</v>
      </c>
      <c r="C795" s="100" t="s">
        <v>2733</v>
      </c>
      <c r="D795" s="99" t="s">
        <v>1468</v>
      </c>
      <c r="E795" s="20">
        <v>4</v>
      </c>
      <c r="F795" s="20">
        <f t="shared" si="78"/>
        <v>472.94285714285718</v>
      </c>
      <c r="G795" s="19">
        <f t="shared" si="87"/>
        <v>1891.7714285714287</v>
      </c>
      <c r="H795" s="19">
        <f t="shared" si="88"/>
        <v>7766.4784228571425</v>
      </c>
      <c r="I795" s="114" t="s">
        <v>1521</v>
      </c>
      <c r="J795" s="210">
        <f>VLOOKUP(I795,'Reajuste Atual'!$L$19:$M$25,2,FALSE)</f>
        <v>3.1053999999999999</v>
      </c>
      <c r="K795" s="190"/>
      <c r="L795" s="20">
        <v>662.12</v>
      </c>
      <c r="M795" s="765">
        <f t="shared" si="80"/>
        <v>472.94285714285718</v>
      </c>
      <c r="N795" s="765">
        <f t="shared" si="89"/>
        <v>481.5418181818182</v>
      </c>
      <c r="O795" s="765">
        <f t="shared" si="77"/>
        <v>472.94285714285718</v>
      </c>
    </row>
    <row r="796" spans="1:15" s="98" customFormat="1" outlineLevel="1">
      <c r="A796" s="141" t="s">
        <v>3478</v>
      </c>
      <c r="B796" s="114" t="s">
        <v>2999</v>
      </c>
      <c r="C796" s="100" t="s">
        <v>2734</v>
      </c>
      <c r="D796" s="99" t="s">
        <v>1468</v>
      </c>
      <c r="E796" s="20">
        <v>4</v>
      </c>
      <c r="F796" s="20">
        <f t="shared" si="78"/>
        <v>2474.1285714285718</v>
      </c>
      <c r="G796" s="19">
        <f t="shared" si="87"/>
        <v>9896.5142857142873</v>
      </c>
      <c r="H796" s="19">
        <f t="shared" si="88"/>
        <v>40629.149748571428</v>
      </c>
      <c r="I796" s="114" t="s">
        <v>1521</v>
      </c>
      <c r="J796" s="210">
        <f>VLOOKUP(I796,'Reajuste Atual'!$L$19:$M$25,2,FALSE)</f>
        <v>3.1053999999999999</v>
      </c>
      <c r="K796" s="190"/>
      <c r="L796" s="20">
        <v>3463.78</v>
      </c>
      <c r="M796" s="765">
        <f t="shared" si="80"/>
        <v>2474.1285714285718</v>
      </c>
      <c r="N796" s="765">
        <f t="shared" si="89"/>
        <v>2519.1127272727276</v>
      </c>
      <c r="O796" s="765">
        <f t="shared" ref="O796:O832" si="90">IF(A796="S",M796,N796)</f>
        <v>2474.1285714285718</v>
      </c>
    </row>
    <row r="797" spans="1:15" s="98" customFormat="1" ht="31.5" outlineLevel="1">
      <c r="A797" s="141" t="s">
        <v>3478</v>
      </c>
      <c r="B797" s="114" t="s">
        <v>3000</v>
      </c>
      <c r="C797" s="100" t="s">
        <v>3001</v>
      </c>
      <c r="D797" s="99" t="s">
        <v>1468</v>
      </c>
      <c r="E797" s="20">
        <v>20</v>
      </c>
      <c r="F797" s="20">
        <f t="shared" si="78"/>
        <v>295.58571428571429</v>
      </c>
      <c r="G797" s="19">
        <f t="shared" si="87"/>
        <v>5911.7142857142862</v>
      </c>
      <c r="H797" s="19">
        <f t="shared" si="88"/>
        <v>24269.951828571429</v>
      </c>
      <c r="I797" s="114" t="s">
        <v>1521</v>
      </c>
      <c r="J797" s="210">
        <f>VLOOKUP(I797,'Reajuste Atual'!$L$19:$M$25,2,FALSE)</f>
        <v>3.1053999999999999</v>
      </c>
      <c r="K797" s="190"/>
      <c r="L797" s="20">
        <v>413.82</v>
      </c>
      <c r="M797" s="765">
        <f t="shared" si="80"/>
        <v>295.58571428571429</v>
      </c>
      <c r="N797" s="765">
        <f t="shared" si="89"/>
        <v>300.95999999999998</v>
      </c>
      <c r="O797" s="765">
        <f t="shared" si="90"/>
        <v>295.58571428571429</v>
      </c>
    </row>
    <row r="798" spans="1:15" s="98" customFormat="1" outlineLevel="1">
      <c r="A798" s="141" t="s">
        <v>3478</v>
      </c>
      <c r="B798" s="114" t="s">
        <v>3002</v>
      </c>
      <c r="C798" s="100" t="s">
        <v>3003</v>
      </c>
      <c r="D798" s="99" t="s">
        <v>1468</v>
      </c>
      <c r="E798" s="20">
        <v>48</v>
      </c>
      <c r="F798" s="20">
        <f t="shared" si="78"/>
        <v>177.35</v>
      </c>
      <c r="G798" s="19">
        <f t="shared" si="87"/>
        <v>8512.7999999999993</v>
      </c>
      <c r="H798" s="19">
        <f t="shared" si="88"/>
        <v>34948.44911999999</v>
      </c>
      <c r="I798" s="114" t="s">
        <v>1521</v>
      </c>
      <c r="J798" s="210">
        <f>VLOOKUP(I798,'Reajuste Atual'!$L$19:$M$25,2,FALSE)</f>
        <v>3.1053999999999999</v>
      </c>
      <c r="K798" s="190"/>
      <c r="L798" s="20">
        <v>248.29</v>
      </c>
      <c r="M798" s="765">
        <f t="shared" si="80"/>
        <v>177.35</v>
      </c>
      <c r="N798" s="765">
        <f t="shared" si="89"/>
        <v>180.57454545454544</v>
      </c>
      <c r="O798" s="765">
        <f t="shared" si="90"/>
        <v>177.35</v>
      </c>
    </row>
    <row r="799" spans="1:15" s="98" customFormat="1" outlineLevel="1">
      <c r="A799" s="141" t="s">
        <v>3478</v>
      </c>
      <c r="B799" s="114" t="s">
        <v>3004</v>
      </c>
      <c r="C799" s="100" t="s">
        <v>2735</v>
      </c>
      <c r="D799" s="99" t="s">
        <v>1472</v>
      </c>
      <c r="E799" s="20">
        <v>2800</v>
      </c>
      <c r="F799" s="20">
        <f t="shared" si="78"/>
        <v>0.75000000000000011</v>
      </c>
      <c r="G799" s="19">
        <f t="shared" si="87"/>
        <v>2100.0000000000005</v>
      </c>
      <c r="H799" s="19">
        <f t="shared" si="88"/>
        <v>8621.34</v>
      </c>
      <c r="I799" s="114" t="s">
        <v>1521</v>
      </c>
      <c r="J799" s="210">
        <f>VLOOKUP(I799,'Reajuste Atual'!$L$19:$M$25,2,FALSE)</f>
        <v>3.1053999999999999</v>
      </c>
      <c r="K799" s="190"/>
      <c r="L799" s="20">
        <v>1.05</v>
      </c>
      <c r="M799" s="765">
        <f t="shared" si="80"/>
        <v>0.75000000000000011</v>
      </c>
      <c r="N799" s="765">
        <f t="shared" si="89"/>
        <v>0.76363636363636367</v>
      </c>
      <c r="O799" s="765">
        <f t="shared" si="90"/>
        <v>0.75000000000000011</v>
      </c>
    </row>
    <row r="800" spans="1:15" s="98" customFormat="1" outlineLevel="1">
      <c r="A800" s="141" t="s">
        <v>3478</v>
      </c>
      <c r="B800" s="114" t="s">
        <v>3005</v>
      </c>
      <c r="C800" s="100" t="s">
        <v>2726</v>
      </c>
      <c r="D800" s="99" t="s">
        <v>1472</v>
      </c>
      <c r="E800" s="20">
        <v>720</v>
      </c>
      <c r="F800" s="20">
        <f t="shared" ref="F800:F832" si="91">O800</f>
        <v>0.97142857142857153</v>
      </c>
      <c r="G800" s="19">
        <f t="shared" si="87"/>
        <v>699.42857142857156</v>
      </c>
      <c r="H800" s="19">
        <f t="shared" si="88"/>
        <v>2871.4340571428575</v>
      </c>
      <c r="I800" s="114" t="s">
        <v>1521</v>
      </c>
      <c r="J800" s="210">
        <f>VLOOKUP(I800,'Reajuste Atual'!$L$19:$M$25,2,FALSE)</f>
        <v>3.1053999999999999</v>
      </c>
      <c r="K800" s="190"/>
      <c r="L800" s="20">
        <v>1.36</v>
      </c>
      <c r="M800" s="765">
        <f t="shared" ref="M800:M832" si="92">L800/($M$23+1)</f>
        <v>0.97142857142857153</v>
      </c>
      <c r="N800" s="765">
        <f t="shared" si="89"/>
        <v>0.98909090909090913</v>
      </c>
      <c r="O800" s="765">
        <f t="shared" si="90"/>
        <v>0.97142857142857153</v>
      </c>
    </row>
    <row r="801" spans="1:15" s="98" customFormat="1" outlineLevel="1">
      <c r="A801" s="141" t="s">
        <v>3478</v>
      </c>
      <c r="B801" s="114" t="s">
        <v>3006</v>
      </c>
      <c r="C801" s="100" t="s">
        <v>2243</v>
      </c>
      <c r="D801" s="99" t="s">
        <v>3007</v>
      </c>
      <c r="E801" s="20">
        <v>60</v>
      </c>
      <c r="F801" s="20">
        <f t="shared" si="91"/>
        <v>15.578571428571429</v>
      </c>
      <c r="G801" s="19">
        <f t="shared" si="87"/>
        <v>934.71428571428578</v>
      </c>
      <c r="H801" s="19">
        <f t="shared" si="88"/>
        <v>3837.3760285714284</v>
      </c>
      <c r="I801" s="114" t="s">
        <v>1521</v>
      </c>
      <c r="J801" s="210">
        <f>VLOOKUP(I801,'Reajuste Atual'!$L$19:$M$25,2,FALSE)</f>
        <v>3.1053999999999999</v>
      </c>
      <c r="K801" s="190"/>
      <c r="L801" s="20">
        <v>21.81</v>
      </c>
      <c r="M801" s="765">
        <f t="shared" si="92"/>
        <v>15.578571428571429</v>
      </c>
      <c r="N801" s="765">
        <f t="shared" si="89"/>
        <v>15.861818181818181</v>
      </c>
      <c r="O801" s="765">
        <f t="shared" si="90"/>
        <v>15.578571428571429</v>
      </c>
    </row>
    <row r="802" spans="1:15" s="98" customFormat="1" outlineLevel="1">
      <c r="A802" s="141" t="s">
        <v>3478</v>
      </c>
      <c r="B802" s="114" t="s">
        <v>3008</v>
      </c>
      <c r="C802" s="100" t="s">
        <v>2249</v>
      </c>
      <c r="D802" s="99" t="s">
        <v>3007</v>
      </c>
      <c r="E802" s="20">
        <v>32</v>
      </c>
      <c r="F802" s="20">
        <f t="shared" si="91"/>
        <v>2.4478692842384762</v>
      </c>
      <c r="G802" s="19">
        <f t="shared" si="87"/>
        <v>78.331817095631237</v>
      </c>
      <c r="H802" s="19">
        <f t="shared" si="88"/>
        <v>321.58344190440442</v>
      </c>
      <c r="I802" s="114" t="s">
        <v>1521</v>
      </c>
      <c r="J802" s="210">
        <f>VLOOKUP(I802,'Reajuste Atual'!$L$19:$M$25,2,FALSE)</f>
        <v>3.1053999999999999</v>
      </c>
      <c r="K802" s="190"/>
      <c r="L802" s="20">
        <v>3.4270169979338663</v>
      </c>
      <c r="M802" s="765">
        <f t="shared" si="92"/>
        <v>2.4478692842384762</v>
      </c>
      <c r="N802" s="765">
        <f t="shared" si="89"/>
        <v>2.4923759984973572</v>
      </c>
      <c r="O802" s="765">
        <f t="shared" si="90"/>
        <v>2.4478692842384762</v>
      </c>
    </row>
    <row r="803" spans="1:15" s="98" customFormat="1" outlineLevel="1">
      <c r="A803" s="141" t="s">
        <v>3478</v>
      </c>
      <c r="B803" s="114" t="s">
        <v>3009</v>
      </c>
      <c r="C803" s="100" t="s">
        <v>2736</v>
      </c>
      <c r="D803" s="99" t="s">
        <v>1480</v>
      </c>
      <c r="E803" s="20">
        <v>160</v>
      </c>
      <c r="F803" s="20">
        <f t="shared" si="91"/>
        <v>1</v>
      </c>
      <c r="G803" s="19">
        <f t="shared" si="87"/>
        <v>160</v>
      </c>
      <c r="H803" s="19">
        <f t="shared" si="88"/>
        <v>656.86399999999992</v>
      </c>
      <c r="I803" s="114" t="s">
        <v>1521</v>
      </c>
      <c r="J803" s="210">
        <f>VLOOKUP(I803,'Reajuste Atual'!$L$19:$M$25,2,FALSE)</f>
        <v>3.1053999999999999</v>
      </c>
      <c r="K803" s="190"/>
      <c r="L803" s="20">
        <v>1.4</v>
      </c>
      <c r="M803" s="765">
        <f t="shared" si="92"/>
        <v>1</v>
      </c>
      <c r="N803" s="765">
        <f t="shared" si="89"/>
        <v>1.0181818181818181</v>
      </c>
      <c r="O803" s="765">
        <f t="shared" si="90"/>
        <v>1</v>
      </c>
    </row>
    <row r="804" spans="1:15" s="98" customFormat="1" outlineLevel="1">
      <c r="A804" s="141" t="s">
        <v>3478</v>
      </c>
      <c r="B804" s="114" t="s">
        <v>3010</v>
      </c>
      <c r="C804" s="100" t="s">
        <v>2737</v>
      </c>
      <c r="D804" s="99" t="s">
        <v>1468</v>
      </c>
      <c r="E804" s="20">
        <v>4</v>
      </c>
      <c r="F804" s="20">
        <f t="shared" si="91"/>
        <v>452.85</v>
      </c>
      <c r="G804" s="19">
        <f t="shared" si="87"/>
        <v>1811.4</v>
      </c>
      <c r="H804" s="19">
        <f t="shared" si="88"/>
        <v>7436.5215599999992</v>
      </c>
      <c r="I804" s="114" t="s">
        <v>1521</v>
      </c>
      <c r="J804" s="210">
        <f>VLOOKUP(I804,'Reajuste Atual'!$L$19:$M$25,2,FALSE)</f>
        <v>3.1053999999999999</v>
      </c>
      <c r="K804" s="190"/>
      <c r="L804" s="20">
        <v>633.99</v>
      </c>
      <c r="M804" s="765">
        <f t="shared" si="92"/>
        <v>452.85</v>
      </c>
      <c r="N804" s="765">
        <f t="shared" si="89"/>
        <v>461.08363636363634</v>
      </c>
      <c r="O804" s="765">
        <f t="shared" si="90"/>
        <v>452.85</v>
      </c>
    </row>
    <row r="805" spans="1:15" s="98" customFormat="1" ht="31.5" outlineLevel="1">
      <c r="A805" s="141" t="s">
        <v>3478</v>
      </c>
      <c r="B805" s="114" t="s">
        <v>3011</v>
      </c>
      <c r="C805" s="100" t="s">
        <v>2742</v>
      </c>
      <c r="D805" s="99" t="s">
        <v>1468</v>
      </c>
      <c r="E805" s="20">
        <v>4</v>
      </c>
      <c r="F805" s="20">
        <f t="shared" si="91"/>
        <v>94.585714285714289</v>
      </c>
      <c r="G805" s="19">
        <f t="shared" si="87"/>
        <v>378.34285714285716</v>
      </c>
      <c r="H805" s="19">
        <f t="shared" si="88"/>
        <v>1553.2487657142856</v>
      </c>
      <c r="I805" s="114" t="s">
        <v>1521</v>
      </c>
      <c r="J805" s="210">
        <f>VLOOKUP(I805,'Reajuste Atual'!$L$19:$M$25,2,FALSE)</f>
        <v>3.1053999999999999</v>
      </c>
      <c r="K805" s="190"/>
      <c r="L805" s="20">
        <v>132.41999999999999</v>
      </c>
      <c r="M805" s="765">
        <f t="shared" si="92"/>
        <v>94.585714285714289</v>
      </c>
      <c r="N805" s="765">
        <f t="shared" si="89"/>
        <v>96.305454545454538</v>
      </c>
      <c r="O805" s="765">
        <f t="shared" si="90"/>
        <v>94.585714285714289</v>
      </c>
    </row>
    <row r="806" spans="1:15" s="98" customFormat="1" outlineLevel="1">
      <c r="A806" s="141" t="s">
        <v>3478</v>
      </c>
      <c r="B806" s="114" t="s">
        <v>3012</v>
      </c>
      <c r="C806" s="100" t="s">
        <v>2738</v>
      </c>
      <c r="D806" s="99" t="s">
        <v>1468</v>
      </c>
      <c r="E806" s="20">
        <v>4</v>
      </c>
      <c r="F806" s="20">
        <f t="shared" si="91"/>
        <v>341.28571428571433</v>
      </c>
      <c r="G806" s="19">
        <f t="shared" si="87"/>
        <v>1365.1428571428573</v>
      </c>
      <c r="H806" s="19">
        <f t="shared" si="88"/>
        <v>5604.4574857142861</v>
      </c>
      <c r="I806" s="114" t="s">
        <v>1521</v>
      </c>
      <c r="J806" s="210">
        <f>VLOOKUP(I806,'Reajuste Atual'!$L$19:$M$25,2,FALSE)</f>
        <v>3.1053999999999999</v>
      </c>
      <c r="K806" s="190"/>
      <c r="L806" s="20">
        <v>477.8</v>
      </c>
      <c r="M806" s="765">
        <f t="shared" si="92"/>
        <v>341.28571428571433</v>
      </c>
      <c r="N806" s="765">
        <f t="shared" si="89"/>
        <v>347.4909090909091</v>
      </c>
      <c r="O806" s="765">
        <f t="shared" si="90"/>
        <v>341.28571428571433</v>
      </c>
    </row>
    <row r="807" spans="1:15" s="98" customFormat="1" outlineLevel="1">
      <c r="A807" s="141" t="s">
        <v>3478</v>
      </c>
      <c r="B807" s="114" t="s">
        <v>3013</v>
      </c>
      <c r="C807" s="100" t="s">
        <v>2739</v>
      </c>
      <c r="D807" s="99" t="s">
        <v>1468</v>
      </c>
      <c r="E807" s="20">
        <v>4</v>
      </c>
      <c r="F807" s="20">
        <f t="shared" si="91"/>
        <v>5.0142857142857142</v>
      </c>
      <c r="G807" s="19">
        <f t="shared" si="87"/>
        <v>20.057142857142857</v>
      </c>
      <c r="H807" s="19">
        <f t="shared" si="88"/>
        <v>82.34259428571427</v>
      </c>
      <c r="I807" s="114" t="s">
        <v>1521</v>
      </c>
      <c r="J807" s="210">
        <f>VLOOKUP(I807,'Reajuste Atual'!$L$19:$M$25,2,FALSE)</f>
        <v>3.1053999999999999</v>
      </c>
      <c r="K807" s="190"/>
      <c r="L807" s="20">
        <v>7.02</v>
      </c>
      <c r="M807" s="765">
        <f t="shared" si="92"/>
        <v>5.0142857142857142</v>
      </c>
      <c r="N807" s="765">
        <f t="shared" si="89"/>
        <v>5.1054545454545455</v>
      </c>
      <c r="O807" s="765">
        <f t="shared" si="90"/>
        <v>5.0142857142857142</v>
      </c>
    </row>
    <row r="808" spans="1:15" s="98" customFormat="1" outlineLevel="1">
      <c r="A808" s="141" t="s">
        <v>3478</v>
      </c>
      <c r="B808" s="114" t="s">
        <v>3014</v>
      </c>
      <c r="C808" s="100" t="s">
        <v>2740</v>
      </c>
      <c r="D808" s="99" t="s">
        <v>1468</v>
      </c>
      <c r="E808" s="20">
        <v>12</v>
      </c>
      <c r="F808" s="20">
        <f t="shared" si="91"/>
        <v>17.55</v>
      </c>
      <c r="G808" s="19">
        <f t="shared" si="87"/>
        <v>210.60000000000002</v>
      </c>
      <c r="H808" s="19">
        <f t="shared" si="88"/>
        <v>864.59723999999994</v>
      </c>
      <c r="I808" s="114" t="s">
        <v>1521</v>
      </c>
      <c r="J808" s="210">
        <f>VLOOKUP(I808,'Reajuste Atual'!$L$19:$M$25,2,FALSE)</f>
        <v>3.1053999999999999</v>
      </c>
      <c r="K808" s="190"/>
      <c r="L808" s="20">
        <v>24.57</v>
      </c>
      <c r="M808" s="765">
        <f t="shared" si="92"/>
        <v>17.55</v>
      </c>
      <c r="N808" s="765">
        <f t="shared" si="89"/>
        <v>17.869090909090911</v>
      </c>
      <c r="O808" s="765">
        <f t="shared" si="90"/>
        <v>17.55</v>
      </c>
    </row>
    <row r="809" spans="1:15" s="98" customFormat="1" outlineLevel="1">
      <c r="A809" s="141" t="s">
        <v>3478</v>
      </c>
      <c r="B809" s="114" t="s">
        <v>3015</v>
      </c>
      <c r="C809" s="100" t="s">
        <v>3016</v>
      </c>
      <c r="D809" s="99" t="s">
        <v>1472</v>
      </c>
      <c r="E809" s="20">
        <v>100</v>
      </c>
      <c r="F809" s="20">
        <f t="shared" si="91"/>
        <v>1.1000000000000001</v>
      </c>
      <c r="G809" s="19">
        <f t="shared" si="87"/>
        <v>110.00000000000001</v>
      </c>
      <c r="H809" s="19">
        <f t="shared" si="88"/>
        <v>451.59399999999999</v>
      </c>
      <c r="I809" s="114" t="s">
        <v>1521</v>
      </c>
      <c r="J809" s="210">
        <f>VLOOKUP(I809,'Reajuste Atual'!$L$19:$M$25,2,FALSE)</f>
        <v>3.1053999999999999</v>
      </c>
      <c r="K809" s="190"/>
      <c r="L809" s="20">
        <v>1.54</v>
      </c>
      <c r="M809" s="765">
        <f t="shared" si="92"/>
        <v>1.1000000000000001</v>
      </c>
      <c r="N809" s="765">
        <f t="shared" si="89"/>
        <v>1.1200000000000001</v>
      </c>
      <c r="O809" s="765">
        <f t="shared" si="90"/>
        <v>1.1000000000000001</v>
      </c>
    </row>
    <row r="810" spans="1:15" s="98" customFormat="1" ht="31.5" outlineLevel="1">
      <c r="A810" s="141" t="s">
        <v>3478</v>
      </c>
      <c r="B810" s="114" t="s">
        <v>3017</v>
      </c>
      <c r="C810" s="100" t="s">
        <v>1593</v>
      </c>
      <c r="D810" s="99" t="s">
        <v>1472</v>
      </c>
      <c r="E810" s="20">
        <v>60</v>
      </c>
      <c r="F810" s="20">
        <f t="shared" si="91"/>
        <v>5.9642857142857144</v>
      </c>
      <c r="G810" s="19">
        <f t="shared" si="87"/>
        <v>357.85714285714289</v>
      </c>
      <c r="H810" s="19">
        <f t="shared" si="88"/>
        <v>1469.1467142857143</v>
      </c>
      <c r="I810" s="114" t="s">
        <v>1521</v>
      </c>
      <c r="J810" s="210">
        <f>VLOOKUP(I810,'Reajuste Atual'!$L$19:$M$25,2,FALSE)</f>
        <v>3.1053999999999999</v>
      </c>
      <c r="K810" s="190"/>
      <c r="L810" s="20">
        <v>8.35</v>
      </c>
      <c r="M810" s="765">
        <f t="shared" si="92"/>
        <v>5.9642857142857144</v>
      </c>
      <c r="N810" s="765">
        <f t="shared" si="89"/>
        <v>6.0727272727272723</v>
      </c>
      <c r="O810" s="765">
        <f t="shared" si="90"/>
        <v>5.9642857142857144</v>
      </c>
    </row>
    <row r="811" spans="1:15" s="98" customFormat="1" outlineLevel="1">
      <c r="A811" s="141" t="s">
        <v>3478</v>
      </c>
      <c r="B811" s="114" t="s">
        <v>3018</v>
      </c>
      <c r="C811" s="100" t="s">
        <v>2741</v>
      </c>
      <c r="D811" s="99" t="s">
        <v>1468</v>
      </c>
      <c r="E811" s="20">
        <v>8</v>
      </c>
      <c r="F811" s="20">
        <f t="shared" si="91"/>
        <v>4.9928571428571429</v>
      </c>
      <c r="G811" s="19">
        <f t="shared" si="87"/>
        <v>39.942857142857143</v>
      </c>
      <c r="H811" s="19">
        <f t="shared" si="88"/>
        <v>163.9814057142857</v>
      </c>
      <c r="I811" s="114" t="s">
        <v>1521</v>
      </c>
      <c r="J811" s="210">
        <f>VLOOKUP(I811,'Reajuste Atual'!$L$19:$M$25,2,FALSE)</f>
        <v>3.1053999999999999</v>
      </c>
      <c r="K811" s="190"/>
      <c r="L811" s="20">
        <v>6.99</v>
      </c>
      <c r="M811" s="765">
        <f t="shared" si="92"/>
        <v>4.9928571428571429</v>
      </c>
      <c r="N811" s="765">
        <f t="shared" si="89"/>
        <v>5.083636363636364</v>
      </c>
      <c r="O811" s="765">
        <f t="shared" si="90"/>
        <v>4.9928571428571429</v>
      </c>
    </row>
    <row r="812" spans="1:15" s="98" customFormat="1" ht="47.25" outlineLevel="1">
      <c r="A812" s="141" t="s">
        <v>3478</v>
      </c>
      <c r="B812" s="114" t="s">
        <v>3019</v>
      </c>
      <c r="C812" s="185" t="s">
        <v>1594</v>
      </c>
      <c r="D812" s="99" t="s">
        <v>1472</v>
      </c>
      <c r="E812" s="20">
        <v>4028</v>
      </c>
      <c r="F812" s="20">
        <f t="shared" si="91"/>
        <v>0.69285714285714284</v>
      </c>
      <c r="G812" s="19">
        <f t="shared" si="87"/>
        <v>2790.8285714285712</v>
      </c>
      <c r="H812" s="19">
        <f t="shared" si="88"/>
        <v>11457.467617142855</v>
      </c>
      <c r="I812" s="114" t="s">
        <v>1521</v>
      </c>
      <c r="J812" s="210">
        <f>VLOOKUP(I812,'Reajuste Atual'!$L$19:$M$25,2,FALSE)</f>
        <v>3.1053999999999999</v>
      </c>
      <c r="K812" s="191"/>
      <c r="L812" s="20">
        <v>0.97</v>
      </c>
      <c r="M812" s="765">
        <f t="shared" si="92"/>
        <v>0.69285714285714284</v>
      </c>
      <c r="N812" s="765">
        <f t="shared" si="89"/>
        <v>0.70545454545454545</v>
      </c>
      <c r="O812" s="765">
        <f t="shared" si="90"/>
        <v>0.69285714285714284</v>
      </c>
    </row>
    <row r="813" spans="1:15" s="98" customFormat="1" outlineLevel="1">
      <c r="B813" s="115" t="s">
        <v>3020</v>
      </c>
      <c r="C813" s="102" t="s">
        <v>3021</v>
      </c>
      <c r="D813" s="85"/>
      <c r="E813" s="62"/>
      <c r="F813" s="62"/>
      <c r="G813" s="64">
        <f>SUM(G814:G832)</f>
        <v>102042.93818181823</v>
      </c>
      <c r="H813" s="64">
        <f>SUM(H814:H832)</f>
        <v>418927.07841163641</v>
      </c>
      <c r="I813" s="111"/>
      <c r="J813" s="86"/>
      <c r="K813" s="190"/>
      <c r="L813" s="20"/>
      <c r="M813" s="765"/>
      <c r="N813" s="765">
        <f t="shared" si="89"/>
        <v>0</v>
      </c>
      <c r="O813" s="765">
        <f t="shared" si="90"/>
        <v>0</v>
      </c>
    </row>
    <row r="814" spans="1:15" s="98" customFormat="1" outlineLevel="1">
      <c r="A814" s="141" t="s">
        <v>3483</v>
      </c>
      <c r="B814" s="114" t="s">
        <v>3022</v>
      </c>
      <c r="C814" s="100" t="s">
        <v>2732</v>
      </c>
      <c r="D814" s="99" t="s">
        <v>1468</v>
      </c>
      <c r="E814" s="20">
        <v>4</v>
      </c>
      <c r="F814" s="20">
        <f t="shared" si="91"/>
        <v>5702.2545454545461</v>
      </c>
      <c r="G814" s="19">
        <f t="shared" ref="G814:G832" si="93">E814*F814</f>
        <v>22809.018181818185</v>
      </c>
      <c r="H814" s="19">
        <f t="shared" ref="H814:H832" si="94">G814*(1+J814)</f>
        <v>93640.143243636368</v>
      </c>
      <c r="I814" s="114" t="s">
        <v>1521</v>
      </c>
      <c r="J814" s="210">
        <f>VLOOKUP(I814,'Reajuste Atual'!$L$19:$M$25,2,FALSE)</f>
        <v>3.1053999999999999</v>
      </c>
      <c r="K814" s="190"/>
      <c r="L814" s="20">
        <v>7840.6</v>
      </c>
      <c r="M814" s="765">
        <f t="shared" si="92"/>
        <v>5600.4285714285725</v>
      </c>
      <c r="N814" s="765">
        <f t="shared" si="89"/>
        <v>5702.2545454545461</v>
      </c>
      <c r="O814" s="765">
        <f t="shared" si="90"/>
        <v>5702.2545454545461</v>
      </c>
    </row>
    <row r="815" spans="1:15" s="98" customFormat="1" outlineLevel="1">
      <c r="A815" s="141" t="s">
        <v>3483</v>
      </c>
      <c r="B815" s="114" t="s">
        <v>3023</v>
      </c>
      <c r="C815" s="100" t="s">
        <v>2733</v>
      </c>
      <c r="D815" s="99" t="s">
        <v>1468</v>
      </c>
      <c r="E815" s="20">
        <v>4</v>
      </c>
      <c r="F815" s="20">
        <f t="shared" si="91"/>
        <v>3747.4181818181819</v>
      </c>
      <c r="G815" s="19">
        <f t="shared" si="93"/>
        <v>14989.672727272728</v>
      </c>
      <c r="H815" s="19">
        <f t="shared" si="94"/>
        <v>61538.60241454545</v>
      </c>
      <c r="I815" s="114" t="s">
        <v>1521</v>
      </c>
      <c r="J815" s="210">
        <f>VLOOKUP(I815,'Reajuste Atual'!$L$19:$M$25,2,FALSE)</f>
        <v>3.1053999999999999</v>
      </c>
      <c r="K815" s="190"/>
      <c r="L815" s="20">
        <v>5152.7</v>
      </c>
      <c r="M815" s="765">
        <f t="shared" si="92"/>
        <v>3680.5</v>
      </c>
      <c r="N815" s="765">
        <f t="shared" si="89"/>
        <v>3747.4181818181819</v>
      </c>
      <c r="O815" s="765">
        <f t="shared" si="90"/>
        <v>3747.4181818181819</v>
      </c>
    </row>
    <row r="816" spans="1:15" s="98" customFormat="1" outlineLevel="1">
      <c r="A816" s="141" t="s">
        <v>3483</v>
      </c>
      <c r="B816" s="114" t="s">
        <v>3024</v>
      </c>
      <c r="C816" s="100" t="s">
        <v>2734</v>
      </c>
      <c r="D816" s="99" t="s">
        <v>1468</v>
      </c>
      <c r="E816" s="20">
        <v>4</v>
      </c>
      <c r="F816" s="20">
        <f t="shared" si="91"/>
        <v>1229.5272727272727</v>
      </c>
      <c r="G816" s="19">
        <f t="shared" si="93"/>
        <v>4918.1090909090908</v>
      </c>
      <c r="H816" s="19">
        <f t="shared" si="94"/>
        <v>20190.805061818181</v>
      </c>
      <c r="I816" s="114" t="s">
        <v>1521</v>
      </c>
      <c r="J816" s="210">
        <f>VLOOKUP(I816,'Reajuste Atual'!$L$19:$M$25,2,FALSE)</f>
        <v>3.1053999999999999</v>
      </c>
      <c r="K816" s="190"/>
      <c r="L816" s="20">
        <v>1690.6</v>
      </c>
      <c r="M816" s="765">
        <f t="shared" si="92"/>
        <v>1207.5714285714287</v>
      </c>
      <c r="N816" s="765">
        <f t="shared" si="89"/>
        <v>1229.5272727272727</v>
      </c>
      <c r="O816" s="765">
        <f t="shared" si="90"/>
        <v>1229.5272727272727</v>
      </c>
    </row>
    <row r="817" spans="1:15" s="98" customFormat="1" ht="31.5" outlineLevel="1">
      <c r="A817" s="141" t="s">
        <v>3483</v>
      </c>
      <c r="B817" s="114" t="s">
        <v>3025</v>
      </c>
      <c r="C817" s="100" t="s">
        <v>3001</v>
      </c>
      <c r="D817" s="99" t="s">
        <v>1468</v>
      </c>
      <c r="E817" s="20">
        <v>20</v>
      </c>
      <c r="F817" s="20">
        <f t="shared" si="91"/>
        <v>944.6400000000001</v>
      </c>
      <c r="G817" s="19">
        <f t="shared" si="93"/>
        <v>18892.800000000003</v>
      </c>
      <c r="H817" s="19">
        <f t="shared" si="94"/>
        <v>77562.501120000001</v>
      </c>
      <c r="I817" s="114" t="s">
        <v>1521</v>
      </c>
      <c r="J817" s="210">
        <f>VLOOKUP(I817,'Reajuste Atual'!$L$19:$M$25,2,FALSE)</f>
        <v>3.1053999999999999</v>
      </c>
      <c r="K817" s="190"/>
      <c r="L817" s="20">
        <v>1298.8800000000001</v>
      </c>
      <c r="M817" s="765">
        <f t="shared" si="92"/>
        <v>927.77142857142871</v>
      </c>
      <c r="N817" s="765">
        <f t="shared" si="89"/>
        <v>944.6400000000001</v>
      </c>
      <c r="O817" s="765">
        <f t="shared" si="90"/>
        <v>944.6400000000001</v>
      </c>
    </row>
    <row r="818" spans="1:15" s="98" customFormat="1" outlineLevel="1">
      <c r="A818" s="141" t="s">
        <v>3483</v>
      </c>
      <c r="B818" s="114" t="s">
        <v>3026</v>
      </c>
      <c r="C818" s="100" t="s">
        <v>3003</v>
      </c>
      <c r="D818" s="99" t="s">
        <v>1468</v>
      </c>
      <c r="E818" s="20">
        <v>48</v>
      </c>
      <c r="F818" s="20">
        <f t="shared" si="91"/>
        <v>248.08727272727273</v>
      </c>
      <c r="G818" s="19">
        <f t="shared" si="93"/>
        <v>11908.189090909091</v>
      </c>
      <c r="H818" s="19">
        <f t="shared" si="94"/>
        <v>48887.879493818175</v>
      </c>
      <c r="I818" s="114" t="s">
        <v>1521</v>
      </c>
      <c r="J818" s="210">
        <f>VLOOKUP(I818,'Reajuste Atual'!$L$19:$M$25,2,FALSE)</f>
        <v>3.1053999999999999</v>
      </c>
      <c r="K818" s="190"/>
      <c r="L818" s="20">
        <v>341.12</v>
      </c>
      <c r="M818" s="765">
        <f t="shared" si="92"/>
        <v>243.65714285714287</v>
      </c>
      <c r="N818" s="765">
        <f t="shared" si="89"/>
        <v>248.08727272727273</v>
      </c>
      <c r="O818" s="765">
        <f t="shared" si="90"/>
        <v>248.08727272727273</v>
      </c>
    </row>
    <row r="819" spans="1:15" s="98" customFormat="1" outlineLevel="1">
      <c r="A819" s="141" t="s">
        <v>3483</v>
      </c>
      <c r="B819" s="114" t="s">
        <v>3027</v>
      </c>
      <c r="C819" s="100" t="s">
        <v>2735</v>
      </c>
      <c r="D819" s="99" t="s">
        <v>1472</v>
      </c>
      <c r="E819" s="20">
        <v>2800</v>
      </c>
      <c r="F819" s="20">
        <f t="shared" si="91"/>
        <v>0.65454545454545454</v>
      </c>
      <c r="G819" s="19">
        <f t="shared" si="93"/>
        <v>1832.7272727272727</v>
      </c>
      <c r="H819" s="19">
        <f t="shared" si="94"/>
        <v>7524.0785454545448</v>
      </c>
      <c r="I819" s="114" t="s">
        <v>1521</v>
      </c>
      <c r="J819" s="210">
        <f>VLOOKUP(I819,'Reajuste Atual'!$L$19:$M$25,2,FALSE)</f>
        <v>3.1053999999999999</v>
      </c>
      <c r="K819" s="190"/>
      <c r="L819" s="20">
        <v>0.9</v>
      </c>
      <c r="M819" s="765">
        <f t="shared" si="92"/>
        <v>0.6428571428571429</v>
      </c>
      <c r="N819" s="765">
        <f t="shared" si="89"/>
        <v>0.65454545454545454</v>
      </c>
      <c r="O819" s="765">
        <f t="shared" si="90"/>
        <v>0.65454545454545454</v>
      </c>
    </row>
    <row r="820" spans="1:15" s="98" customFormat="1" outlineLevel="1">
      <c r="A820" s="141" t="s">
        <v>3483</v>
      </c>
      <c r="B820" s="114" t="s">
        <v>3028</v>
      </c>
      <c r="C820" s="100" t="s">
        <v>2726</v>
      </c>
      <c r="D820" s="99" t="s">
        <v>1472</v>
      </c>
      <c r="E820" s="20">
        <v>720</v>
      </c>
      <c r="F820" s="20">
        <f t="shared" si="91"/>
        <v>4.3636363636363633</v>
      </c>
      <c r="G820" s="19">
        <f t="shared" si="93"/>
        <v>3141.8181818181815</v>
      </c>
      <c r="H820" s="19">
        <f t="shared" si="94"/>
        <v>12898.42036363636</v>
      </c>
      <c r="I820" s="114" t="s">
        <v>1521</v>
      </c>
      <c r="J820" s="210">
        <f>VLOOKUP(I820,'Reajuste Atual'!$L$19:$M$25,2,FALSE)</f>
        <v>3.1053999999999999</v>
      </c>
      <c r="K820" s="190"/>
      <c r="L820" s="20">
        <v>6</v>
      </c>
      <c r="M820" s="765">
        <f t="shared" si="92"/>
        <v>4.2857142857142856</v>
      </c>
      <c r="N820" s="765">
        <f t="shared" si="89"/>
        <v>4.3636363636363633</v>
      </c>
      <c r="O820" s="765">
        <f t="shared" si="90"/>
        <v>4.3636363636363633</v>
      </c>
    </row>
    <row r="821" spans="1:15" s="98" customFormat="1" outlineLevel="1">
      <c r="A821" s="141" t="s">
        <v>3483</v>
      </c>
      <c r="B821" s="114" t="s">
        <v>3029</v>
      </c>
      <c r="C821" s="100" t="s">
        <v>2243</v>
      </c>
      <c r="D821" s="99" t="s">
        <v>1472</v>
      </c>
      <c r="E821" s="20">
        <v>180</v>
      </c>
      <c r="F821" s="20">
        <f t="shared" si="91"/>
        <v>26.632727272727269</v>
      </c>
      <c r="G821" s="19">
        <f t="shared" si="93"/>
        <v>4793.8909090909083</v>
      </c>
      <c r="H821" s="19">
        <f t="shared" si="94"/>
        <v>19680.839738181814</v>
      </c>
      <c r="I821" s="114" t="s">
        <v>1521</v>
      </c>
      <c r="J821" s="210">
        <f>VLOOKUP(I821,'Reajuste Atual'!$L$19:$M$25,2,FALSE)</f>
        <v>3.1053999999999999</v>
      </c>
      <c r="K821" s="190"/>
      <c r="L821" s="20">
        <v>36.619999999999997</v>
      </c>
      <c r="M821" s="765">
        <f t="shared" si="92"/>
        <v>26.157142857142858</v>
      </c>
      <c r="N821" s="765">
        <f t="shared" si="89"/>
        <v>26.632727272727269</v>
      </c>
      <c r="O821" s="765">
        <f t="shared" si="90"/>
        <v>26.632727272727269</v>
      </c>
    </row>
    <row r="822" spans="1:15" s="98" customFormat="1" outlineLevel="1">
      <c r="A822" s="141" t="s">
        <v>3483</v>
      </c>
      <c r="B822" s="114" t="s">
        <v>3030</v>
      </c>
      <c r="C822" s="100" t="s">
        <v>2249</v>
      </c>
      <c r="D822" s="99" t="s">
        <v>3007</v>
      </c>
      <c r="E822" s="20">
        <v>32</v>
      </c>
      <c r="F822" s="20">
        <f t="shared" si="91"/>
        <v>21.141818181818181</v>
      </c>
      <c r="G822" s="19">
        <f t="shared" si="93"/>
        <v>676.53818181818178</v>
      </c>
      <c r="H822" s="19">
        <f t="shared" si="94"/>
        <v>2777.4598516363631</v>
      </c>
      <c r="I822" s="114" t="s">
        <v>1521</v>
      </c>
      <c r="J822" s="210">
        <f>VLOOKUP(I822,'Reajuste Atual'!$L$19:$M$25,2,FALSE)</f>
        <v>3.1053999999999999</v>
      </c>
      <c r="K822" s="190"/>
      <c r="L822" s="20">
        <v>29.07</v>
      </c>
      <c r="M822" s="765">
        <f t="shared" si="92"/>
        <v>20.764285714285716</v>
      </c>
      <c r="N822" s="765">
        <f t="shared" si="89"/>
        <v>21.141818181818181</v>
      </c>
      <c r="O822" s="765">
        <f t="shared" si="90"/>
        <v>21.141818181818181</v>
      </c>
    </row>
    <row r="823" spans="1:15" s="98" customFormat="1" outlineLevel="1">
      <c r="A823" s="141" t="s">
        <v>3483</v>
      </c>
      <c r="B823" s="114" t="s">
        <v>3031</v>
      </c>
      <c r="C823" s="100" t="s">
        <v>2736</v>
      </c>
      <c r="D823" s="99" t="s">
        <v>1480</v>
      </c>
      <c r="E823" s="20">
        <v>160</v>
      </c>
      <c r="F823" s="20">
        <f t="shared" si="91"/>
        <v>3.0690909090909089</v>
      </c>
      <c r="G823" s="19">
        <f t="shared" si="93"/>
        <v>491.0545454545454</v>
      </c>
      <c r="H823" s="19">
        <f t="shared" si="94"/>
        <v>2015.9753309090904</v>
      </c>
      <c r="I823" s="114" t="s">
        <v>1521</v>
      </c>
      <c r="J823" s="210">
        <f>VLOOKUP(I823,'Reajuste Atual'!$L$19:$M$25,2,FALSE)</f>
        <v>3.1053999999999999</v>
      </c>
      <c r="K823" s="190"/>
      <c r="L823" s="20">
        <v>4.22</v>
      </c>
      <c r="M823" s="765">
        <f t="shared" si="92"/>
        <v>3.0142857142857142</v>
      </c>
      <c r="N823" s="765">
        <f t="shared" si="89"/>
        <v>3.0690909090909089</v>
      </c>
      <c r="O823" s="765">
        <f t="shared" si="90"/>
        <v>3.0690909090909089</v>
      </c>
    </row>
    <row r="824" spans="1:15" s="98" customFormat="1" outlineLevel="1">
      <c r="A824" s="141" t="s">
        <v>3483</v>
      </c>
      <c r="B824" s="114" t="s">
        <v>3032</v>
      </c>
      <c r="C824" s="100" t="s">
        <v>2737</v>
      </c>
      <c r="D824" s="99" t="s">
        <v>1468</v>
      </c>
      <c r="E824" s="20">
        <v>4</v>
      </c>
      <c r="F824" s="20">
        <f t="shared" si="91"/>
        <v>82.13818181818182</v>
      </c>
      <c r="G824" s="19">
        <f t="shared" si="93"/>
        <v>328.55272727272728</v>
      </c>
      <c r="H824" s="19">
        <f t="shared" si="94"/>
        <v>1348.8403665454543</v>
      </c>
      <c r="I824" s="114" t="s">
        <v>1521</v>
      </c>
      <c r="J824" s="210">
        <f>VLOOKUP(I824,'Reajuste Atual'!$L$19:$M$25,2,FALSE)</f>
        <v>3.1053999999999999</v>
      </c>
      <c r="K824" s="190"/>
      <c r="L824" s="20">
        <v>112.94</v>
      </c>
      <c r="M824" s="765">
        <f t="shared" si="92"/>
        <v>80.671428571428578</v>
      </c>
      <c r="N824" s="765">
        <f t="shared" si="89"/>
        <v>82.13818181818182</v>
      </c>
      <c r="O824" s="765">
        <f t="shared" si="90"/>
        <v>82.13818181818182</v>
      </c>
    </row>
    <row r="825" spans="1:15" s="98" customFormat="1" ht="31.5" outlineLevel="1">
      <c r="A825" s="141" t="s">
        <v>3483</v>
      </c>
      <c r="B825" s="114" t="s">
        <v>3033</v>
      </c>
      <c r="C825" s="100" t="s">
        <v>2742</v>
      </c>
      <c r="D825" s="99" t="s">
        <v>1468</v>
      </c>
      <c r="E825" s="20">
        <v>4</v>
      </c>
      <c r="F825" s="20">
        <f t="shared" si="91"/>
        <v>74.094545454545454</v>
      </c>
      <c r="G825" s="19">
        <f t="shared" si="93"/>
        <v>296.37818181818182</v>
      </c>
      <c r="H825" s="19">
        <f t="shared" si="94"/>
        <v>1216.7509876363636</v>
      </c>
      <c r="I825" s="114" t="s">
        <v>1521</v>
      </c>
      <c r="J825" s="210">
        <f>VLOOKUP(I825,'Reajuste Atual'!$L$19:$M$25,2,FALSE)</f>
        <v>3.1053999999999999</v>
      </c>
      <c r="K825" s="190"/>
      <c r="L825" s="20">
        <v>101.88</v>
      </c>
      <c r="M825" s="765">
        <f t="shared" si="92"/>
        <v>72.771428571428572</v>
      </c>
      <c r="N825" s="765">
        <f t="shared" si="89"/>
        <v>74.094545454545454</v>
      </c>
      <c r="O825" s="765">
        <f t="shared" si="90"/>
        <v>74.094545454545454</v>
      </c>
    </row>
    <row r="826" spans="1:15" s="98" customFormat="1" outlineLevel="1">
      <c r="A826" s="141" t="s">
        <v>3483</v>
      </c>
      <c r="B826" s="114" t="s">
        <v>3034</v>
      </c>
      <c r="C826" s="100" t="s">
        <v>2738</v>
      </c>
      <c r="D826" s="99" t="s">
        <v>1468</v>
      </c>
      <c r="E826" s="20">
        <v>4</v>
      </c>
      <c r="F826" s="20">
        <f t="shared" si="91"/>
        <v>307.28727272727269</v>
      </c>
      <c r="G826" s="19">
        <f t="shared" si="93"/>
        <v>1229.1490909090908</v>
      </c>
      <c r="H826" s="19">
        <f t="shared" si="94"/>
        <v>5046.1486778181807</v>
      </c>
      <c r="I826" s="114" t="s">
        <v>1521</v>
      </c>
      <c r="J826" s="210">
        <f>VLOOKUP(I826,'Reajuste Atual'!$L$19:$M$25,2,FALSE)</f>
        <v>3.1053999999999999</v>
      </c>
      <c r="K826" s="190"/>
      <c r="L826" s="20">
        <v>422.52</v>
      </c>
      <c r="M826" s="765">
        <f t="shared" si="92"/>
        <v>301.8</v>
      </c>
      <c r="N826" s="765">
        <f t="shared" si="89"/>
        <v>307.28727272727269</v>
      </c>
      <c r="O826" s="765">
        <f t="shared" si="90"/>
        <v>307.28727272727269</v>
      </c>
    </row>
    <row r="827" spans="1:15" s="98" customFormat="1" outlineLevel="1">
      <c r="A827" s="141" t="s">
        <v>3483</v>
      </c>
      <c r="B827" s="114" t="s">
        <v>3035</v>
      </c>
      <c r="C827" s="100" t="s">
        <v>2739</v>
      </c>
      <c r="D827" s="99" t="s">
        <v>1468</v>
      </c>
      <c r="E827" s="20">
        <v>4</v>
      </c>
      <c r="F827" s="20">
        <f t="shared" si="91"/>
        <v>28.487272727272728</v>
      </c>
      <c r="G827" s="19">
        <f t="shared" si="93"/>
        <v>113.94909090909091</v>
      </c>
      <c r="H827" s="19">
        <f t="shared" si="94"/>
        <v>467.80659781818179</v>
      </c>
      <c r="I827" s="114" t="s">
        <v>1521</v>
      </c>
      <c r="J827" s="210">
        <f>VLOOKUP(I827,'Reajuste Atual'!$L$19:$M$25,2,FALSE)</f>
        <v>3.1053999999999999</v>
      </c>
      <c r="K827" s="190"/>
      <c r="L827" s="20">
        <v>39.17</v>
      </c>
      <c r="M827" s="765">
        <f t="shared" si="92"/>
        <v>27.978571428571431</v>
      </c>
      <c r="N827" s="765">
        <f t="shared" si="89"/>
        <v>28.487272727272728</v>
      </c>
      <c r="O827" s="765">
        <f t="shared" si="90"/>
        <v>28.487272727272728</v>
      </c>
    </row>
    <row r="828" spans="1:15" s="98" customFormat="1" outlineLevel="1">
      <c r="A828" s="141" t="s">
        <v>3483</v>
      </c>
      <c r="B828" s="114" t="s">
        <v>3036</v>
      </c>
      <c r="C828" s="100" t="s">
        <v>2740</v>
      </c>
      <c r="D828" s="99" t="s">
        <v>1468</v>
      </c>
      <c r="E828" s="20">
        <v>12</v>
      </c>
      <c r="F828" s="20">
        <f t="shared" si="91"/>
        <v>18.261818181818182</v>
      </c>
      <c r="G828" s="19">
        <f t="shared" si="93"/>
        <v>219.14181818181817</v>
      </c>
      <c r="H828" s="19">
        <f t="shared" si="94"/>
        <v>899.66482036363618</v>
      </c>
      <c r="I828" s="114" t="s">
        <v>1521</v>
      </c>
      <c r="J828" s="210">
        <f>VLOOKUP(I828,'Reajuste Atual'!$L$19:$M$25,2,FALSE)</f>
        <v>3.1053999999999999</v>
      </c>
      <c r="K828" s="190"/>
      <c r="L828" s="20">
        <v>25.11</v>
      </c>
      <c r="M828" s="765">
        <f t="shared" si="92"/>
        <v>17.935714285714287</v>
      </c>
      <c r="N828" s="765">
        <f t="shared" si="89"/>
        <v>18.261818181818182</v>
      </c>
      <c r="O828" s="765">
        <f t="shared" si="90"/>
        <v>18.261818181818182</v>
      </c>
    </row>
    <row r="829" spans="1:15" s="98" customFormat="1" outlineLevel="1">
      <c r="A829" s="141" t="s">
        <v>3483</v>
      </c>
      <c r="B829" s="114" t="s">
        <v>3037</v>
      </c>
      <c r="C829" s="100" t="s">
        <v>3016</v>
      </c>
      <c r="D829" s="99" t="s">
        <v>1472</v>
      </c>
      <c r="E829" s="20">
        <v>100</v>
      </c>
      <c r="F829" s="20">
        <f t="shared" si="91"/>
        <v>6.6472727272727274</v>
      </c>
      <c r="G829" s="19">
        <f t="shared" si="93"/>
        <v>664.72727272727275</v>
      </c>
      <c r="H829" s="19">
        <f t="shared" si="94"/>
        <v>2728.9713454545454</v>
      </c>
      <c r="I829" s="114" t="s">
        <v>1521</v>
      </c>
      <c r="J829" s="210">
        <f>VLOOKUP(I829,'Reajuste Atual'!$L$19:$M$25,2,FALSE)</f>
        <v>3.1053999999999999</v>
      </c>
      <c r="K829" s="190"/>
      <c r="L829" s="20">
        <v>9.14</v>
      </c>
      <c r="M829" s="765">
        <f t="shared" si="92"/>
        <v>6.5285714285714294</v>
      </c>
      <c r="N829" s="765">
        <f t="shared" si="89"/>
        <v>6.6472727272727274</v>
      </c>
      <c r="O829" s="765">
        <f t="shared" si="90"/>
        <v>6.6472727272727274</v>
      </c>
    </row>
    <row r="830" spans="1:15" s="98" customFormat="1" ht="31.5" outlineLevel="1">
      <c r="A830" s="141" t="s">
        <v>3483</v>
      </c>
      <c r="B830" s="114" t="s">
        <v>3038</v>
      </c>
      <c r="C830" s="100" t="s">
        <v>1612</v>
      </c>
      <c r="D830" s="99" t="s">
        <v>1472</v>
      </c>
      <c r="E830" s="20">
        <v>60</v>
      </c>
      <c r="F830" s="20">
        <f t="shared" si="91"/>
        <v>3.8690909090909091</v>
      </c>
      <c r="G830" s="19">
        <f t="shared" si="93"/>
        <v>232.14545454545456</v>
      </c>
      <c r="H830" s="19">
        <f t="shared" si="94"/>
        <v>953.04994909090897</v>
      </c>
      <c r="I830" s="114" t="s">
        <v>1521</v>
      </c>
      <c r="J830" s="210">
        <f>VLOOKUP(I830,'Reajuste Atual'!$L$19:$M$25,2,FALSE)</f>
        <v>3.1053999999999999</v>
      </c>
      <c r="K830" s="190"/>
      <c r="L830" s="20">
        <v>5.32</v>
      </c>
      <c r="M830" s="765">
        <f t="shared" si="92"/>
        <v>3.8000000000000003</v>
      </c>
      <c r="N830" s="765">
        <f t="shared" si="89"/>
        <v>3.8690909090909091</v>
      </c>
      <c r="O830" s="765">
        <f t="shared" si="90"/>
        <v>3.8690909090909091</v>
      </c>
    </row>
    <row r="831" spans="1:15" s="98" customFormat="1" outlineLevel="1">
      <c r="A831" s="141" t="s">
        <v>3483</v>
      </c>
      <c r="B831" s="114" t="s">
        <v>3039</v>
      </c>
      <c r="C831" s="100" t="s">
        <v>2741</v>
      </c>
      <c r="D831" s="99" t="s">
        <v>3040</v>
      </c>
      <c r="E831" s="20">
        <v>8</v>
      </c>
      <c r="F831" s="20">
        <f t="shared" si="91"/>
        <v>4.1963636363636363</v>
      </c>
      <c r="G831" s="19">
        <f t="shared" si="93"/>
        <v>33.57090909090909</v>
      </c>
      <c r="H831" s="19">
        <f t="shared" si="94"/>
        <v>137.82201018181817</v>
      </c>
      <c r="I831" s="114" t="s">
        <v>1521</v>
      </c>
      <c r="J831" s="210">
        <f>VLOOKUP(I831,'Reajuste Atual'!$L$19:$M$25,2,FALSE)</f>
        <v>3.1053999999999999</v>
      </c>
      <c r="K831" s="190"/>
      <c r="L831" s="20">
        <v>5.77</v>
      </c>
      <c r="M831" s="765">
        <f t="shared" si="92"/>
        <v>4.121428571428571</v>
      </c>
      <c r="N831" s="765">
        <f t="shared" si="89"/>
        <v>4.1963636363636363</v>
      </c>
      <c r="O831" s="765">
        <f t="shared" si="90"/>
        <v>4.1963636363636363</v>
      </c>
    </row>
    <row r="832" spans="1:15" s="98" customFormat="1" ht="47.25" outlineLevel="1" collapsed="1">
      <c r="A832" s="141" t="s">
        <v>3483</v>
      </c>
      <c r="B832" s="793" t="s">
        <v>3041</v>
      </c>
      <c r="C832" s="794" t="s">
        <v>1613</v>
      </c>
      <c r="D832" s="795" t="s">
        <v>1472</v>
      </c>
      <c r="E832" s="770">
        <v>4028</v>
      </c>
      <c r="F832" s="770">
        <f t="shared" si="91"/>
        <v>3.5927272727272732</v>
      </c>
      <c r="G832" s="796">
        <f t="shared" si="93"/>
        <v>14471.505454545457</v>
      </c>
      <c r="H832" s="796">
        <f t="shared" si="94"/>
        <v>59411.318493090912</v>
      </c>
      <c r="I832" s="793" t="s">
        <v>1521</v>
      </c>
      <c r="J832" s="851">
        <f>VLOOKUP(I832,'Reajuste Atual'!$L$19:$M$25,2,FALSE)</f>
        <v>3.1053999999999999</v>
      </c>
      <c r="K832" s="195"/>
      <c r="L832" s="770">
        <v>4.9400000000000004</v>
      </c>
      <c r="M832" s="771">
        <f t="shared" si="92"/>
        <v>3.5285714285714289</v>
      </c>
      <c r="N832" s="771">
        <f t="shared" si="89"/>
        <v>3.5927272727272732</v>
      </c>
      <c r="O832" s="771">
        <f t="shared" si="90"/>
        <v>3.5927272727272732</v>
      </c>
    </row>
    <row r="834" spans="2:11">
      <c r="B834" s="48" t="s">
        <v>3586</v>
      </c>
      <c r="C834" s="1"/>
      <c r="E834" s="1"/>
      <c r="F834" s="1"/>
      <c r="G834" s="776"/>
      <c r="H834" s="1079"/>
      <c r="I834" s="1079"/>
      <c r="J834" s="1"/>
      <c r="K834" s="1"/>
    </row>
    <row r="835" spans="2:11">
      <c r="B835" s="777" t="s">
        <v>3587</v>
      </c>
      <c r="C835" s="1"/>
      <c r="D835" s="1"/>
      <c r="E835" s="1"/>
      <c r="F835" s="1"/>
      <c r="G835" s="776"/>
      <c r="H835" s="1079"/>
      <c r="I835" s="1079"/>
      <c r="J835" s="1"/>
      <c r="K835" s="1"/>
    </row>
    <row r="836" spans="2:11">
      <c r="B836" s="777" t="s">
        <v>3588</v>
      </c>
      <c r="G836" s="776"/>
      <c r="H836" s="1064"/>
      <c r="I836" s="1064"/>
    </row>
    <row r="837" spans="2:11">
      <c r="B837" s="777" t="s">
        <v>3589</v>
      </c>
      <c r="G837" s="778"/>
      <c r="H837" s="778"/>
      <c r="I837" s="778"/>
    </row>
    <row r="839" spans="2:11">
      <c r="B839" s="48" t="s">
        <v>3590</v>
      </c>
    </row>
  </sheetData>
  <autoFilter ref="B22:J832"/>
  <mergeCells count="12">
    <mergeCell ref="H836:I836"/>
    <mergeCell ref="B4:J4"/>
    <mergeCell ref="B5:J5"/>
    <mergeCell ref="B6:J6"/>
    <mergeCell ref="B8:J8"/>
    <mergeCell ref="J9:J11"/>
    <mergeCell ref="J12:J14"/>
    <mergeCell ref="J15:J19"/>
    <mergeCell ref="E21:G21"/>
    <mergeCell ref="I21:J21"/>
    <mergeCell ref="H834:I834"/>
    <mergeCell ref="H835:I835"/>
  </mergeCells>
  <printOptions horizontalCentered="1"/>
  <pageMargins left="0.39370078740157483" right="0.39370078740157483" top="0.39370078740157483" bottom="0.39370078740157483" header="0" footer="0"/>
  <pageSetup paperSize="9" scale="5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9"/>
  <sheetViews>
    <sheetView showGridLines="0" zoomScaleNormal="100" zoomScaleSheetLayoutView="100" workbookViewId="0">
      <selection activeCell="E6" sqref="E6:E7"/>
    </sheetView>
  </sheetViews>
  <sheetFormatPr defaultRowHeight="15"/>
  <cols>
    <col min="1" max="1" width="7.85546875" style="718" customWidth="1"/>
    <col min="2" max="2" width="49.140625" style="718" customWidth="1"/>
    <col min="3" max="3" width="10.7109375" style="718" customWidth="1"/>
    <col min="4" max="4" width="13.5703125" style="718" customWidth="1"/>
    <col min="5" max="5" width="13.42578125" style="718" customWidth="1"/>
    <col min="6" max="6" width="11.85546875" style="718" customWidth="1"/>
    <col min="7" max="7" width="14.28515625" style="718" customWidth="1"/>
    <col min="8" max="8" width="9.140625" style="439"/>
    <col min="9" max="9" width="20.42578125" style="439" customWidth="1"/>
    <col min="10" max="10" width="15.28515625" style="439" customWidth="1"/>
    <col min="11" max="11" width="6.7109375" style="439" customWidth="1"/>
    <col min="12" max="12" width="13.5703125" style="439" customWidth="1"/>
    <col min="13" max="256" width="9.140625" style="439"/>
    <col min="257" max="257" width="7.85546875" style="439" customWidth="1"/>
    <col min="258" max="258" width="56.7109375" style="439" customWidth="1"/>
    <col min="259" max="259" width="10.7109375" style="439" customWidth="1"/>
    <col min="260" max="260" width="13.5703125" style="439" customWidth="1"/>
    <col min="261" max="262" width="11.85546875" style="439" customWidth="1"/>
    <col min="263" max="263" width="13.140625" style="439" customWidth="1"/>
    <col min="264" max="264" width="9.140625" style="439"/>
    <col min="265" max="265" width="12.7109375" style="439" bestFit="1" customWidth="1"/>
    <col min="266" max="512" width="9.140625" style="439"/>
    <col min="513" max="513" width="7.85546875" style="439" customWidth="1"/>
    <col min="514" max="514" width="56.7109375" style="439" customWidth="1"/>
    <col min="515" max="515" width="10.7109375" style="439" customWidth="1"/>
    <col min="516" max="516" width="13.5703125" style="439" customWidth="1"/>
    <col min="517" max="518" width="11.85546875" style="439" customWidth="1"/>
    <col min="519" max="519" width="13.140625" style="439" customWidth="1"/>
    <col min="520" max="520" width="9.140625" style="439"/>
    <col min="521" max="521" width="12.7109375" style="439" bestFit="1" customWidth="1"/>
    <col min="522" max="768" width="9.140625" style="439"/>
    <col min="769" max="769" width="7.85546875" style="439" customWidth="1"/>
    <col min="770" max="770" width="56.7109375" style="439" customWidth="1"/>
    <col min="771" max="771" width="10.7109375" style="439" customWidth="1"/>
    <col min="772" max="772" width="13.5703125" style="439" customWidth="1"/>
    <col min="773" max="774" width="11.85546875" style="439" customWidth="1"/>
    <col min="775" max="775" width="13.140625" style="439" customWidth="1"/>
    <col min="776" max="776" width="9.140625" style="439"/>
    <col min="777" max="777" width="12.7109375" style="439" bestFit="1" customWidth="1"/>
    <col min="778" max="1024" width="9.140625" style="439"/>
    <col min="1025" max="1025" width="7.85546875" style="439" customWidth="1"/>
    <col min="1026" max="1026" width="56.7109375" style="439" customWidth="1"/>
    <col min="1027" max="1027" width="10.7109375" style="439" customWidth="1"/>
    <col min="1028" max="1028" width="13.5703125" style="439" customWidth="1"/>
    <col min="1029" max="1030" width="11.85546875" style="439" customWidth="1"/>
    <col min="1031" max="1031" width="13.140625" style="439" customWidth="1"/>
    <col min="1032" max="1032" width="9.140625" style="439"/>
    <col min="1033" max="1033" width="12.7109375" style="439" bestFit="1" customWidth="1"/>
    <col min="1034" max="1280" width="9.140625" style="439"/>
    <col min="1281" max="1281" width="7.85546875" style="439" customWidth="1"/>
    <col min="1282" max="1282" width="56.7109375" style="439" customWidth="1"/>
    <col min="1283" max="1283" width="10.7109375" style="439" customWidth="1"/>
    <col min="1284" max="1284" width="13.5703125" style="439" customWidth="1"/>
    <col min="1285" max="1286" width="11.85546875" style="439" customWidth="1"/>
    <col min="1287" max="1287" width="13.140625" style="439" customWidth="1"/>
    <col min="1288" max="1288" width="9.140625" style="439"/>
    <col min="1289" max="1289" width="12.7109375" style="439" bestFit="1" customWidth="1"/>
    <col min="1290" max="1536" width="9.140625" style="439"/>
    <col min="1537" max="1537" width="7.85546875" style="439" customWidth="1"/>
    <col min="1538" max="1538" width="56.7109375" style="439" customWidth="1"/>
    <col min="1539" max="1539" width="10.7109375" style="439" customWidth="1"/>
    <col min="1540" max="1540" width="13.5703125" style="439" customWidth="1"/>
    <col min="1541" max="1542" width="11.85546875" style="439" customWidth="1"/>
    <col min="1543" max="1543" width="13.140625" style="439" customWidth="1"/>
    <col min="1544" max="1544" width="9.140625" style="439"/>
    <col min="1545" max="1545" width="12.7109375" style="439" bestFit="1" customWidth="1"/>
    <col min="1546" max="1792" width="9.140625" style="439"/>
    <col min="1793" max="1793" width="7.85546875" style="439" customWidth="1"/>
    <col min="1794" max="1794" width="56.7109375" style="439" customWidth="1"/>
    <col min="1795" max="1795" width="10.7109375" style="439" customWidth="1"/>
    <col min="1796" max="1796" width="13.5703125" style="439" customWidth="1"/>
    <col min="1797" max="1798" width="11.85546875" style="439" customWidth="1"/>
    <col min="1799" max="1799" width="13.140625" style="439" customWidth="1"/>
    <col min="1800" max="1800" width="9.140625" style="439"/>
    <col min="1801" max="1801" width="12.7109375" style="439" bestFit="1" customWidth="1"/>
    <col min="1802" max="2048" width="9.140625" style="439"/>
    <col min="2049" max="2049" width="7.85546875" style="439" customWidth="1"/>
    <col min="2050" max="2050" width="56.7109375" style="439" customWidth="1"/>
    <col min="2051" max="2051" width="10.7109375" style="439" customWidth="1"/>
    <col min="2052" max="2052" width="13.5703125" style="439" customWidth="1"/>
    <col min="2053" max="2054" width="11.85546875" style="439" customWidth="1"/>
    <col min="2055" max="2055" width="13.140625" style="439" customWidth="1"/>
    <col min="2056" max="2056" width="9.140625" style="439"/>
    <col min="2057" max="2057" width="12.7109375" style="439" bestFit="1" customWidth="1"/>
    <col min="2058" max="2304" width="9.140625" style="439"/>
    <col min="2305" max="2305" width="7.85546875" style="439" customWidth="1"/>
    <col min="2306" max="2306" width="56.7109375" style="439" customWidth="1"/>
    <col min="2307" max="2307" width="10.7109375" style="439" customWidth="1"/>
    <col min="2308" max="2308" width="13.5703125" style="439" customWidth="1"/>
    <col min="2309" max="2310" width="11.85546875" style="439" customWidth="1"/>
    <col min="2311" max="2311" width="13.140625" style="439" customWidth="1"/>
    <col min="2312" max="2312" width="9.140625" style="439"/>
    <col min="2313" max="2313" width="12.7109375" style="439" bestFit="1" customWidth="1"/>
    <col min="2314" max="2560" width="9.140625" style="439"/>
    <col min="2561" max="2561" width="7.85546875" style="439" customWidth="1"/>
    <col min="2562" max="2562" width="56.7109375" style="439" customWidth="1"/>
    <col min="2563" max="2563" width="10.7109375" style="439" customWidth="1"/>
    <col min="2564" max="2564" width="13.5703125" style="439" customWidth="1"/>
    <col min="2565" max="2566" width="11.85546875" style="439" customWidth="1"/>
    <col min="2567" max="2567" width="13.140625" style="439" customWidth="1"/>
    <col min="2568" max="2568" width="9.140625" style="439"/>
    <col min="2569" max="2569" width="12.7109375" style="439" bestFit="1" customWidth="1"/>
    <col min="2570" max="2816" width="9.140625" style="439"/>
    <col min="2817" max="2817" width="7.85546875" style="439" customWidth="1"/>
    <col min="2818" max="2818" width="56.7109375" style="439" customWidth="1"/>
    <col min="2819" max="2819" width="10.7109375" style="439" customWidth="1"/>
    <col min="2820" max="2820" width="13.5703125" style="439" customWidth="1"/>
    <col min="2821" max="2822" width="11.85546875" style="439" customWidth="1"/>
    <col min="2823" max="2823" width="13.140625" style="439" customWidth="1"/>
    <col min="2824" max="2824" width="9.140625" style="439"/>
    <col min="2825" max="2825" width="12.7109375" style="439" bestFit="1" customWidth="1"/>
    <col min="2826" max="3072" width="9.140625" style="439"/>
    <col min="3073" max="3073" width="7.85546875" style="439" customWidth="1"/>
    <col min="3074" max="3074" width="56.7109375" style="439" customWidth="1"/>
    <col min="3075" max="3075" width="10.7109375" style="439" customWidth="1"/>
    <col min="3076" max="3076" width="13.5703125" style="439" customWidth="1"/>
    <col min="3077" max="3078" width="11.85546875" style="439" customWidth="1"/>
    <col min="3079" max="3079" width="13.140625" style="439" customWidth="1"/>
    <col min="3080" max="3080" width="9.140625" style="439"/>
    <col min="3081" max="3081" width="12.7109375" style="439" bestFit="1" customWidth="1"/>
    <col min="3082" max="3328" width="9.140625" style="439"/>
    <col min="3329" max="3329" width="7.85546875" style="439" customWidth="1"/>
    <col min="3330" max="3330" width="56.7109375" style="439" customWidth="1"/>
    <col min="3331" max="3331" width="10.7109375" style="439" customWidth="1"/>
    <col min="3332" max="3332" width="13.5703125" style="439" customWidth="1"/>
    <col min="3333" max="3334" width="11.85546875" style="439" customWidth="1"/>
    <col min="3335" max="3335" width="13.140625" style="439" customWidth="1"/>
    <col min="3336" max="3336" width="9.140625" style="439"/>
    <col min="3337" max="3337" width="12.7109375" style="439" bestFit="1" customWidth="1"/>
    <col min="3338" max="3584" width="9.140625" style="439"/>
    <col min="3585" max="3585" width="7.85546875" style="439" customWidth="1"/>
    <col min="3586" max="3586" width="56.7109375" style="439" customWidth="1"/>
    <col min="3587" max="3587" width="10.7109375" style="439" customWidth="1"/>
    <col min="3588" max="3588" width="13.5703125" style="439" customWidth="1"/>
    <col min="3589" max="3590" width="11.85546875" style="439" customWidth="1"/>
    <col min="3591" max="3591" width="13.140625" style="439" customWidth="1"/>
    <col min="3592" max="3592" width="9.140625" style="439"/>
    <col min="3593" max="3593" width="12.7109375" style="439" bestFit="1" customWidth="1"/>
    <col min="3594" max="3840" width="9.140625" style="439"/>
    <col min="3841" max="3841" width="7.85546875" style="439" customWidth="1"/>
    <col min="3842" max="3842" width="56.7109375" style="439" customWidth="1"/>
    <col min="3843" max="3843" width="10.7109375" style="439" customWidth="1"/>
    <col min="3844" max="3844" width="13.5703125" style="439" customWidth="1"/>
    <col min="3845" max="3846" width="11.85546875" style="439" customWidth="1"/>
    <col min="3847" max="3847" width="13.140625" style="439" customWidth="1"/>
    <col min="3848" max="3848" width="9.140625" style="439"/>
    <col min="3849" max="3849" width="12.7109375" style="439" bestFit="1" customWidth="1"/>
    <col min="3850" max="4096" width="9.140625" style="439"/>
    <col min="4097" max="4097" width="7.85546875" style="439" customWidth="1"/>
    <col min="4098" max="4098" width="56.7109375" style="439" customWidth="1"/>
    <col min="4099" max="4099" width="10.7109375" style="439" customWidth="1"/>
    <col min="4100" max="4100" width="13.5703125" style="439" customWidth="1"/>
    <col min="4101" max="4102" width="11.85546875" style="439" customWidth="1"/>
    <col min="4103" max="4103" width="13.140625" style="439" customWidth="1"/>
    <col min="4104" max="4104" width="9.140625" style="439"/>
    <col min="4105" max="4105" width="12.7109375" style="439" bestFit="1" customWidth="1"/>
    <col min="4106" max="4352" width="9.140625" style="439"/>
    <col min="4353" max="4353" width="7.85546875" style="439" customWidth="1"/>
    <col min="4354" max="4354" width="56.7109375" style="439" customWidth="1"/>
    <col min="4355" max="4355" width="10.7109375" style="439" customWidth="1"/>
    <col min="4356" max="4356" width="13.5703125" style="439" customWidth="1"/>
    <col min="4357" max="4358" width="11.85546875" style="439" customWidth="1"/>
    <col min="4359" max="4359" width="13.140625" style="439" customWidth="1"/>
    <col min="4360" max="4360" width="9.140625" style="439"/>
    <col min="4361" max="4361" width="12.7109375" style="439" bestFit="1" customWidth="1"/>
    <col min="4362" max="4608" width="9.140625" style="439"/>
    <col min="4609" max="4609" width="7.85546875" style="439" customWidth="1"/>
    <col min="4610" max="4610" width="56.7109375" style="439" customWidth="1"/>
    <col min="4611" max="4611" width="10.7109375" style="439" customWidth="1"/>
    <col min="4612" max="4612" width="13.5703125" style="439" customWidth="1"/>
    <col min="4613" max="4614" width="11.85546875" style="439" customWidth="1"/>
    <col min="4615" max="4615" width="13.140625" style="439" customWidth="1"/>
    <col min="4616" max="4616" width="9.140625" style="439"/>
    <col min="4617" max="4617" width="12.7109375" style="439" bestFit="1" customWidth="1"/>
    <col min="4618" max="4864" width="9.140625" style="439"/>
    <col min="4865" max="4865" width="7.85546875" style="439" customWidth="1"/>
    <col min="4866" max="4866" width="56.7109375" style="439" customWidth="1"/>
    <col min="4867" max="4867" width="10.7109375" style="439" customWidth="1"/>
    <col min="4868" max="4868" width="13.5703125" style="439" customWidth="1"/>
    <col min="4869" max="4870" width="11.85546875" style="439" customWidth="1"/>
    <col min="4871" max="4871" width="13.140625" style="439" customWidth="1"/>
    <col min="4872" max="4872" width="9.140625" style="439"/>
    <col min="4873" max="4873" width="12.7109375" style="439" bestFit="1" customWidth="1"/>
    <col min="4874" max="5120" width="9.140625" style="439"/>
    <col min="5121" max="5121" width="7.85546875" style="439" customWidth="1"/>
    <col min="5122" max="5122" width="56.7109375" style="439" customWidth="1"/>
    <col min="5123" max="5123" width="10.7109375" style="439" customWidth="1"/>
    <col min="5124" max="5124" width="13.5703125" style="439" customWidth="1"/>
    <col min="5125" max="5126" width="11.85546875" style="439" customWidth="1"/>
    <col min="5127" max="5127" width="13.140625" style="439" customWidth="1"/>
    <col min="5128" max="5128" width="9.140625" style="439"/>
    <col min="5129" max="5129" width="12.7109375" style="439" bestFit="1" customWidth="1"/>
    <col min="5130" max="5376" width="9.140625" style="439"/>
    <col min="5377" max="5377" width="7.85546875" style="439" customWidth="1"/>
    <col min="5378" max="5378" width="56.7109375" style="439" customWidth="1"/>
    <col min="5379" max="5379" width="10.7109375" style="439" customWidth="1"/>
    <col min="5380" max="5380" width="13.5703125" style="439" customWidth="1"/>
    <col min="5381" max="5382" width="11.85546875" style="439" customWidth="1"/>
    <col min="5383" max="5383" width="13.140625" style="439" customWidth="1"/>
    <col min="5384" max="5384" width="9.140625" style="439"/>
    <col min="5385" max="5385" width="12.7109375" style="439" bestFit="1" customWidth="1"/>
    <col min="5386" max="5632" width="9.140625" style="439"/>
    <col min="5633" max="5633" width="7.85546875" style="439" customWidth="1"/>
    <col min="5634" max="5634" width="56.7109375" style="439" customWidth="1"/>
    <col min="5635" max="5635" width="10.7109375" style="439" customWidth="1"/>
    <col min="5636" max="5636" width="13.5703125" style="439" customWidth="1"/>
    <col min="5637" max="5638" width="11.85546875" style="439" customWidth="1"/>
    <col min="5639" max="5639" width="13.140625" style="439" customWidth="1"/>
    <col min="5640" max="5640" width="9.140625" style="439"/>
    <col min="5641" max="5641" width="12.7109375" style="439" bestFit="1" customWidth="1"/>
    <col min="5642" max="5888" width="9.140625" style="439"/>
    <col min="5889" max="5889" width="7.85546875" style="439" customWidth="1"/>
    <col min="5890" max="5890" width="56.7109375" style="439" customWidth="1"/>
    <col min="5891" max="5891" width="10.7109375" style="439" customWidth="1"/>
    <col min="5892" max="5892" width="13.5703125" style="439" customWidth="1"/>
    <col min="5893" max="5894" width="11.85546875" style="439" customWidth="1"/>
    <col min="5895" max="5895" width="13.140625" style="439" customWidth="1"/>
    <col min="5896" max="5896" width="9.140625" style="439"/>
    <col min="5897" max="5897" width="12.7109375" style="439" bestFit="1" customWidth="1"/>
    <col min="5898" max="6144" width="9.140625" style="439"/>
    <col min="6145" max="6145" width="7.85546875" style="439" customWidth="1"/>
    <col min="6146" max="6146" width="56.7109375" style="439" customWidth="1"/>
    <col min="6147" max="6147" width="10.7109375" style="439" customWidth="1"/>
    <col min="6148" max="6148" width="13.5703125" style="439" customWidth="1"/>
    <col min="6149" max="6150" width="11.85546875" style="439" customWidth="1"/>
    <col min="6151" max="6151" width="13.140625" style="439" customWidth="1"/>
    <col min="6152" max="6152" width="9.140625" style="439"/>
    <col min="6153" max="6153" width="12.7109375" style="439" bestFit="1" customWidth="1"/>
    <col min="6154" max="6400" width="9.140625" style="439"/>
    <col min="6401" max="6401" width="7.85546875" style="439" customWidth="1"/>
    <col min="6402" max="6402" width="56.7109375" style="439" customWidth="1"/>
    <col min="6403" max="6403" width="10.7109375" style="439" customWidth="1"/>
    <col min="6404" max="6404" width="13.5703125" style="439" customWidth="1"/>
    <col min="6405" max="6406" width="11.85546875" style="439" customWidth="1"/>
    <col min="6407" max="6407" width="13.140625" style="439" customWidth="1"/>
    <col min="6408" max="6408" width="9.140625" style="439"/>
    <col min="6409" max="6409" width="12.7109375" style="439" bestFit="1" customWidth="1"/>
    <col min="6410" max="6656" width="9.140625" style="439"/>
    <col min="6657" max="6657" width="7.85546875" style="439" customWidth="1"/>
    <col min="6658" max="6658" width="56.7109375" style="439" customWidth="1"/>
    <col min="6659" max="6659" width="10.7109375" style="439" customWidth="1"/>
    <col min="6660" max="6660" width="13.5703125" style="439" customWidth="1"/>
    <col min="6661" max="6662" width="11.85546875" style="439" customWidth="1"/>
    <col min="6663" max="6663" width="13.140625" style="439" customWidth="1"/>
    <col min="6664" max="6664" width="9.140625" style="439"/>
    <col min="6665" max="6665" width="12.7109375" style="439" bestFit="1" customWidth="1"/>
    <col min="6666" max="6912" width="9.140625" style="439"/>
    <col min="6913" max="6913" width="7.85546875" style="439" customWidth="1"/>
    <col min="6914" max="6914" width="56.7109375" style="439" customWidth="1"/>
    <col min="6915" max="6915" width="10.7109375" style="439" customWidth="1"/>
    <col min="6916" max="6916" width="13.5703125" style="439" customWidth="1"/>
    <col min="6917" max="6918" width="11.85546875" style="439" customWidth="1"/>
    <col min="6919" max="6919" width="13.140625" style="439" customWidth="1"/>
    <col min="6920" max="6920" width="9.140625" style="439"/>
    <col min="6921" max="6921" width="12.7109375" style="439" bestFit="1" customWidth="1"/>
    <col min="6922" max="7168" width="9.140625" style="439"/>
    <col min="7169" max="7169" width="7.85546875" style="439" customWidth="1"/>
    <col min="7170" max="7170" width="56.7109375" style="439" customWidth="1"/>
    <col min="7171" max="7171" width="10.7109375" style="439" customWidth="1"/>
    <col min="7172" max="7172" width="13.5703125" style="439" customWidth="1"/>
    <col min="7173" max="7174" width="11.85546875" style="439" customWidth="1"/>
    <col min="7175" max="7175" width="13.140625" style="439" customWidth="1"/>
    <col min="7176" max="7176" width="9.140625" style="439"/>
    <col min="7177" max="7177" width="12.7109375" style="439" bestFit="1" customWidth="1"/>
    <col min="7178" max="7424" width="9.140625" style="439"/>
    <col min="7425" max="7425" width="7.85546875" style="439" customWidth="1"/>
    <col min="7426" max="7426" width="56.7109375" style="439" customWidth="1"/>
    <col min="7427" max="7427" width="10.7109375" style="439" customWidth="1"/>
    <col min="7428" max="7428" width="13.5703125" style="439" customWidth="1"/>
    <col min="7429" max="7430" width="11.85546875" style="439" customWidth="1"/>
    <col min="7431" max="7431" width="13.140625" style="439" customWidth="1"/>
    <col min="7432" max="7432" width="9.140625" style="439"/>
    <col min="7433" max="7433" width="12.7109375" style="439" bestFit="1" customWidth="1"/>
    <col min="7434" max="7680" width="9.140625" style="439"/>
    <col min="7681" max="7681" width="7.85546875" style="439" customWidth="1"/>
    <col min="7682" max="7682" width="56.7109375" style="439" customWidth="1"/>
    <col min="7683" max="7683" width="10.7109375" style="439" customWidth="1"/>
    <col min="7684" max="7684" width="13.5703125" style="439" customWidth="1"/>
    <col min="7685" max="7686" width="11.85546875" style="439" customWidth="1"/>
    <col min="7687" max="7687" width="13.140625" style="439" customWidth="1"/>
    <col min="7688" max="7688" width="9.140625" style="439"/>
    <col min="7689" max="7689" width="12.7109375" style="439" bestFit="1" customWidth="1"/>
    <col min="7690" max="7936" width="9.140625" style="439"/>
    <col min="7937" max="7937" width="7.85546875" style="439" customWidth="1"/>
    <col min="7938" max="7938" width="56.7109375" style="439" customWidth="1"/>
    <col min="7939" max="7939" width="10.7109375" style="439" customWidth="1"/>
    <col min="7940" max="7940" width="13.5703125" style="439" customWidth="1"/>
    <col min="7941" max="7942" width="11.85546875" style="439" customWidth="1"/>
    <col min="7943" max="7943" width="13.140625" style="439" customWidth="1"/>
    <col min="7944" max="7944" width="9.140625" style="439"/>
    <col min="7945" max="7945" width="12.7109375" style="439" bestFit="1" customWidth="1"/>
    <col min="7946" max="8192" width="9.140625" style="439"/>
    <col min="8193" max="8193" width="7.85546875" style="439" customWidth="1"/>
    <col min="8194" max="8194" width="56.7109375" style="439" customWidth="1"/>
    <col min="8195" max="8195" width="10.7109375" style="439" customWidth="1"/>
    <col min="8196" max="8196" width="13.5703125" style="439" customWidth="1"/>
    <col min="8197" max="8198" width="11.85546875" style="439" customWidth="1"/>
    <col min="8199" max="8199" width="13.140625" style="439" customWidth="1"/>
    <col min="8200" max="8200" width="9.140625" style="439"/>
    <col min="8201" max="8201" width="12.7109375" style="439" bestFit="1" customWidth="1"/>
    <col min="8202" max="8448" width="9.140625" style="439"/>
    <col min="8449" max="8449" width="7.85546875" style="439" customWidth="1"/>
    <col min="8450" max="8450" width="56.7109375" style="439" customWidth="1"/>
    <col min="8451" max="8451" width="10.7109375" style="439" customWidth="1"/>
    <col min="8452" max="8452" width="13.5703125" style="439" customWidth="1"/>
    <col min="8453" max="8454" width="11.85546875" style="439" customWidth="1"/>
    <col min="8455" max="8455" width="13.140625" style="439" customWidth="1"/>
    <col min="8456" max="8456" width="9.140625" style="439"/>
    <col min="8457" max="8457" width="12.7109375" style="439" bestFit="1" customWidth="1"/>
    <col min="8458" max="8704" width="9.140625" style="439"/>
    <col min="8705" max="8705" width="7.85546875" style="439" customWidth="1"/>
    <col min="8706" max="8706" width="56.7109375" style="439" customWidth="1"/>
    <col min="8707" max="8707" width="10.7109375" style="439" customWidth="1"/>
    <col min="8708" max="8708" width="13.5703125" style="439" customWidth="1"/>
    <col min="8709" max="8710" width="11.85546875" style="439" customWidth="1"/>
    <col min="8711" max="8711" width="13.140625" style="439" customWidth="1"/>
    <col min="8712" max="8712" width="9.140625" style="439"/>
    <col min="8713" max="8713" width="12.7109375" style="439" bestFit="1" customWidth="1"/>
    <col min="8714" max="8960" width="9.140625" style="439"/>
    <col min="8961" max="8961" width="7.85546875" style="439" customWidth="1"/>
    <col min="8962" max="8962" width="56.7109375" style="439" customWidth="1"/>
    <col min="8963" max="8963" width="10.7109375" style="439" customWidth="1"/>
    <col min="8964" max="8964" width="13.5703125" style="439" customWidth="1"/>
    <col min="8965" max="8966" width="11.85546875" style="439" customWidth="1"/>
    <col min="8967" max="8967" width="13.140625" style="439" customWidth="1"/>
    <col min="8968" max="8968" width="9.140625" style="439"/>
    <col min="8969" max="8969" width="12.7109375" style="439" bestFit="1" customWidth="1"/>
    <col min="8970" max="9216" width="9.140625" style="439"/>
    <col min="9217" max="9217" width="7.85546875" style="439" customWidth="1"/>
    <col min="9218" max="9218" width="56.7109375" style="439" customWidth="1"/>
    <col min="9219" max="9219" width="10.7109375" style="439" customWidth="1"/>
    <col min="9220" max="9220" width="13.5703125" style="439" customWidth="1"/>
    <col min="9221" max="9222" width="11.85546875" style="439" customWidth="1"/>
    <col min="9223" max="9223" width="13.140625" style="439" customWidth="1"/>
    <col min="9224" max="9224" width="9.140625" style="439"/>
    <col min="9225" max="9225" width="12.7109375" style="439" bestFit="1" customWidth="1"/>
    <col min="9226" max="9472" width="9.140625" style="439"/>
    <col min="9473" max="9473" width="7.85546875" style="439" customWidth="1"/>
    <col min="9474" max="9474" width="56.7109375" style="439" customWidth="1"/>
    <col min="9475" max="9475" width="10.7109375" style="439" customWidth="1"/>
    <col min="9476" max="9476" width="13.5703125" style="439" customWidth="1"/>
    <col min="9477" max="9478" width="11.85546875" style="439" customWidth="1"/>
    <col min="9479" max="9479" width="13.140625" style="439" customWidth="1"/>
    <col min="9480" max="9480" width="9.140625" style="439"/>
    <col min="9481" max="9481" width="12.7109375" style="439" bestFit="1" customWidth="1"/>
    <col min="9482" max="9728" width="9.140625" style="439"/>
    <col min="9729" max="9729" width="7.85546875" style="439" customWidth="1"/>
    <col min="9730" max="9730" width="56.7109375" style="439" customWidth="1"/>
    <col min="9731" max="9731" width="10.7109375" style="439" customWidth="1"/>
    <col min="9732" max="9732" width="13.5703125" style="439" customWidth="1"/>
    <col min="9733" max="9734" width="11.85546875" style="439" customWidth="1"/>
    <col min="9735" max="9735" width="13.140625" style="439" customWidth="1"/>
    <col min="9736" max="9736" width="9.140625" style="439"/>
    <col min="9737" max="9737" width="12.7109375" style="439" bestFit="1" customWidth="1"/>
    <col min="9738" max="9984" width="9.140625" style="439"/>
    <col min="9985" max="9985" width="7.85546875" style="439" customWidth="1"/>
    <col min="9986" max="9986" width="56.7109375" style="439" customWidth="1"/>
    <col min="9987" max="9987" width="10.7109375" style="439" customWidth="1"/>
    <col min="9988" max="9988" width="13.5703125" style="439" customWidth="1"/>
    <col min="9989" max="9990" width="11.85546875" style="439" customWidth="1"/>
    <col min="9991" max="9991" width="13.140625" style="439" customWidth="1"/>
    <col min="9992" max="9992" width="9.140625" style="439"/>
    <col min="9993" max="9993" width="12.7109375" style="439" bestFit="1" customWidth="1"/>
    <col min="9994" max="10240" width="9.140625" style="439"/>
    <col min="10241" max="10241" width="7.85546875" style="439" customWidth="1"/>
    <col min="10242" max="10242" width="56.7109375" style="439" customWidth="1"/>
    <col min="10243" max="10243" width="10.7109375" style="439" customWidth="1"/>
    <col min="10244" max="10244" width="13.5703125" style="439" customWidth="1"/>
    <col min="10245" max="10246" width="11.85546875" style="439" customWidth="1"/>
    <col min="10247" max="10247" width="13.140625" style="439" customWidth="1"/>
    <col min="10248" max="10248" width="9.140625" style="439"/>
    <col min="10249" max="10249" width="12.7109375" style="439" bestFit="1" customWidth="1"/>
    <col min="10250" max="10496" width="9.140625" style="439"/>
    <col min="10497" max="10497" width="7.85546875" style="439" customWidth="1"/>
    <col min="10498" max="10498" width="56.7109375" style="439" customWidth="1"/>
    <col min="10499" max="10499" width="10.7109375" style="439" customWidth="1"/>
    <col min="10500" max="10500" width="13.5703125" style="439" customWidth="1"/>
    <col min="10501" max="10502" width="11.85546875" style="439" customWidth="1"/>
    <col min="10503" max="10503" width="13.140625" style="439" customWidth="1"/>
    <col min="10504" max="10504" width="9.140625" style="439"/>
    <col min="10505" max="10505" width="12.7109375" style="439" bestFit="1" customWidth="1"/>
    <col min="10506" max="10752" width="9.140625" style="439"/>
    <col min="10753" max="10753" width="7.85546875" style="439" customWidth="1"/>
    <col min="10754" max="10754" width="56.7109375" style="439" customWidth="1"/>
    <col min="10755" max="10755" width="10.7109375" style="439" customWidth="1"/>
    <col min="10756" max="10756" width="13.5703125" style="439" customWidth="1"/>
    <col min="10757" max="10758" width="11.85546875" style="439" customWidth="1"/>
    <col min="10759" max="10759" width="13.140625" style="439" customWidth="1"/>
    <col min="10760" max="10760" width="9.140625" style="439"/>
    <col min="10761" max="10761" width="12.7109375" style="439" bestFit="1" customWidth="1"/>
    <col min="10762" max="11008" width="9.140625" style="439"/>
    <col min="11009" max="11009" width="7.85546875" style="439" customWidth="1"/>
    <col min="11010" max="11010" width="56.7109375" style="439" customWidth="1"/>
    <col min="11011" max="11011" width="10.7109375" style="439" customWidth="1"/>
    <col min="11012" max="11012" width="13.5703125" style="439" customWidth="1"/>
    <col min="11013" max="11014" width="11.85546875" style="439" customWidth="1"/>
    <col min="11015" max="11015" width="13.140625" style="439" customWidth="1"/>
    <col min="11016" max="11016" width="9.140625" style="439"/>
    <col min="11017" max="11017" width="12.7109375" style="439" bestFit="1" customWidth="1"/>
    <col min="11018" max="11264" width="9.140625" style="439"/>
    <col min="11265" max="11265" width="7.85546875" style="439" customWidth="1"/>
    <col min="11266" max="11266" width="56.7109375" style="439" customWidth="1"/>
    <col min="11267" max="11267" width="10.7109375" style="439" customWidth="1"/>
    <col min="11268" max="11268" width="13.5703125" style="439" customWidth="1"/>
    <col min="11269" max="11270" width="11.85546875" style="439" customWidth="1"/>
    <col min="11271" max="11271" width="13.140625" style="439" customWidth="1"/>
    <col min="11272" max="11272" width="9.140625" style="439"/>
    <col min="11273" max="11273" width="12.7109375" style="439" bestFit="1" customWidth="1"/>
    <col min="11274" max="11520" width="9.140625" style="439"/>
    <col min="11521" max="11521" width="7.85546875" style="439" customWidth="1"/>
    <col min="11522" max="11522" width="56.7109375" style="439" customWidth="1"/>
    <col min="11523" max="11523" width="10.7109375" style="439" customWidth="1"/>
    <col min="11524" max="11524" width="13.5703125" style="439" customWidth="1"/>
    <col min="11525" max="11526" width="11.85546875" style="439" customWidth="1"/>
    <col min="11527" max="11527" width="13.140625" style="439" customWidth="1"/>
    <col min="11528" max="11528" width="9.140625" style="439"/>
    <col min="11529" max="11529" width="12.7109375" style="439" bestFit="1" customWidth="1"/>
    <col min="11530" max="11776" width="9.140625" style="439"/>
    <col min="11777" max="11777" width="7.85546875" style="439" customWidth="1"/>
    <col min="11778" max="11778" width="56.7109375" style="439" customWidth="1"/>
    <col min="11779" max="11779" width="10.7109375" style="439" customWidth="1"/>
    <col min="11780" max="11780" width="13.5703125" style="439" customWidth="1"/>
    <col min="11781" max="11782" width="11.85546875" style="439" customWidth="1"/>
    <col min="11783" max="11783" width="13.140625" style="439" customWidth="1"/>
    <col min="11784" max="11784" width="9.140625" style="439"/>
    <col min="11785" max="11785" width="12.7109375" style="439" bestFit="1" customWidth="1"/>
    <col min="11786" max="12032" width="9.140625" style="439"/>
    <col min="12033" max="12033" width="7.85546875" style="439" customWidth="1"/>
    <col min="12034" max="12034" width="56.7109375" style="439" customWidth="1"/>
    <col min="12035" max="12035" width="10.7109375" style="439" customWidth="1"/>
    <col min="12036" max="12036" width="13.5703125" style="439" customWidth="1"/>
    <col min="12037" max="12038" width="11.85546875" style="439" customWidth="1"/>
    <col min="12039" max="12039" width="13.140625" style="439" customWidth="1"/>
    <col min="12040" max="12040" width="9.140625" style="439"/>
    <col min="12041" max="12041" width="12.7109375" style="439" bestFit="1" customWidth="1"/>
    <col min="12042" max="12288" width="9.140625" style="439"/>
    <col min="12289" max="12289" width="7.85546875" style="439" customWidth="1"/>
    <col min="12290" max="12290" width="56.7109375" style="439" customWidth="1"/>
    <col min="12291" max="12291" width="10.7109375" style="439" customWidth="1"/>
    <col min="12292" max="12292" width="13.5703125" style="439" customWidth="1"/>
    <col min="12293" max="12294" width="11.85546875" style="439" customWidth="1"/>
    <col min="12295" max="12295" width="13.140625" style="439" customWidth="1"/>
    <col min="12296" max="12296" width="9.140625" style="439"/>
    <col min="12297" max="12297" width="12.7109375" style="439" bestFit="1" customWidth="1"/>
    <col min="12298" max="12544" width="9.140625" style="439"/>
    <col min="12545" max="12545" width="7.85546875" style="439" customWidth="1"/>
    <col min="12546" max="12546" width="56.7109375" style="439" customWidth="1"/>
    <col min="12547" max="12547" width="10.7109375" style="439" customWidth="1"/>
    <col min="12548" max="12548" width="13.5703125" style="439" customWidth="1"/>
    <col min="12549" max="12550" width="11.85546875" style="439" customWidth="1"/>
    <col min="12551" max="12551" width="13.140625" style="439" customWidth="1"/>
    <col min="12552" max="12552" width="9.140625" style="439"/>
    <col min="12553" max="12553" width="12.7109375" style="439" bestFit="1" customWidth="1"/>
    <col min="12554" max="12800" width="9.140625" style="439"/>
    <col min="12801" max="12801" width="7.85546875" style="439" customWidth="1"/>
    <col min="12802" max="12802" width="56.7109375" style="439" customWidth="1"/>
    <col min="12803" max="12803" width="10.7109375" style="439" customWidth="1"/>
    <col min="12804" max="12804" width="13.5703125" style="439" customWidth="1"/>
    <col min="12805" max="12806" width="11.85546875" style="439" customWidth="1"/>
    <col min="12807" max="12807" width="13.140625" style="439" customWidth="1"/>
    <col min="12808" max="12808" width="9.140625" style="439"/>
    <col min="12809" max="12809" width="12.7109375" style="439" bestFit="1" customWidth="1"/>
    <col min="12810" max="13056" width="9.140625" style="439"/>
    <col min="13057" max="13057" width="7.85546875" style="439" customWidth="1"/>
    <col min="13058" max="13058" width="56.7109375" style="439" customWidth="1"/>
    <col min="13059" max="13059" width="10.7109375" style="439" customWidth="1"/>
    <col min="13060" max="13060" width="13.5703125" style="439" customWidth="1"/>
    <col min="13061" max="13062" width="11.85546875" style="439" customWidth="1"/>
    <col min="13063" max="13063" width="13.140625" style="439" customWidth="1"/>
    <col min="13064" max="13064" width="9.140625" style="439"/>
    <col min="13065" max="13065" width="12.7109375" style="439" bestFit="1" customWidth="1"/>
    <col min="13066" max="13312" width="9.140625" style="439"/>
    <col min="13313" max="13313" width="7.85546875" style="439" customWidth="1"/>
    <col min="13314" max="13314" width="56.7109375" style="439" customWidth="1"/>
    <col min="13315" max="13315" width="10.7109375" style="439" customWidth="1"/>
    <col min="13316" max="13316" width="13.5703125" style="439" customWidth="1"/>
    <col min="13317" max="13318" width="11.85546875" style="439" customWidth="1"/>
    <col min="13319" max="13319" width="13.140625" style="439" customWidth="1"/>
    <col min="13320" max="13320" width="9.140625" style="439"/>
    <col min="13321" max="13321" width="12.7109375" style="439" bestFit="1" customWidth="1"/>
    <col min="13322" max="13568" width="9.140625" style="439"/>
    <col min="13569" max="13569" width="7.85546875" style="439" customWidth="1"/>
    <col min="13570" max="13570" width="56.7109375" style="439" customWidth="1"/>
    <col min="13571" max="13571" width="10.7109375" style="439" customWidth="1"/>
    <col min="13572" max="13572" width="13.5703125" style="439" customWidth="1"/>
    <col min="13573" max="13574" width="11.85546875" style="439" customWidth="1"/>
    <col min="13575" max="13575" width="13.140625" style="439" customWidth="1"/>
    <col min="13576" max="13576" width="9.140625" style="439"/>
    <col min="13577" max="13577" width="12.7109375" style="439" bestFit="1" customWidth="1"/>
    <col min="13578" max="13824" width="9.140625" style="439"/>
    <col min="13825" max="13825" width="7.85546875" style="439" customWidth="1"/>
    <col min="13826" max="13826" width="56.7109375" style="439" customWidth="1"/>
    <col min="13827" max="13827" width="10.7109375" style="439" customWidth="1"/>
    <col min="13828" max="13828" width="13.5703125" style="439" customWidth="1"/>
    <col min="13829" max="13830" width="11.85546875" style="439" customWidth="1"/>
    <col min="13831" max="13831" width="13.140625" style="439" customWidth="1"/>
    <col min="13832" max="13832" width="9.140625" style="439"/>
    <col min="13833" max="13833" width="12.7109375" style="439" bestFit="1" customWidth="1"/>
    <col min="13834" max="14080" width="9.140625" style="439"/>
    <col min="14081" max="14081" width="7.85546875" style="439" customWidth="1"/>
    <col min="14082" max="14082" width="56.7109375" style="439" customWidth="1"/>
    <col min="14083" max="14083" width="10.7109375" style="439" customWidth="1"/>
    <col min="14084" max="14084" width="13.5703125" style="439" customWidth="1"/>
    <col min="14085" max="14086" width="11.85546875" style="439" customWidth="1"/>
    <col min="14087" max="14087" width="13.140625" style="439" customWidth="1"/>
    <col min="14088" max="14088" width="9.140625" style="439"/>
    <col min="14089" max="14089" width="12.7109375" style="439" bestFit="1" customWidth="1"/>
    <col min="14090" max="14336" width="9.140625" style="439"/>
    <col min="14337" max="14337" width="7.85546875" style="439" customWidth="1"/>
    <col min="14338" max="14338" width="56.7109375" style="439" customWidth="1"/>
    <col min="14339" max="14339" width="10.7109375" style="439" customWidth="1"/>
    <col min="14340" max="14340" width="13.5703125" style="439" customWidth="1"/>
    <col min="14341" max="14342" width="11.85546875" style="439" customWidth="1"/>
    <col min="14343" max="14343" width="13.140625" style="439" customWidth="1"/>
    <col min="14344" max="14344" width="9.140625" style="439"/>
    <col min="14345" max="14345" width="12.7109375" style="439" bestFit="1" customWidth="1"/>
    <col min="14346" max="14592" width="9.140625" style="439"/>
    <col min="14593" max="14593" width="7.85546875" style="439" customWidth="1"/>
    <col min="14594" max="14594" width="56.7109375" style="439" customWidth="1"/>
    <col min="14595" max="14595" width="10.7109375" style="439" customWidth="1"/>
    <col min="14596" max="14596" width="13.5703125" style="439" customWidth="1"/>
    <col min="14597" max="14598" width="11.85546875" style="439" customWidth="1"/>
    <col min="14599" max="14599" width="13.140625" style="439" customWidth="1"/>
    <col min="14600" max="14600" width="9.140625" style="439"/>
    <col min="14601" max="14601" width="12.7109375" style="439" bestFit="1" customWidth="1"/>
    <col min="14602" max="14848" width="9.140625" style="439"/>
    <col min="14849" max="14849" width="7.85546875" style="439" customWidth="1"/>
    <col min="14850" max="14850" width="56.7109375" style="439" customWidth="1"/>
    <col min="14851" max="14851" width="10.7109375" style="439" customWidth="1"/>
    <col min="14852" max="14852" width="13.5703125" style="439" customWidth="1"/>
    <col min="14853" max="14854" width="11.85546875" style="439" customWidth="1"/>
    <col min="14855" max="14855" width="13.140625" style="439" customWidth="1"/>
    <col min="14856" max="14856" width="9.140625" style="439"/>
    <col min="14857" max="14857" width="12.7109375" style="439" bestFit="1" customWidth="1"/>
    <col min="14858" max="15104" width="9.140625" style="439"/>
    <col min="15105" max="15105" width="7.85546875" style="439" customWidth="1"/>
    <col min="15106" max="15106" width="56.7109375" style="439" customWidth="1"/>
    <col min="15107" max="15107" width="10.7109375" style="439" customWidth="1"/>
    <col min="15108" max="15108" width="13.5703125" style="439" customWidth="1"/>
    <col min="15109" max="15110" width="11.85546875" style="439" customWidth="1"/>
    <col min="15111" max="15111" width="13.140625" style="439" customWidth="1"/>
    <col min="15112" max="15112" width="9.140625" style="439"/>
    <col min="15113" max="15113" width="12.7109375" style="439" bestFit="1" customWidth="1"/>
    <col min="15114" max="15360" width="9.140625" style="439"/>
    <col min="15361" max="15361" width="7.85546875" style="439" customWidth="1"/>
    <col min="15362" max="15362" width="56.7109375" style="439" customWidth="1"/>
    <col min="15363" max="15363" width="10.7109375" style="439" customWidth="1"/>
    <col min="15364" max="15364" width="13.5703125" style="439" customWidth="1"/>
    <col min="15365" max="15366" width="11.85546875" style="439" customWidth="1"/>
    <col min="15367" max="15367" width="13.140625" style="439" customWidth="1"/>
    <col min="15368" max="15368" width="9.140625" style="439"/>
    <col min="15369" max="15369" width="12.7109375" style="439" bestFit="1" customWidth="1"/>
    <col min="15370" max="15616" width="9.140625" style="439"/>
    <col min="15617" max="15617" width="7.85546875" style="439" customWidth="1"/>
    <col min="15618" max="15618" width="56.7109375" style="439" customWidth="1"/>
    <col min="15619" max="15619" width="10.7109375" style="439" customWidth="1"/>
    <col min="15620" max="15620" width="13.5703125" style="439" customWidth="1"/>
    <col min="15621" max="15622" width="11.85546875" style="439" customWidth="1"/>
    <col min="15623" max="15623" width="13.140625" style="439" customWidth="1"/>
    <col min="15624" max="15624" width="9.140625" style="439"/>
    <col min="15625" max="15625" width="12.7109375" style="439" bestFit="1" customWidth="1"/>
    <col min="15626" max="15872" width="9.140625" style="439"/>
    <col min="15873" max="15873" width="7.85546875" style="439" customWidth="1"/>
    <col min="15874" max="15874" width="56.7109375" style="439" customWidth="1"/>
    <col min="15875" max="15875" width="10.7109375" style="439" customWidth="1"/>
    <col min="15876" max="15876" width="13.5703125" style="439" customWidth="1"/>
    <col min="15877" max="15878" width="11.85546875" style="439" customWidth="1"/>
    <col min="15879" max="15879" width="13.140625" style="439" customWidth="1"/>
    <col min="15880" max="15880" width="9.140625" style="439"/>
    <col min="15881" max="15881" width="12.7109375" style="439" bestFit="1" customWidth="1"/>
    <col min="15882" max="16128" width="9.140625" style="439"/>
    <col min="16129" max="16129" width="7.85546875" style="439" customWidth="1"/>
    <col min="16130" max="16130" width="56.7109375" style="439" customWidth="1"/>
    <col min="16131" max="16131" width="10.7109375" style="439" customWidth="1"/>
    <col min="16132" max="16132" width="13.5703125" style="439" customWidth="1"/>
    <col min="16133" max="16134" width="11.85546875" style="439" customWidth="1"/>
    <col min="16135" max="16135" width="13.140625" style="439" customWidth="1"/>
    <col min="16136" max="16136" width="9.140625" style="439"/>
    <col min="16137" max="16137" width="12.7109375" style="439" bestFit="1" customWidth="1"/>
    <col min="16138" max="16384" width="9.140625" style="439"/>
  </cols>
  <sheetData>
    <row r="1" spans="1:10">
      <c r="A1" s="1058" t="s">
        <v>3527</v>
      </c>
      <c r="B1" s="1058"/>
      <c r="C1" s="1058"/>
      <c r="D1" s="1058"/>
      <c r="E1" s="1058"/>
      <c r="F1" s="1058"/>
      <c r="G1" s="1058"/>
    </row>
    <row r="2" spans="1:10">
      <c r="A2" s="1059" t="s">
        <v>3528</v>
      </c>
      <c r="B2" s="1059"/>
      <c r="C2" s="1059"/>
      <c r="D2" s="1059"/>
      <c r="E2" s="1059"/>
      <c r="F2" s="1059"/>
      <c r="G2" s="1059"/>
      <c r="H2" s="716"/>
    </row>
    <row r="3" spans="1:10" ht="14.25">
      <c r="A3" s="717"/>
      <c r="B3" s="717"/>
      <c r="C3" s="717"/>
      <c r="D3" s="717"/>
      <c r="E3" s="717"/>
      <c r="F3" s="717"/>
      <c r="G3" s="717"/>
      <c r="J3" s="712" t="s">
        <v>3309</v>
      </c>
    </row>
    <row r="4" spans="1:10" ht="15" customHeight="1">
      <c r="A4" s="1062" t="s">
        <v>3529</v>
      </c>
      <c r="B4" s="1062"/>
      <c r="C4" s="1062"/>
      <c r="D4" s="1062"/>
      <c r="E4" s="1062"/>
      <c r="F4" s="1062"/>
      <c r="G4" s="1062"/>
    </row>
    <row r="5" spans="1:10" ht="9.75" customHeight="1">
      <c r="A5" s="948"/>
      <c r="B5" s="948"/>
      <c r="C5" s="948"/>
      <c r="D5" s="948"/>
      <c r="E5" s="948"/>
      <c r="F5" s="948"/>
      <c r="G5" s="948"/>
    </row>
    <row r="6" spans="1:10" ht="18.75" customHeight="1">
      <c r="A6" s="948"/>
      <c r="B6" s="948"/>
      <c r="C6" s="948"/>
      <c r="D6" s="948"/>
      <c r="E6" s="1063" t="s">
        <v>3309</v>
      </c>
      <c r="F6" s="951" t="s">
        <v>3526</v>
      </c>
      <c r="G6" s="957">
        <v>0.2462</v>
      </c>
      <c r="J6" s="956"/>
    </row>
    <row r="7" spans="1:10" ht="18.75" customHeight="1">
      <c r="A7" s="947"/>
      <c r="B7" s="947"/>
      <c r="C7" s="947"/>
      <c r="D7" s="947"/>
      <c r="E7" s="1063"/>
      <c r="F7" s="958" t="s">
        <v>3454</v>
      </c>
      <c r="G7" s="957">
        <v>0.15279999999999999</v>
      </c>
      <c r="J7" s="956"/>
    </row>
    <row r="8" spans="1:10" ht="8.25" customHeight="1">
      <c r="D8" s="719"/>
    </row>
    <row r="9" spans="1:10" ht="12.75">
      <c r="A9" s="1060" t="s">
        <v>0</v>
      </c>
      <c r="B9" s="1060" t="s">
        <v>1489</v>
      </c>
      <c r="C9" s="1060" t="s">
        <v>3246</v>
      </c>
      <c r="D9" s="1060" t="s">
        <v>3247</v>
      </c>
      <c r="E9" s="1060" t="s">
        <v>3530</v>
      </c>
      <c r="F9" s="1060"/>
      <c r="G9" s="1061"/>
    </row>
    <row r="10" spans="1:10" ht="12.75">
      <c r="A10" s="1060"/>
      <c r="B10" s="1060"/>
      <c r="C10" s="1060"/>
      <c r="D10" s="1060"/>
      <c r="E10" s="720" t="s">
        <v>3531</v>
      </c>
      <c r="F10" s="720" t="s">
        <v>3309</v>
      </c>
      <c r="G10" s="720" t="s">
        <v>3532</v>
      </c>
    </row>
    <row r="11" spans="1:10" ht="12.75">
      <c r="A11" s="721"/>
      <c r="B11" s="722" t="s">
        <v>3533</v>
      </c>
      <c r="C11" s="721"/>
      <c r="D11" s="721"/>
      <c r="E11" s="722"/>
      <c r="F11" s="722"/>
      <c r="G11" s="722"/>
    </row>
    <row r="12" spans="1:10" ht="12.75">
      <c r="A12" s="721"/>
      <c r="B12" s="722"/>
      <c r="C12" s="721"/>
      <c r="D12" s="721"/>
      <c r="E12" s="722"/>
      <c r="F12" s="722"/>
      <c r="G12" s="722"/>
    </row>
    <row r="13" spans="1:10" ht="12.75">
      <c r="A13" s="780" t="s">
        <v>3061</v>
      </c>
      <c r="B13" s="725" t="s">
        <v>3166</v>
      </c>
      <c r="C13" s="726"/>
      <c r="D13" s="727"/>
      <c r="E13" s="723">
        <f>E14+E15+E16+E22+E28+E29</f>
        <v>51512609.035008803</v>
      </c>
      <c r="F13" s="729"/>
      <c r="G13" s="723">
        <f>G14+G15+G16+G22+G28+G29</f>
        <v>60665693.329256825</v>
      </c>
    </row>
    <row r="14" spans="1:10" ht="12.75">
      <c r="A14" s="781" t="s">
        <v>285</v>
      </c>
      <c r="B14" s="737" t="s">
        <v>1407</v>
      </c>
      <c r="C14" s="724" t="s">
        <v>3536</v>
      </c>
      <c r="D14" s="797">
        <v>1</v>
      </c>
      <c r="E14" s="728">
        <f>'Custo EBSs'!H24</f>
        <v>13181332.012629826</v>
      </c>
      <c r="F14" s="783">
        <f>$G$6</f>
        <v>0.2462</v>
      </c>
      <c r="G14" s="728">
        <f t="shared" ref="G14:G19" si="0">D14*((E14*F14)+E14)</f>
        <v>16426575.954139289</v>
      </c>
    </row>
    <row r="15" spans="1:10" ht="12.75">
      <c r="A15" s="781" t="s">
        <v>585</v>
      </c>
      <c r="B15" s="798" t="s">
        <v>3600</v>
      </c>
      <c r="C15" s="724" t="s">
        <v>3536</v>
      </c>
      <c r="D15" s="797">
        <v>1</v>
      </c>
      <c r="E15" s="728">
        <f>'Custo EBSs'!H334</f>
        <v>36018791.296938375</v>
      </c>
      <c r="F15" s="783">
        <f>$G$7</f>
        <v>0.15279999999999999</v>
      </c>
      <c r="G15" s="728">
        <f t="shared" si="0"/>
        <v>41522462.60711056</v>
      </c>
    </row>
    <row r="16" spans="1:10" ht="12.75">
      <c r="A16" s="781" t="s">
        <v>2857</v>
      </c>
      <c r="B16" s="798" t="s">
        <v>2858</v>
      </c>
      <c r="C16" s="724"/>
      <c r="D16" s="797"/>
      <c r="E16" s="728">
        <f>SUM(E17:E21)</f>
        <v>348748.86216857145</v>
      </c>
      <c r="F16" s="783"/>
      <c r="G16" s="728">
        <f>SUM(G17:G21)</f>
        <v>434610.83203447366</v>
      </c>
    </row>
    <row r="17" spans="1:9" ht="12.75">
      <c r="A17" s="730" t="s">
        <v>2859</v>
      </c>
      <c r="B17" s="736" t="s">
        <v>2860</v>
      </c>
      <c r="C17" s="732" t="s">
        <v>3536</v>
      </c>
      <c r="D17" s="733">
        <v>1</v>
      </c>
      <c r="E17" s="734">
        <f>'Custo EBSs'!H674</f>
        <v>12466.105748571426</v>
      </c>
      <c r="F17" s="735">
        <f>$G$6</f>
        <v>0.2462</v>
      </c>
      <c r="G17" s="734">
        <f t="shared" si="0"/>
        <v>15535.260983869712</v>
      </c>
    </row>
    <row r="18" spans="1:9" ht="12.75">
      <c r="A18" s="730" t="s">
        <v>2864</v>
      </c>
      <c r="B18" s="736" t="s">
        <v>2774</v>
      </c>
      <c r="C18" s="732" t="s">
        <v>3536</v>
      </c>
      <c r="D18" s="733">
        <v>1</v>
      </c>
      <c r="E18" s="734">
        <f>'Custo EBSs'!H678</f>
        <v>50107.755917142844</v>
      </c>
      <c r="F18" s="735">
        <f>$G$6</f>
        <v>0.2462</v>
      </c>
      <c r="G18" s="734">
        <f t="shared" si="0"/>
        <v>62444.285423943409</v>
      </c>
    </row>
    <row r="19" spans="1:9" ht="12.75">
      <c r="A19" s="732" t="s">
        <v>2883</v>
      </c>
      <c r="B19" s="731" t="s">
        <v>3601</v>
      </c>
      <c r="C19" s="732" t="s">
        <v>3536</v>
      </c>
      <c r="D19" s="733">
        <v>1</v>
      </c>
      <c r="E19" s="734">
        <f>'Custo EBSs'!H692</f>
        <v>0</v>
      </c>
      <c r="F19" s="735">
        <f>$G$6</f>
        <v>0.2462</v>
      </c>
      <c r="G19" s="734">
        <f t="shared" si="0"/>
        <v>0</v>
      </c>
    </row>
    <row r="20" spans="1:9" ht="12.75">
      <c r="A20" s="732" t="s">
        <v>2915</v>
      </c>
      <c r="B20" s="731" t="s">
        <v>2916</v>
      </c>
      <c r="C20" s="732" t="s">
        <v>3536</v>
      </c>
      <c r="D20" s="733">
        <v>1</v>
      </c>
      <c r="E20" s="734">
        <f>'Custo EBSs'!H719</f>
        <v>267226.70274857141</v>
      </c>
      <c r="F20" s="735">
        <f>$G$6</f>
        <v>0.2462</v>
      </c>
      <c r="G20" s="734">
        <f>D20*((E20*F20)+E20)</f>
        <v>333017.91696526972</v>
      </c>
    </row>
    <row r="21" spans="1:9" ht="12.75">
      <c r="A21" s="732" t="s">
        <v>2925</v>
      </c>
      <c r="B21" s="731" t="s">
        <v>2926</v>
      </c>
      <c r="C21" s="732" t="s">
        <v>3536</v>
      </c>
      <c r="D21" s="733">
        <v>1</v>
      </c>
      <c r="E21" s="734">
        <f>'Custo EBSs'!H725</f>
        <v>18948.297754285715</v>
      </c>
      <c r="F21" s="735">
        <f>$G$6</f>
        <v>0.2462</v>
      </c>
      <c r="G21" s="734">
        <f>D21*((E21*F21)+E21)</f>
        <v>23613.368661390858</v>
      </c>
    </row>
    <row r="22" spans="1:9" ht="12.75">
      <c r="A22" s="724" t="s">
        <v>2935</v>
      </c>
      <c r="B22" s="737" t="s">
        <v>2936</v>
      </c>
      <c r="C22" s="732"/>
      <c r="D22" s="733"/>
      <c r="E22" s="728">
        <f>SUM(E23:E27)</f>
        <v>1349434.1960756362</v>
      </c>
      <c r="F22" s="735"/>
      <c r="G22" s="728">
        <f>SUM(G23:G27)</f>
        <v>1555627.7412359933</v>
      </c>
    </row>
    <row r="23" spans="1:9" ht="12.75">
      <c r="A23" s="732" t="s">
        <v>2937</v>
      </c>
      <c r="B23" s="731" t="s">
        <v>2860</v>
      </c>
      <c r="C23" s="732" t="s">
        <v>3536</v>
      </c>
      <c r="D23" s="733">
        <v>1</v>
      </c>
      <c r="E23" s="734">
        <f>'Custo EBSs'!H735</f>
        <v>10464.201809454544</v>
      </c>
      <c r="F23" s="735">
        <f>$G$7</f>
        <v>0.15279999999999999</v>
      </c>
      <c r="G23" s="734">
        <f t="shared" ref="G23:G29" si="1">D23*((E23*F23)+E23)</f>
        <v>12063.131845939199</v>
      </c>
    </row>
    <row r="24" spans="1:9" ht="12.75">
      <c r="A24" s="732" t="s">
        <v>2941</v>
      </c>
      <c r="B24" s="731" t="s">
        <v>2774</v>
      </c>
      <c r="C24" s="732" t="s">
        <v>3536</v>
      </c>
      <c r="D24" s="733">
        <v>1</v>
      </c>
      <c r="E24" s="734">
        <f>'Custo EBSs'!H739</f>
        <v>60698.353928727258</v>
      </c>
      <c r="F24" s="735">
        <f>$G$7</f>
        <v>0.15279999999999999</v>
      </c>
      <c r="G24" s="734">
        <f t="shared" si="1"/>
        <v>69973.062409036778</v>
      </c>
      <c r="I24" s="738"/>
    </row>
    <row r="25" spans="1:9" ht="12.75">
      <c r="A25" s="732" t="s">
        <v>2954</v>
      </c>
      <c r="B25" s="731" t="s">
        <v>3601</v>
      </c>
      <c r="C25" s="732" t="s">
        <v>3536</v>
      </c>
      <c r="D25" s="733">
        <v>1</v>
      </c>
      <c r="E25" s="734">
        <f>'Custo EBSs'!H752</f>
        <v>0</v>
      </c>
      <c r="F25" s="735">
        <f>$G$7</f>
        <v>0.15279999999999999</v>
      </c>
      <c r="G25" s="734">
        <f t="shared" si="1"/>
        <v>0</v>
      </c>
    </row>
    <row r="26" spans="1:9" ht="12.75">
      <c r="A26" s="732" t="s">
        <v>2979</v>
      </c>
      <c r="B26" s="731" t="s">
        <v>2916</v>
      </c>
      <c r="C26" s="732" t="s">
        <v>3536</v>
      </c>
      <c r="D26" s="733">
        <v>1</v>
      </c>
      <c r="E26" s="734">
        <f>'Custo EBSs'!H777</f>
        <v>1229529.978181818</v>
      </c>
      <c r="F26" s="735">
        <f>$G$7</f>
        <v>0.15279999999999999</v>
      </c>
      <c r="G26" s="734">
        <f t="shared" si="1"/>
        <v>1417402.1588479998</v>
      </c>
      <c r="I26" s="738"/>
    </row>
    <row r="27" spans="1:9" ht="12.75">
      <c r="A27" s="732" t="s">
        <v>2985</v>
      </c>
      <c r="B27" s="731" t="s">
        <v>2926</v>
      </c>
      <c r="C27" s="732" t="s">
        <v>3536</v>
      </c>
      <c r="D27" s="733">
        <v>1</v>
      </c>
      <c r="E27" s="734">
        <f>'Custo EBSs'!H783</f>
        <v>48741.662155636368</v>
      </c>
      <c r="F27" s="735">
        <f>$G$7</f>
        <v>0.15279999999999999</v>
      </c>
      <c r="G27" s="734">
        <f t="shared" si="1"/>
        <v>56189.388133017608</v>
      </c>
    </row>
    <row r="28" spans="1:9" ht="12.75">
      <c r="A28" s="724" t="s">
        <v>2995</v>
      </c>
      <c r="B28" s="737" t="s">
        <v>2996</v>
      </c>
      <c r="C28" s="724" t="s">
        <v>3536</v>
      </c>
      <c r="D28" s="797">
        <v>1</v>
      </c>
      <c r="E28" s="728">
        <f>'Custo EBSs'!H793</f>
        <v>195375.58878476155</v>
      </c>
      <c r="F28" s="783">
        <f>$G$6</f>
        <v>0.2462</v>
      </c>
      <c r="G28" s="728">
        <f t="shared" si="1"/>
        <v>243477.05874356985</v>
      </c>
    </row>
    <row r="29" spans="1:9" ht="12.75">
      <c r="A29" s="724" t="s">
        <v>3020</v>
      </c>
      <c r="B29" s="737" t="s">
        <v>3021</v>
      </c>
      <c r="C29" s="724" t="s">
        <v>3536</v>
      </c>
      <c r="D29" s="797">
        <v>1</v>
      </c>
      <c r="E29" s="728">
        <f>'Custo EBSs'!H813</f>
        <v>418927.07841163641</v>
      </c>
      <c r="F29" s="735">
        <f>$G$7</f>
        <v>0.15279999999999999</v>
      </c>
      <c r="G29" s="728">
        <f t="shared" si="1"/>
        <v>482939.13599293446</v>
      </c>
    </row>
    <row r="30" spans="1:9" ht="12.75">
      <c r="A30" s="732"/>
      <c r="B30" s="739"/>
      <c r="C30" s="740"/>
      <c r="D30" s="741"/>
      <c r="E30" s="734"/>
      <c r="F30" s="742"/>
      <c r="G30" s="742"/>
    </row>
    <row r="31" spans="1:9" ht="12.75">
      <c r="A31" s="1055" t="s">
        <v>3602</v>
      </c>
      <c r="B31" s="1056"/>
      <c r="C31" s="1056"/>
      <c r="D31" s="1057"/>
      <c r="E31" s="743">
        <f>E14+E15+E16+E22+E28+E29</f>
        <v>51512609.035008803</v>
      </c>
      <c r="F31" s="744"/>
      <c r="G31" s="743">
        <f>G14+G15+G16+G22+G28+G29</f>
        <v>60665693.329256825</v>
      </c>
    </row>
    <row r="32" spans="1:9">
      <c r="A32" s="745"/>
      <c r="B32" s="746"/>
      <c r="C32" s="746"/>
      <c r="D32" s="746"/>
      <c r="E32" s="746"/>
    </row>
    <row r="33" spans="1:9">
      <c r="A33" s="747"/>
      <c r="H33" s="718"/>
    </row>
    <row r="34" spans="1:9">
      <c r="A34" s="747"/>
      <c r="G34" s="748"/>
      <c r="H34" s="718"/>
      <c r="I34" s="749"/>
    </row>
    <row r="35" spans="1:9">
      <c r="A35" s="747"/>
      <c r="G35" s="719"/>
      <c r="H35" s="718"/>
      <c r="I35" s="749"/>
    </row>
    <row r="36" spans="1:9">
      <c r="H36" s="718"/>
    </row>
    <row r="37" spans="1:9">
      <c r="H37" s="718"/>
    </row>
    <row r="38" spans="1:9">
      <c r="G38" s="749"/>
    </row>
    <row r="39" spans="1:9">
      <c r="G39" s="719"/>
    </row>
  </sheetData>
  <mergeCells count="10">
    <mergeCell ref="A31:D31"/>
    <mergeCell ref="A1:G1"/>
    <mergeCell ref="A2:G2"/>
    <mergeCell ref="A9:A10"/>
    <mergeCell ref="B9:B10"/>
    <mergeCell ref="C9:C10"/>
    <mergeCell ref="D9:D10"/>
    <mergeCell ref="E9:G9"/>
    <mergeCell ref="A4:G4"/>
    <mergeCell ref="E6:E7"/>
  </mergeCells>
  <conditionalFormatting sqref="G6:G7 J6:J7">
    <cfRule type="expression" dxfId="14" priority="1" stopIfTrue="1">
      <formula>#REF!="Não"</formula>
    </cfRule>
  </conditionalFormatting>
  <printOptions horizontalCentered="1"/>
  <pageMargins left="0.51181102362204722" right="0.51181102362204722" top="0.78740157480314965" bottom="0.78740157480314965" header="0.31496062992125984" footer="0.31496062992125984"/>
  <pageSetup paperSize="9" scale="74"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pageSetUpPr autoPageBreaks="0" fitToPage="1"/>
  </sheetPr>
  <dimension ref="A1:BU371"/>
  <sheetViews>
    <sheetView showGridLines="0" showZeros="0" showRuler="0" showWhiteSpace="0" view="pageBreakPreview" zoomScale="80" zoomScaleNormal="55" zoomScaleSheetLayoutView="80" zoomScalePageLayoutView="60" workbookViewId="0">
      <pane ySplit="22" topLeftCell="A305" activePane="bottomLeft" state="frozen"/>
      <selection activeCell="AA241" sqref="AA241:AA253"/>
      <selection pane="bottomLeft" activeCell="B314" sqref="B314:B320"/>
    </sheetView>
  </sheetViews>
  <sheetFormatPr defaultColWidth="9.140625" defaultRowHeight="15.75" outlineLevelRow="1"/>
  <cols>
    <col min="1" max="1" width="9.140625" style="50"/>
    <col min="2" max="2" width="12" style="48" customWidth="1"/>
    <col min="3" max="3" width="98" style="49" customWidth="1"/>
    <col min="4" max="4" width="9.140625" style="141" customWidth="1"/>
    <col min="5" max="5" width="19.7109375" style="50" customWidth="1"/>
    <col min="6" max="6" width="17.42578125" style="50" customWidth="1"/>
    <col min="7" max="8" width="22" style="50" customWidth="1"/>
    <col min="9" max="9" width="28.85546875" style="50" customWidth="1"/>
    <col min="10" max="10" width="14" style="50" customWidth="1"/>
    <col min="11" max="11" width="22.7109375" style="50" hidden="1" customWidth="1"/>
    <col min="12" max="12" width="3.7109375" style="50" hidden="1" customWidth="1"/>
    <col min="13" max="15" width="17.28515625" style="50" hidden="1" customWidth="1"/>
    <col min="16" max="17" width="18.28515625" style="50" customWidth="1"/>
    <col min="18" max="18" width="15" style="50" customWidth="1"/>
    <col min="19" max="19" width="17.85546875" style="50" customWidth="1"/>
    <col min="20" max="20" width="18.140625" style="50" customWidth="1"/>
    <col min="21" max="22" width="9.140625" style="50"/>
    <col min="23" max="23" width="13.42578125" style="50" customWidth="1"/>
    <col min="24" max="24" width="53.42578125" style="50" customWidth="1"/>
    <col min="25" max="25" width="12.42578125" style="50" customWidth="1"/>
    <col min="26" max="26" width="13.7109375" style="50" customWidth="1"/>
    <col min="27" max="27" width="11.7109375" style="50" customWidth="1"/>
    <col min="28" max="16384" width="9.140625" style="50"/>
  </cols>
  <sheetData>
    <row r="1" spans="2:17">
      <c r="G1" s="244"/>
      <c r="H1" s="244"/>
      <c r="M1" s="121"/>
      <c r="O1" s="50" t="s">
        <v>1538</v>
      </c>
    </row>
    <row r="2" spans="2:17" hidden="1">
      <c r="M2" s="121"/>
      <c r="O2" s="123" t="s">
        <v>2751</v>
      </c>
      <c r="P2" s="124" t="s">
        <v>2749</v>
      </c>
      <c r="Q2" s="124" t="s">
        <v>2750</v>
      </c>
    </row>
    <row r="3" spans="2:17" hidden="1">
      <c r="B3" s="142"/>
      <c r="C3" s="143"/>
      <c r="D3" s="144"/>
      <c r="E3" s="143"/>
      <c r="F3" s="143"/>
      <c r="G3" s="143"/>
      <c r="H3" s="143"/>
      <c r="I3" s="143"/>
      <c r="J3" s="143"/>
      <c r="K3" s="186"/>
      <c r="L3" s="50" t="s">
        <v>1521</v>
      </c>
      <c r="M3" s="125" t="e">
        <f>VLOOKUP(N3,#REF!,9,0)</f>
        <v>#REF!</v>
      </c>
      <c r="N3" s="801" t="s">
        <v>1521</v>
      </c>
      <c r="O3" s="802" t="e">
        <f t="shared" ref="O3:O8" ca="1" si="0">SUMIF($I$23:$M$312,N3,$M$23:$M$312)</f>
        <v>#REF!</v>
      </c>
      <c r="P3" s="786" t="e">
        <f ca="1">SUMIF($I$21:$N$312,N3,$N$21:$N$312)-0.03</f>
        <v>#REF!</v>
      </c>
      <c r="Q3" s="755" t="e">
        <f t="shared" ref="Q3:Q8" ca="1" si="1">ROUND(P3*M3,2)</f>
        <v>#REF!</v>
      </c>
    </row>
    <row r="4" spans="2:17" ht="18.75" hidden="1">
      <c r="B4" s="1065" t="s">
        <v>3056</v>
      </c>
      <c r="C4" s="1066"/>
      <c r="D4" s="1066"/>
      <c r="E4" s="1066"/>
      <c r="F4" s="1066"/>
      <c r="G4" s="1066"/>
      <c r="H4" s="1066"/>
      <c r="I4" s="1066"/>
      <c r="J4" s="1066"/>
      <c r="K4" s="187"/>
      <c r="L4" s="50" t="s">
        <v>1524</v>
      </c>
      <c r="M4" s="125" t="e">
        <f>VLOOKUP(N4,#REF!,9,0)</f>
        <v>#REF!</v>
      </c>
      <c r="N4" s="803" t="s">
        <v>1524</v>
      </c>
      <c r="O4" s="802">
        <f t="shared" ca="1" si="0"/>
        <v>0</v>
      </c>
      <c r="P4" s="786">
        <f ca="1">SUMIF($I$21:$N$312,N4,$N$21:$N$312)-0.03</f>
        <v>-0.03</v>
      </c>
      <c r="Q4" s="755" t="e">
        <f t="shared" ca="1" si="1"/>
        <v>#REF!</v>
      </c>
    </row>
    <row r="5" spans="2:17" ht="18.75" hidden="1">
      <c r="B5" s="1067" t="s">
        <v>4</v>
      </c>
      <c r="C5" s="1068"/>
      <c r="D5" s="1068"/>
      <c r="E5" s="1068"/>
      <c r="F5" s="1068"/>
      <c r="G5" s="1068"/>
      <c r="H5" s="1068"/>
      <c r="I5" s="1068"/>
      <c r="J5" s="1068"/>
      <c r="K5" s="187"/>
      <c r="L5" s="50" t="s">
        <v>1525</v>
      </c>
      <c r="M5" s="125" t="e">
        <f>VLOOKUP(N5,#REF!,9,0)</f>
        <v>#REF!</v>
      </c>
      <c r="N5" s="803" t="s">
        <v>1525</v>
      </c>
      <c r="O5" s="802">
        <f t="shared" ca="1" si="0"/>
        <v>0</v>
      </c>
      <c r="P5" s="786">
        <f ca="1">SUMIF($I$21:$N$312,N5,$N$21:$N$312)-0.05</f>
        <v>-0.05</v>
      </c>
      <c r="Q5" s="755" t="e">
        <f t="shared" ca="1" si="1"/>
        <v>#REF!</v>
      </c>
    </row>
    <row r="6" spans="2:17" ht="18.75" hidden="1">
      <c r="B6" s="1067" t="s">
        <v>1527</v>
      </c>
      <c r="C6" s="1068"/>
      <c r="D6" s="1068"/>
      <c r="E6" s="1068"/>
      <c r="F6" s="1068"/>
      <c r="G6" s="1068"/>
      <c r="H6" s="1068"/>
      <c r="I6" s="1068"/>
      <c r="J6" s="1068"/>
      <c r="K6" s="187"/>
      <c r="L6" s="50" t="s">
        <v>1522</v>
      </c>
      <c r="M6" s="125" t="e">
        <f>VLOOKUP(N6,#REF!,9,0)</f>
        <v>#REF!</v>
      </c>
      <c r="N6" s="804" t="s">
        <v>1522</v>
      </c>
      <c r="O6" s="802" t="e">
        <f t="shared" ca="1" si="0"/>
        <v>#REF!</v>
      </c>
      <c r="P6" s="786" t="e">
        <f ca="1">SUMIF($I$21:$N$312,N6,$N$21:$N$312)-0.01</f>
        <v>#REF!</v>
      </c>
      <c r="Q6" s="755" t="e">
        <f t="shared" ca="1" si="1"/>
        <v>#REF!</v>
      </c>
    </row>
    <row r="7" spans="2:17" ht="16.5" hidden="1" thickBot="1">
      <c r="B7" s="147"/>
      <c r="C7" s="148"/>
      <c r="D7" s="149"/>
      <c r="E7" s="150"/>
      <c r="F7" s="150"/>
      <c r="G7" s="150"/>
      <c r="H7" s="150"/>
      <c r="I7" s="150"/>
      <c r="J7" s="150"/>
      <c r="K7" s="188"/>
      <c r="L7" s="50" t="s">
        <v>1523</v>
      </c>
      <c r="M7" s="125" t="e">
        <f>VLOOKUP(N7,#REF!,9,0)</f>
        <v>#REF!</v>
      </c>
      <c r="N7" s="803" t="s">
        <v>1523</v>
      </c>
      <c r="O7" s="802" t="e">
        <f t="shared" ca="1" si="0"/>
        <v>#REF!</v>
      </c>
      <c r="P7" s="786" t="e">
        <f ca="1">SUMIF($I$21:$N$312,N7,$N$21:$N$312)</f>
        <v>#REF!</v>
      </c>
      <c r="Q7" s="755" t="e">
        <f t="shared" ca="1" si="1"/>
        <v>#REF!</v>
      </c>
    </row>
    <row r="8" spans="2:17" ht="24" hidden="1" thickBot="1">
      <c r="B8" s="1069" t="s">
        <v>3058</v>
      </c>
      <c r="C8" s="1070"/>
      <c r="D8" s="1070"/>
      <c r="E8" s="1070"/>
      <c r="F8" s="1070"/>
      <c r="G8" s="1070"/>
      <c r="H8" s="1070"/>
      <c r="I8" s="1070"/>
      <c r="J8" s="1070"/>
      <c r="K8" s="189"/>
      <c r="L8" s="50" t="s">
        <v>1526</v>
      </c>
      <c r="M8" s="125" t="e">
        <f>VLOOKUP(N8,#REF!,9,0)</f>
        <v>#REF!</v>
      </c>
      <c r="N8" s="803" t="s">
        <v>1526</v>
      </c>
      <c r="O8" s="802" t="e">
        <f t="shared" ca="1" si="0"/>
        <v>#REF!</v>
      </c>
      <c r="P8" s="786" t="e">
        <f ca="1">SUMIF($I$21:$N$312,N8,$N$21:$N$312)-0.02</f>
        <v>#REF!</v>
      </c>
      <c r="Q8" s="755" t="e">
        <f t="shared" ca="1" si="1"/>
        <v>#REF!</v>
      </c>
    </row>
    <row r="9" spans="2:17" hidden="1">
      <c r="B9" s="152" t="s">
        <v>7</v>
      </c>
      <c r="C9" s="153" t="s">
        <v>1519</v>
      </c>
      <c r="D9" s="154"/>
      <c r="E9" s="196" t="s">
        <v>1535</v>
      </c>
      <c r="F9" s="145"/>
      <c r="G9" s="145"/>
      <c r="H9" s="145"/>
      <c r="I9" s="198"/>
      <c r="J9" s="1071" t="e">
        <f>CONCATENATE(#REF!," ",#REF!)</f>
        <v>#REF!</v>
      </c>
      <c r="K9" s="160"/>
      <c r="P9" s="207" t="e">
        <f ca="1">SUM(P3:P8)</f>
        <v>#REF!</v>
      </c>
      <c r="Q9" s="207" t="e">
        <f ca="1">SUM(Q3:Q8)</f>
        <v>#REF!</v>
      </c>
    </row>
    <row r="10" spans="2:17" hidden="1">
      <c r="B10" s="155" t="s">
        <v>6</v>
      </c>
      <c r="C10" s="156" t="s">
        <v>1530</v>
      </c>
      <c r="D10" s="157"/>
      <c r="E10" s="197" t="s">
        <v>5</v>
      </c>
      <c r="F10" s="146"/>
      <c r="G10" s="159"/>
      <c r="H10" s="159"/>
      <c r="I10" s="756"/>
      <c r="J10" s="1072"/>
      <c r="K10" s="160"/>
      <c r="P10" s="208" t="e">
        <f ca="1">P9-#REF!</f>
        <v>#REF!</v>
      </c>
      <c r="Q10" s="123"/>
    </row>
    <row r="11" spans="2:17" hidden="1">
      <c r="B11" s="155" t="s">
        <v>8</v>
      </c>
      <c r="C11" s="156" t="s">
        <v>1483</v>
      </c>
      <c r="D11" s="157"/>
      <c r="E11" s="197" t="s">
        <v>1537</v>
      </c>
      <c r="F11" s="146"/>
      <c r="G11" s="159"/>
      <c r="H11" s="159"/>
      <c r="I11" s="756"/>
      <c r="J11" s="1072"/>
      <c r="K11" s="160"/>
    </row>
    <row r="12" spans="2:17" hidden="1">
      <c r="B12" s="155" t="s">
        <v>9</v>
      </c>
      <c r="C12" s="156" t="s">
        <v>1488</v>
      </c>
      <c r="D12" s="157"/>
      <c r="E12" s="197" t="s">
        <v>3057</v>
      </c>
      <c r="F12" s="146"/>
      <c r="G12" s="159"/>
      <c r="H12" s="159"/>
      <c r="I12" s="199"/>
      <c r="J12" s="1072" t="e">
        <f>CONCATENATE(#REF!," ",#REF!)</f>
        <v>#REF!</v>
      </c>
      <c r="K12" s="161"/>
    </row>
    <row r="13" spans="2:17" hidden="1">
      <c r="B13" s="155" t="s">
        <v>10</v>
      </c>
      <c r="C13" s="162">
        <v>79745584.319999993</v>
      </c>
      <c r="D13" s="163"/>
      <c r="E13" s="197" t="e">
        <f>#REF!</f>
        <v>#REF!</v>
      </c>
      <c r="F13" s="146"/>
      <c r="G13" s="159"/>
      <c r="H13" s="159"/>
      <c r="I13" s="756"/>
      <c r="J13" s="1072"/>
      <c r="K13" s="160"/>
    </row>
    <row r="14" spans="2:17" hidden="1">
      <c r="B14" s="164" t="s">
        <v>1529</v>
      </c>
      <c r="C14" s="157"/>
      <c r="D14" s="163"/>
      <c r="E14" s="197" t="e">
        <f>#REF!</f>
        <v>#REF!</v>
      </c>
      <c r="F14" s="146"/>
      <c r="G14" s="159"/>
      <c r="H14" s="159"/>
      <c r="I14" s="756"/>
      <c r="J14" s="1072"/>
      <c r="K14" s="160"/>
    </row>
    <row r="15" spans="2:17" hidden="1">
      <c r="B15" s="165"/>
      <c r="C15" s="157"/>
      <c r="D15" s="163"/>
      <c r="E15" s="197" t="e">
        <f>#REF!</f>
        <v>#REF!</v>
      </c>
      <c r="F15" s="146"/>
      <c r="G15" s="146"/>
      <c r="H15" s="146"/>
      <c r="I15" s="199"/>
      <c r="J15" s="1080" t="e">
        <f>CONCATENATE(#REF!," ",#REF!)</f>
        <v>#REF!</v>
      </c>
      <c r="K15" s="161"/>
    </row>
    <row r="16" spans="2:17" hidden="1">
      <c r="B16" s="165"/>
      <c r="C16" s="157"/>
      <c r="D16" s="163"/>
      <c r="E16" s="158"/>
      <c r="F16" s="146"/>
      <c r="G16" s="146"/>
      <c r="H16" s="146"/>
      <c r="I16" s="199"/>
      <c r="J16" s="1074"/>
      <c r="K16" s="161"/>
    </row>
    <row r="17" spans="1:20" hidden="1">
      <c r="B17" s="165"/>
      <c r="C17" s="157"/>
      <c r="D17" s="163"/>
      <c r="E17" s="158"/>
      <c r="F17" s="146"/>
      <c r="G17" s="146"/>
      <c r="H17" s="146"/>
      <c r="I17" s="199"/>
      <c r="J17" s="1074"/>
      <c r="K17" s="161"/>
    </row>
    <row r="18" spans="1:20" hidden="1">
      <c r="B18" s="165"/>
      <c r="C18" s="157"/>
      <c r="D18" s="163"/>
      <c r="E18" s="158"/>
      <c r="F18" s="146"/>
      <c r="G18" s="146"/>
      <c r="H18" s="146"/>
      <c r="I18" s="756"/>
      <c r="J18" s="1074"/>
      <c r="K18" s="160"/>
    </row>
    <row r="19" spans="1:20" ht="16.5" hidden="1" thickBot="1">
      <c r="B19" s="165"/>
      <c r="C19" s="168"/>
      <c r="D19" s="169"/>
      <c r="E19" s="170"/>
      <c r="F19" s="151"/>
      <c r="G19" s="151"/>
      <c r="H19" s="151"/>
      <c r="I19" s="168"/>
      <c r="J19" s="1075"/>
      <c r="K19" s="138"/>
    </row>
    <row r="20" spans="1:20">
      <c r="B20" s="955"/>
      <c r="C20" s="372"/>
      <c r="D20" s="373"/>
      <c r="E20" s="126"/>
      <c r="F20" s="126"/>
      <c r="G20" s="757"/>
      <c r="H20" s="757"/>
      <c r="I20" s="126"/>
      <c r="J20" s="126"/>
      <c r="K20" s="126"/>
    </row>
    <row r="21" spans="1:20" ht="24" customHeight="1">
      <c r="B21" s="758"/>
      <c r="C21" s="758"/>
      <c r="D21" s="758" t="s">
        <v>11</v>
      </c>
      <c r="E21" s="1076" t="s">
        <v>3053</v>
      </c>
      <c r="F21" s="1076"/>
      <c r="G21" s="1076"/>
      <c r="H21" s="759"/>
      <c r="I21" s="1077" t="s">
        <v>2745</v>
      </c>
      <c r="J21" s="1078"/>
      <c r="K21" s="137"/>
      <c r="L21" s="174"/>
    </row>
    <row r="22" spans="1:20" ht="38.25" customHeight="1" thickBot="1">
      <c r="B22" s="375" t="s">
        <v>0</v>
      </c>
      <c r="C22" s="376" t="s">
        <v>1520</v>
      </c>
      <c r="D22" s="375"/>
      <c r="E22" s="108" t="s">
        <v>1531</v>
      </c>
      <c r="F22" s="108" t="s">
        <v>3571</v>
      </c>
      <c r="G22" s="108" t="s">
        <v>3190</v>
      </c>
      <c r="H22" s="108" t="s">
        <v>3191</v>
      </c>
      <c r="I22" s="377" t="s">
        <v>1491</v>
      </c>
      <c r="J22" s="377" t="s">
        <v>1490</v>
      </c>
      <c r="K22" s="209"/>
      <c r="L22"/>
      <c r="M22" s="128" t="s">
        <v>2747</v>
      </c>
      <c r="N22" s="122" t="s">
        <v>2748</v>
      </c>
      <c r="O22" s="122" t="s">
        <v>2750</v>
      </c>
      <c r="Q22" s="761" t="s">
        <v>3471</v>
      </c>
      <c r="R22" s="762" t="s">
        <v>1400</v>
      </c>
      <c r="S22" s="762" t="s">
        <v>1546</v>
      </c>
      <c r="T22" s="762" t="s">
        <v>3472</v>
      </c>
    </row>
    <row r="23" spans="1:20" s="98" customFormat="1">
      <c r="B23" s="176" t="s">
        <v>916</v>
      </c>
      <c r="C23" s="101" t="s">
        <v>1433</v>
      </c>
      <c r="D23" s="74"/>
      <c r="E23" s="75"/>
      <c r="F23" s="75"/>
      <c r="G23" s="75">
        <f>G24+G74</f>
        <v>21192646.180618696</v>
      </c>
      <c r="H23" s="75">
        <f>H24+H74</f>
        <v>86056907.874494657</v>
      </c>
      <c r="I23" s="110">
        <v>0</v>
      </c>
      <c r="J23" s="73"/>
      <c r="K23" s="191"/>
      <c r="L23" s="139"/>
      <c r="M23" s="128"/>
      <c r="N23" s="128"/>
      <c r="O23" s="122"/>
      <c r="Q23" s="763"/>
      <c r="R23" s="764">
        <v>0.4</v>
      </c>
      <c r="S23" s="764">
        <v>0.375</v>
      </c>
      <c r="T23" s="763"/>
    </row>
    <row r="24" spans="1:20" s="98" customFormat="1" outlineLevel="1">
      <c r="B24" s="178" t="s">
        <v>917</v>
      </c>
      <c r="C24" s="102" t="s">
        <v>1407</v>
      </c>
      <c r="D24" s="85"/>
      <c r="E24" s="64"/>
      <c r="F24" s="64"/>
      <c r="G24" s="64">
        <f>SUM(G25:G73)</f>
        <v>2969686.4060732424</v>
      </c>
      <c r="H24" s="64">
        <f>SUM(H25:H73)</f>
        <v>11244252.657893931</v>
      </c>
      <c r="I24" s="111">
        <v>0</v>
      </c>
      <c r="J24" s="86"/>
      <c r="K24" s="190"/>
      <c r="L24" s="139"/>
      <c r="M24" s="128"/>
      <c r="N24" s="128"/>
      <c r="O24" s="122"/>
      <c r="Q24" s="763"/>
      <c r="R24" s="763"/>
      <c r="S24" s="763"/>
      <c r="T24" s="763"/>
    </row>
    <row r="25" spans="1:20" s="98" customFormat="1" outlineLevel="1">
      <c r="A25" s="141" t="s">
        <v>3478</v>
      </c>
      <c r="B25" s="175" t="s">
        <v>918</v>
      </c>
      <c r="C25" s="100" t="s">
        <v>2322</v>
      </c>
      <c r="D25" s="99" t="s">
        <v>1467</v>
      </c>
      <c r="E25" s="20">
        <v>609.66</v>
      </c>
      <c r="F25" s="20">
        <f>T25</f>
        <v>12.907142857142858</v>
      </c>
      <c r="G25" s="19">
        <f t="shared" ref="G25:G40" si="2">E25*F25</f>
        <v>7868.9687142857147</v>
      </c>
      <c r="H25" s="19">
        <f>G25*(1+J25)</f>
        <v>27183.3524235</v>
      </c>
      <c r="I25" s="114" t="s">
        <v>1523</v>
      </c>
      <c r="J25" s="210">
        <f>VLOOKUP(I25,'Reajuste Atual'!$L$19:$M$25,2,FALSE)</f>
        <v>2.4544999999999999</v>
      </c>
      <c r="K25" s="190"/>
      <c r="L25" s="139"/>
      <c r="M25" s="128" t="e">
        <f>ROUND(#REF!,2)</f>
        <v>#REF!</v>
      </c>
      <c r="N25" s="128" t="e">
        <f>ROUND(#REF!,2)</f>
        <v>#REF!</v>
      </c>
      <c r="O25" s="122" t="e">
        <f t="shared" ref="O25:O73" si="3">N25*(1+J25)</f>
        <v>#REF!</v>
      </c>
      <c r="Q25" s="765">
        <v>18.07</v>
      </c>
      <c r="R25" s="765">
        <f>Q25/($R$23+1)</f>
        <v>12.907142857142858</v>
      </c>
      <c r="S25" s="765">
        <f>Q25/($S$23+1)</f>
        <v>13.141818181818183</v>
      </c>
      <c r="T25" s="765">
        <f t="shared" ref="T25:T40" si="4">IF(A25="S",R25,S25)</f>
        <v>12.907142857142858</v>
      </c>
    </row>
    <row r="26" spans="1:20" s="98" customFormat="1" outlineLevel="1">
      <c r="A26" s="141" t="s">
        <v>3478</v>
      </c>
      <c r="B26" s="175" t="s">
        <v>919</v>
      </c>
      <c r="C26" s="100" t="s">
        <v>2323</v>
      </c>
      <c r="D26" s="99" t="s">
        <v>1467</v>
      </c>
      <c r="E26" s="20">
        <v>97998.37</v>
      </c>
      <c r="F26" s="20">
        <f t="shared" ref="F26:F73" si="5">T26</f>
        <v>2.3071428571428574</v>
      </c>
      <c r="G26" s="19">
        <f t="shared" si="2"/>
        <v>226096.23935714288</v>
      </c>
      <c r="H26" s="19">
        <f t="shared" ref="H26:H40" si="6">G26*(1+J26)</f>
        <v>781049.45885925007</v>
      </c>
      <c r="I26" s="114" t="s">
        <v>1523</v>
      </c>
      <c r="J26" s="210">
        <f>VLOOKUP(I26,'Reajuste Atual'!$L$19:$M$25,2,FALSE)</f>
        <v>2.4544999999999999</v>
      </c>
      <c r="K26" s="190"/>
      <c r="L26" s="139"/>
      <c r="M26" s="128" t="e">
        <f>ROUND(#REF!,2)</f>
        <v>#REF!</v>
      </c>
      <c r="N26" s="128" t="e">
        <f>ROUND(#REF!,2)</f>
        <v>#REF!</v>
      </c>
      <c r="O26" s="122" t="e">
        <f t="shared" si="3"/>
        <v>#REF!</v>
      </c>
      <c r="Q26" s="805">
        <v>3.23</v>
      </c>
      <c r="R26" s="765">
        <f>Q26/($R$23+1)</f>
        <v>2.3071428571428574</v>
      </c>
      <c r="S26" s="765">
        <f t="shared" ref="S26:S73" si="7">Q26/($S$23+1)</f>
        <v>2.3490909090909091</v>
      </c>
      <c r="T26" s="765">
        <f t="shared" si="4"/>
        <v>2.3071428571428574</v>
      </c>
    </row>
    <row r="27" spans="1:20" s="98" customFormat="1" outlineLevel="1">
      <c r="A27" s="141" t="s">
        <v>3478</v>
      </c>
      <c r="B27" s="175" t="s">
        <v>920</v>
      </c>
      <c r="C27" s="100" t="s">
        <v>2324</v>
      </c>
      <c r="D27" s="99" t="s">
        <v>1467</v>
      </c>
      <c r="E27" s="20">
        <v>88761.59</v>
      </c>
      <c r="F27" s="20">
        <f t="shared" si="5"/>
        <v>5.2928571428571436</v>
      </c>
      <c r="G27" s="19">
        <f t="shared" si="2"/>
        <v>469802.4156428572</v>
      </c>
      <c r="H27" s="19">
        <f t="shared" si="6"/>
        <v>1622932.4448382501</v>
      </c>
      <c r="I27" s="114" t="s">
        <v>1523</v>
      </c>
      <c r="J27" s="210">
        <f>VLOOKUP(I27,'Reajuste Atual'!$L$19:$M$25,2,FALSE)</f>
        <v>2.4544999999999999</v>
      </c>
      <c r="K27" s="190"/>
      <c r="L27" s="139"/>
      <c r="M27" s="128" t="e">
        <f>ROUND(#REF!,2)</f>
        <v>#REF!</v>
      </c>
      <c r="N27" s="128" t="e">
        <f>ROUND(#REF!,2)</f>
        <v>#REF!</v>
      </c>
      <c r="O27" s="122" t="e">
        <f t="shared" si="3"/>
        <v>#REF!</v>
      </c>
      <c r="Q27" s="805">
        <v>7.41</v>
      </c>
      <c r="R27" s="765">
        <f t="shared" ref="R27:R73" si="8">Q27/($R$23+1)</f>
        <v>5.2928571428571436</v>
      </c>
      <c r="S27" s="765">
        <f t="shared" si="7"/>
        <v>5.3890909090909096</v>
      </c>
      <c r="T27" s="765">
        <f t="shared" si="4"/>
        <v>5.2928571428571436</v>
      </c>
    </row>
    <row r="28" spans="1:20" s="98" customFormat="1" outlineLevel="1">
      <c r="A28" s="141" t="s">
        <v>3478</v>
      </c>
      <c r="B28" s="175" t="s">
        <v>921</v>
      </c>
      <c r="C28" s="100" t="s">
        <v>2325</v>
      </c>
      <c r="D28" s="99" t="s">
        <v>1467</v>
      </c>
      <c r="E28" s="20">
        <v>7687</v>
      </c>
      <c r="F28" s="20">
        <f t="shared" si="5"/>
        <v>16.121428571428574</v>
      </c>
      <c r="G28" s="19">
        <f t="shared" si="2"/>
        <v>123925.42142857144</v>
      </c>
      <c r="H28" s="19">
        <f t="shared" si="6"/>
        <v>428100.36832500005</v>
      </c>
      <c r="I28" s="114" t="s">
        <v>1523</v>
      </c>
      <c r="J28" s="210">
        <f>VLOOKUP(I28,'Reajuste Atual'!$L$19:$M$25,2,FALSE)</f>
        <v>2.4544999999999999</v>
      </c>
      <c r="K28" s="190"/>
      <c r="L28" s="139"/>
      <c r="M28" s="128" t="e">
        <f>ROUND(#REF!,2)</f>
        <v>#REF!</v>
      </c>
      <c r="N28" s="128" t="e">
        <f>ROUND(#REF!,2)</f>
        <v>#REF!</v>
      </c>
      <c r="O28" s="122" t="e">
        <f t="shared" si="3"/>
        <v>#REF!</v>
      </c>
      <c r="Q28" s="805">
        <v>22.57</v>
      </c>
      <c r="R28" s="765">
        <f t="shared" si="8"/>
        <v>16.121428571428574</v>
      </c>
      <c r="S28" s="765">
        <f t="shared" si="7"/>
        <v>16.414545454545454</v>
      </c>
      <c r="T28" s="765">
        <f t="shared" si="4"/>
        <v>16.121428571428574</v>
      </c>
    </row>
    <row r="29" spans="1:20" s="98" customFormat="1" outlineLevel="1">
      <c r="A29" s="141" t="s">
        <v>3478</v>
      </c>
      <c r="B29" s="175" t="s">
        <v>922</v>
      </c>
      <c r="C29" s="100" t="s">
        <v>2326</v>
      </c>
      <c r="D29" s="99" t="s">
        <v>1469</v>
      </c>
      <c r="E29" s="20">
        <v>55.39</v>
      </c>
      <c r="F29" s="20">
        <f t="shared" si="5"/>
        <v>1186.2428571428572</v>
      </c>
      <c r="G29" s="19">
        <f t="shared" si="2"/>
        <v>65705.991857142857</v>
      </c>
      <c r="H29" s="19">
        <f t="shared" si="6"/>
        <v>226981.34887049999</v>
      </c>
      <c r="I29" s="114" t="s">
        <v>1523</v>
      </c>
      <c r="J29" s="210">
        <f>VLOOKUP(I29,'Reajuste Atual'!$L$19:$M$25,2,FALSE)</f>
        <v>2.4544999999999999</v>
      </c>
      <c r="K29" s="190"/>
      <c r="L29" s="139"/>
      <c r="M29" s="128" t="e">
        <f>ROUND(#REF!,2)</f>
        <v>#REF!</v>
      </c>
      <c r="N29" s="128" t="e">
        <f>ROUND(#REF!,2)</f>
        <v>#REF!</v>
      </c>
      <c r="O29" s="122" t="e">
        <f t="shared" si="3"/>
        <v>#REF!</v>
      </c>
      <c r="Q29" s="765">
        <v>1660.74</v>
      </c>
      <c r="R29" s="765">
        <f t="shared" si="8"/>
        <v>1186.2428571428572</v>
      </c>
      <c r="S29" s="765">
        <f t="shared" si="7"/>
        <v>1207.810909090909</v>
      </c>
      <c r="T29" s="765">
        <f t="shared" si="4"/>
        <v>1186.2428571428572</v>
      </c>
    </row>
    <row r="30" spans="1:20" s="98" customFormat="1" outlineLevel="1">
      <c r="A30" s="141" t="s">
        <v>3478</v>
      </c>
      <c r="B30" s="175" t="s">
        <v>923</v>
      </c>
      <c r="C30" s="100" t="s">
        <v>2327</v>
      </c>
      <c r="D30" s="99" t="s">
        <v>1470</v>
      </c>
      <c r="E30" s="20">
        <v>313.80000000000291</v>
      </c>
      <c r="F30" s="20">
        <f t="shared" si="5"/>
        <v>34.878571428571426</v>
      </c>
      <c r="G30" s="19">
        <f t="shared" si="2"/>
        <v>10944.895714285814</v>
      </c>
      <c r="H30" s="19">
        <f t="shared" si="6"/>
        <v>49755.495917143307</v>
      </c>
      <c r="I30" s="114" t="s">
        <v>1522</v>
      </c>
      <c r="J30" s="210">
        <f>VLOOKUP(I30,'Reajuste Atual'!$L$19:$M$25,2,FALSE)</f>
        <v>3.5459999999999998</v>
      </c>
      <c r="K30" s="190"/>
      <c r="L30" s="139"/>
      <c r="M30" s="128" t="e">
        <f>ROUND(#REF!,2)</f>
        <v>#REF!</v>
      </c>
      <c r="N30" s="128" t="e">
        <f>ROUND(#REF!,2)</f>
        <v>#REF!</v>
      </c>
      <c r="O30" s="122" t="e">
        <f t="shared" si="3"/>
        <v>#REF!</v>
      </c>
      <c r="Q30" s="765">
        <v>48.83</v>
      </c>
      <c r="R30" s="765">
        <f t="shared" si="8"/>
        <v>34.878571428571426</v>
      </c>
      <c r="S30" s="765">
        <f t="shared" si="7"/>
        <v>35.512727272727268</v>
      </c>
      <c r="T30" s="765">
        <f t="shared" si="4"/>
        <v>34.878571428571426</v>
      </c>
    </row>
    <row r="31" spans="1:20" s="98" customFormat="1" outlineLevel="1">
      <c r="A31" s="141" t="s">
        <v>3478</v>
      </c>
      <c r="B31" s="175" t="s">
        <v>924</v>
      </c>
      <c r="C31" s="100" t="s">
        <v>1574</v>
      </c>
      <c r="D31" s="99" t="s">
        <v>1467</v>
      </c>
      <c r="E31" s="20">
        <v>98</v>
      </c>
      <c r="F31" s="20">
        <f t="shared" si="5"/>
        <v>168.82857142857145</v>
      </c>
      <c r="G31" s="19">
        <f t="shared" si="2"/>
        <v>16545.2</v>
      </c>
      <c r="H31" s="19">
        <f t="shared" si="6"/>
        <v>60355.235079999999</v>
      </c>
      <c r="I31" s="114" t="s">
        <v>1526</v>
      </c>
      <c r="J31" s="210">
        <f>VLOOKUP(I31,'Reajuste Atual'!$L$19:$M$25,2,FALSE)</f>
        <v>2.6478999999999999</v>
      </c>
      <c r="K31" s="190"/>
      <c r="L31" s="139"/>
      <c r="M31" s="128" t="e">
        <f>ROUND(#REF!,2)</f>
        <v>#REF!</v>
      </c>
      <c r="N31" s="128" t="e">
        <f>ROUND(#REF!,2)</f>
        <v>#REF!</v>
      </c>
      <c r="O31" s="122" t="e">
        <f t="shared" si="3"/>
        <v>#REF!</v>
      </c>
      <c r="Q31" s="765">
        <v>236.36</v>
      </c>
      <c r="R31" s="765">
        <f t="shared" si="8"/>
        <v>168.82857142857145</v>
      </c>
      <c r="S31" s="765">
        <f t="shared" si="7"/>
        <v>171.89818181818183</v>
      </c>
      <c r="T31" s="765">
        <f t="shared" si="4"/>
        <v>168.82857142857145</v>
      </c>
    </row>
    <row r="32" spans="1:20" s="98" customFormat="1" outlineLevel="1">
      <c r="A32" s="141" t="s">
        <v>3478</v>
      </c>
      <c r="B32" s="175" t="s">
        <v>925</v>
      </c>
      <c r="C32" s="100" t="s">
        <v>1563</v>
      </c>
      <c r="D32" s="99" t="s">
        <v>1467</v>
      </c>
      <c r="E32" s="20">
        <v>777.5</v>
      </c>
      <c r="F32" s="20">
        <f t="shared" si="5"/>
        <v>203.15000000000003</v>
      </c>
      <c r="G32" s="19">
        <f t="shared" si="2"/>
        <v>157949.12500000003</v>
      </c>
      <c r="H32" s="19">
        <f t="shared" si="6"/>
        <v>576182.6130875001</v>
      </c>
      <c r="I32" s="114" t="s">
        <v>1526</v>
      </c>
      <c r="J32" s="210">
        <f>VLOOKUP(I32,'Reajuste Atual'!$L$19:$M$25,2,FALSE)</f>
        <v>2.6478999999999999</v>
      </c>
      <c r="K32" s="190"/>
      <c r="L32" s="139"/>
      <c r="M32" s="128" t="e">
        <f>ROUND(#REF!,2)</f>
        <v>#REF!</v>
      </c>
      <c r="N32" s="128" t="e">
        <f>ROUND(#REF!,2)</f>
        <v>#REF!</v>
      </c>
      <c r="O32" s="122" t="e">
        <f t="shared" si="3"/>
        <v>#REF!</v>
      </c>
      <c r="Q32" s="765">
        <v>284.41000000000003</v>
      </c>
      <c r="R32" s="765">
        <f t="shared" si="8"/>
        <v>203.15000000000003</v>
      </c>
      <c r="S32" s="765">
        <f t="shared" si="7"/>
        <v>206.84363636363639</v>
      </c>
      <c r="T32" s="765">
        <f t="shared" si="4"/>
        <v>203.15000000000003</v>
      </c>
    </row>
    <row r="33" spans="1:20" s="98" customFormat="1" outlineLevel="1">
      <c r="A33" s="141" t="s">
        <v>3478</v>
      </c>
      <c r="B33" s="175" t="s">
        <v>926</v>
      </c>
      <c r="C33" s="100" t="s">
        <v>1570</v>
      </c>
      <c r="D33" s="99" t="s">
        <v>1470</v>
      </c>
      <c r="E33" s="20">
        <v>6515</v>
      </c>
      <c r="F33" s="20">
        <f t="shared" si="5"/>
        <v>38.228571428571435</v>
      </c>
      <c r="G33" s="19">
        <f t="shared" si="2"/>
        <v>249059.1428571429</v>
      </c>
      <c r="H33" s="19">
        <f t="shared" si="6"/>
        <v>908542.84722857154</v>
      </c>
      <c r="I33" s="114" t="s">
        <v>1526</v>
      </c>
      <c r="J33" s="210">
        <f>VLOOKUP(I33,'Reajuste Atual'!$L$19:$M$25,2,FALSE)</f>
        <v>2.6478999999999999</v>
      </c>
      <c r="K33" s="190"/>
      <c r="L33" s="139"/>
      <c r="M33" s="128" t="e">
        <f>ROUND(#REF!,2)</f>
        <v>#REF!</v>
      </c>
      <c r="N33" s="128" t="e">
        <f>ROUND(#REF!,2)</f>
        <v>#REF!</v>
      </c>
      <c r="O33" s="122" t="e">
        <f t="shared" si="3"/>
        <v>#REF!</v>
      </c>
      <c r="Q33" s="765">
        <v>53.52</v>
      </c>
      <c r="R33" s="765">
        <f t="shared" si="8"/>
        <v>38.228571428571435</v>
      </c>
      <c r="S33" s="765">
        <f t="shared" si="7"/>
        <v>38.923636363636369</v>
      </c>
      <c r="T33" s="765">
        <f t="shared" si="4"/>
        <v>38.228571428571435</v>
      </c>
    </row>
    <row r="34" spans="1:20" s="98" customFormat="1" outlineLevel="1">
      <c r="A34" s="141" t="s">
        <v>3478</v>
      </c>
      <c r="B34" s="175" t="s">
        <v>927</v>
      </c>
      <c r="C34" s="100" t="s">
        <v>1707</v>
      </c>
      <c r="D34" s="99" t="s">
        <v>1471</v>
      </c>
      <c r="E34" s="20">
        <v>152682</v>
      </c>
      <c r="F34" s="20">
        <f t="shared" si="5"/>
        <v>2.7642857142857147</v>
      </c>
      <c r="G34" s="19">
        <f t="shared" si="2"/>
        <v>422056.67142857151</v>
      </c>
      <c r="H34" s="19">
        <f t="shared" si="6"/>
        <v>1539620.5317042859</v>
      </c>
      <c r="I34" s="114" t="s">
        <v>1526</v>
      </c>
      <c r="J34" s="210">
        <f>VLOOKUP(I34,'Reajuste Atual'!$L$19:$M$25,2,FALSE)</f>
        <v>2.6478999999999999</v>
      </c>
      <c r="K34" s="190"/>
      <c r="L34" s="139"/>
      <c r="M34" s="128" t="e">
        <f>ROUND(#REF!,2)</f>
        <v>#REF!</v>
      </c>
      <c r="N34" s="128" t="e">
        <f>ROUND(#REF!,2)</f>
        <v>#REF!</v>
      </c>
      <c r="O34" s="122" t="e">
        <f t="shared" si="3"/>
        <v>#REF!</v>
      </c>
      <c r="Q34" s="765">
        <v>3.87</v>
      </c>
      <c r="R34" s="765">
        <f t="shared" si="8"/>
        <v>2.7642857142857147</v>
      </c>
      <c r="S34" s="765">
        <f t="shared" si="7"/>
        <v>2.8145454545454545</v>
      </c>
      <c r="T34" s="765">
        <f t="shared" si="4"/>
        <v>2.7642857142857147</v>
      </c>
    </row>
    <row r="35" spans="1:20" s="98" customFormat="1" outlineLevel="1">
      <c r="A35" s="141" t="s">
        <v>3478</v>
      </c>
      <c r="B35" s="175" t="s">
        <v>928</v>
      </c>
      <c r="C35" s="100" t="s">
        <v>2328</v>
      </c>
      <c r="D35" s="99" t="s">
        <v>1467</v>
      </c>
      <c r="E35" s="20">
        <v>84.140000000000327</v>
      </c>
      <c r="F35" s="20">
        <f t="shared" si="5"/>
        <v>126.17142857142856</v>
      </c>
      <c r="G35" s="19">
        <f t="shared" si="2"/>
        <v>10616.06400000004</v>
      </c>
      <c r="H35" s="19">
        <f t="shared" si="6"/>
        <v>38726.339865600145</v>
      </c>
      <c r="I35" s="114" t="s">
        <v>1526</v>
      </c>
      <c r="J35" s="210">
        <f>VLOOKUP(I35,'Reajuste Atual'!$L$19:$M$25,2,FALSE)</f>
        <v>2.6478999999999999</v>
      </c>
      <c r="K35" s="190"/>
      <c r="L35" s="139"/>
      <c r="M35" s="128" t="e">
        <f>ROUND(#REF!,2)</f>
        <v>#REF!</v>
      </c>
      <c r="N35" s="128" t="e">
        <f>ROUND(#REF!,2)</f>
        <v>#REF!</v>
      </c>
      <c r="O35" s="122" t="e">
        <f t="shared" si="3"/>
        <v>#REF!</v>
      </c>
      <c r="Q35" s="765">
        <v>176.64</v>
      </c>
      <c r="R35" s="765">
        <f t="shared" si="8"/>
        <v>126.17142857142856</v>
      </c>
      <c r="S35" s="765">
        <f t="shared" si="7"/>
        <v>128.46545454545455</v>
      </c>
      <c r="T35" s="765">
        <f t="shared" si="4"/>
        <v>126.17142857142856</v>
      </c>
    </row>
    <row r="36" spans="1:20" s="98" customFormat="1" outlineLevel="1">
      <c r="A36" s="141" t="s">
        <v>3478</v>
      </c>
      <c r="B36" s="175" t="s">
        <v>929</v>
      </c>
      <c r="C36" s="100" t="s">
        <v>2329</v>
      </c>
      <c r="D36" s="99" t="s">
        <v>1470</v>
      </c>
      <c r="E36" s="20">
        <v>3872.2</v>
      </c>
      <c r="F36" s="20">
        <f t="shared" si="5"/>
        <v>23.421428571428571</v>
      </c>
      <c r="G36" s="19">
        <f t="shared" si="2"/>
        <v>90692.455714285708</v>
      </c>
      <c r="H36" s="19">
        <f t="shared" si="6"/>
        <v>412287.90367714275</v>
      </c>
      <c r="I36" s="114" t="s">
        <v>1522</v>
      </c>
      <c r="J36" s="210">
        <f>VLOOKUP(I36,'Reajuste Atual'!$L$19:$M$25,2,FALSE)</f>
        <v>3.5459999999999998</v>
      </c>
      <c r="K36" s="190"/>
      <c r="L36" s="139"/>
      <c r="M36" s="128" t="e">
        <f>ROUND(#REF!,2)</f>
        <v>#REF!</v>
      </c>
      <c r="N36" s="128" t="e">
        <f>ROUND(#REF!,2)</f>
        <v>#REF!</v>
      </c>
      <c r="O36" s="122" t="e">
        <f t="shared" si="3"/>
        <v>#REF!</v>
      </c>
      <c r="Q36" s="765">
        <v>32.79</v>
      </c>
      <c r="R36" s="765">
        <f t="shared" si="8"/>
        <v>23.421428571428571</v>
      </c>
      <c r="S36" s="765">
        <f t="shared" si="7"/>
        <v>23.847272727272728</v>
      </c>
      <c r="T36" s="765">
        <f t="shared" si="4"/>
        <v>23.421428571428571</v>
      </c>
    </row>
    <row r="37" spans="1:20" s="98" customFormat="1" outlineLevel="1">
      <c r="A37" s="141" t="s">
        <v>3478</v>
      </c>
      <c r="B37" s="175" t="s">
        <v>930</v>
      </c>
      <c r="C37" s="100" t="s">
        <v>2330</v>
      </c>
      <c r="D37" s="183" t="s">
        <v>1468</v>
      </c>
      <c r="E37" s="20">
        <v>0</v>
      </c>
      <c r="F37" s="20">
        <f t="shared" si="5"/>
        <v>71.107142857142861</v>
      </c>
      <c r="G37" s="19">
        <f t="shared" si="2"/>
        <v>0</v>
      </c>
      <c r="H37" s="19">
        <f t="shared" si="6"/>
        <v>0</v>
      </c>
      <c r="I37" s="114" t="s">
        <v>1521</v>
      </c>
      <c r="J37" s="210">
        <f>VLOOKUP(I37,'Reajuste Atual'!$L$19:$M$25,2,FALSE)</f>
        <v>3.1053999999999999</v>
      </c>
      <c r="K37" s="190"/>
      <c r="L37" s="139"/>
      <c r="M37" s="128" t="e">
        <f>ROUND(#REF!,2)</f>
        <v>#REF!</v>
      </c>
      <c r="N37" s="128" t="e">
        <f>ROUND(#REF!,2)</f>
        <v>#REF!</v>
      </c>
      <c r="O37" s="122" t="e">
        <f t="shared" si="3"/>
        <v>#REF!</v>
      </c>
      <c r="Q37" s="765">
        <v>99.55</v>
      </c>
      <c r="R37" s="765">
        <f t="shared" si="8"/>
        <v>71.107142857142861</v>
      </c>
      <c r="S37" s="765">
        <f t="shared" si="7"/>
        <v>72.399999999999991</v>
      </c>
      <c r="T37" s="765">
        <f t="shared" si="4"/>
        <v>71.107142857142861</v>
      </c>
    </row>
    <row r="38" spans="1:20" s="98" customFormat="1" outlineLevel="1">
      <c r="A38" s="141" t="s">
        <v>3478</v>
      </c>
      <c r="B38" s="175" t="s">
        <v>931</v>
      </c>
      <c r="C38" s="100" t="s">
        <v>2331</v>
      </c>
      <c r="D38" s="183" t="s">
        <v>1468</v>
      </c>
      <c r="E38" s="20">
        <v>311</v>
      </c>
      <c r="F38" s="20">
        <f t="shared" si="5"/>
        <v>778.65</v>
      </c>
      <c r="G38" s="19">
        <f t="shared" si="2"/>
        <v>242160.15</v>
      </c>
      <c r="H38" s="19">
        <f t="shared" si="6"/>
        <v>994164.27980999986</v>
      </c>
      <c r="I38" s="114" t="s">
        <v>1521</v>
      </c>
      <c r="J38" s="210">
        <f>VLOOKUP(I38,'Reajuste Atual'!$L$19:$M$25,2,FALSE)</f>
        <v>3.1053999999999999</v>
      </c>
      <c r="K38" s="190"/>
      <c r="L38" s="139"/>
      <c r="M38" s="128" t="e">
        <f>ROUND(#REF!,2)</f>
        <v>#REF!</v>
      </c>
      <c r="N38" s="128" t="e">
        <f>ROUND(#REF!,2)</f>
        <v>#REF!</v>
      </c>
      <c r="O38" s="122" t="e">
        <f t="shared" si="3"/>
        <v>#REF!</v>
      </c>
      <c r="Q38" s="765">
        <v>1090.1099999999999</v>
      </c>
      <c r="R38" s="765">
        <f t="shared" si="8"/>
        <v>778.65</v>
      </c>
      <c r="S38" s="765">
        <f t="shared" si="7"/>
        <v>792.80727272727268</v>
      </c>
      <c r="T38" s="765">
        <f t="shared" si="4"/>
        <v>778.65</v>
      </c>
    </row>
    <row r="39" spans="1:20" s="98" customFormat="1" outlineLevel="1">
      <c r="A39" s="141" t="s">
        <v>3478</v>
      </c>
      <c r="B39" s="175" t="s">
        <v>932</v>
      </c>
      <c r="C39" s="100" t="s">
        <v>2332</v>
      </c>
      <c r="D39" s="183" t="s">
        <v>1468</v>
      </c>
      <c r="E39" s="20">
        <v>73</v>
      </c>
      <c r="F39" s="20">
        <f t="shared" si="5"/>
        <v>1097.2071428571428</v>
      </c>
      <c r="G39" s="19">
        <f t="shared" si="2"/>
        <v>80096.121428571423</v>
      </c>
      <c r="H39" s="19">
        <f t="shared" si="6"/>
        <v>328826.61691285711</v>
      </c>
      <c r="I39" s="114" t="s">
        <v>1521</v>
      </c>
      <c r="J39" s="210">
        <f>VLOOKUP(I39,'Reajuste Atual'!$L$19:$M$25,2,FALSE)</f>
        <v>3.1053999999999999</v>
      </c>
      <c r="K39" s="190"/>
      <c r="L39" s="139"/>
      <c r="M39" s="128" t="e">
        <f>ROUND(#REF!,2)</f>
        <v>#REF!</v>
      </c>
      <c r="N39" s="128" t="e">
        <f>ROUND(#REF!,2)</f>
        <v>#REF!</v>
      </c>
      <c r="O39" s="122" t="e">
        <f t="shared" si="3"/>
        <v>#REF!</v>
      </c>
      <c r="Q39" s="765">
        <v>1536.09</v>
      </c>
      <c r="R39" s="765">
        <f t="shared" si="8"/>
        <v>1097.2071428571428</v>
      </c>
      <c r="S39" s="765">
        <f t="shared" si="7"/>
        <v>1117.1563636363635</v>
      </c>
      <c r="T39" s="765">
        <f t="shared" si="4"/>
        <v>1097.2071428571428</v>
      </c>
    </row>
    <row r="40" spans="1:20" s="98" customFormat="1" outlineLevel="1">
      <c r="A40" s="141" t="s">
        <v>3478</v>
      </c>
      <c r="B40" s="175" t="s">
        <v>933</v>
      </c>
      <c r="C40" s="100" t="s">
        <v>2333</v>
      </c>
      <c r="D40" s="183" t="s">
        <v>1468</v>
      </c>
      <c r="E40" s="20">
        <v>16</v>
      </c>
      <c r="F40" s="20">
        <f t="shared" si="5"/>
        <v>1186.957142857143</v>
      </c>
      <c r="G40" s="19">
        <f t="shared" si="2"/>
        <v>18991.314285714288</v>
      </c>
      <c r="H40" s="19">
        <f t="shared" si="6"/>
        <v>77966.941668571424</v>
      </c>
      <c r="I40" s="114" t="s">
        <v>1521</v>
      </c>
      <c r="J40" s="210">
        <f>VLOOKUP(I40,'Reajuste Atual'!$L$19:$M$25,2,FALSE)</f>
        <v>3.1053999999999999</v>
      </c>
      <c r="K40" s="190"/>
      <c r="L40" s="139"/>
      <c r="M40" s="128" t="e">
        <f>ROUND(#REF!,2)</f>
        <v>#REF!</v>
      </c>
      <c r="N40" s="128" t="e">
        <f>ROUND(#REF!,2)</f>
        <v>#REF!</v>
      </c>
      <c r="O40" s="122" t="e">
        <f t="shared" si="3"/>
        <v>#REF!</v>
      </c>
      <c r="Q40" s="765">
        <v>1661.74</v>
      </c>
      <c r="R40" s="765">
        <f t="shared" si="8"/>
        <v>1186.957142857143</v>
      </c>
      <c r="S40" s="765">
        <f t="shared" si="7"/>
        <v>1208.5381818181818</v>
      </c>
      <c r="T40" s="765">
        <f t="shared" si="4"/>
        <v>1186.957142857143</v>
      </c>
    </row>
    <row r="41" spans="1:20" s="98" customFormat="1" outlineLevel="1">
      <c r="A41" s="141" t="s">
        <v>3478</v>
      </c>
      <c r="B41" s="175" t="s">
        <v>934</v>
      </c>
      <c r="C41" s="100" t="s">
        <v>2334</v>
      </c>
      <c r="D41" s="99"/>
      <c r="E41" s="491"/>
      <c r="F41" s="20"/>
      <c r="G41" s="19"/>
      <c r="H41" s="19"/>
      <c r="I41" s="114"/>
      <c r="J41" s="210"/>
      <c r="K41" s="190"/>
      <c r="L41" s="139"/>
      <c r="M41" s="128" t="e">
        <f>ROUND(#REF!,2)</f>
        <v>#REF!</v>
      </c>
      <c r="N41" s="128" t="e">
        <f>ROUND(#REF!,2)</f>
        <v>#REF!</v>
      </c>
      <c r="O41" s="122" t="e">
        <f t="shared" si="3"/>
        <v>#REF!</v>
      </c>
      <c r="Q41" s="765"/>
      <c r="R41" s="765"/>
      <c r="S41" s="765"/>
      <c r="T41" s="765"/>
    </row>
    <row r="42" spans="1:20" s="98" customFormat="1" outlineLevel="1">
      <c r="A42" s="141" t="s">
        <v>3478</v>
      </c>
      <c r="B42" s="175" t="s">
        <v>935</v>
      </c>
      <c r="C42" s="100" t="s">
        <v>2335</v>
      </c>
      <c r="D42" s="99" t="s">
        <v>1472</v>
      </c>
      <c r="E42" s="491">
        <v>1224</v>
      </c>
      <c r="F42" s="20">
        <f t="shared" si="5"/>
        <v>1.6928571428571431</v>
      </c>
      <c r="G42" s="19">
        <f t="shared" ref="G42:G73" si="9">E42*F42</f>
        <v>2072.0571428571429</v>
      </c>
      <c r="H42" s="19">
        <f t="shared" ref="H42:H73" si="10">G42*(1+J42)</f>
        <v>8506.6233942857143</v>
      </c>
      <c r="I42" s="114" t="s">
        <v>1521</v>
      </c>
      <c r="J42" s="210">
        <f>VLOOKUP(I42,'Reajuste Atual'!$L$19:$M$25,2,FALSE)</f>
        <v>3.1053999999999999</v>
      </c>
      <c r="K42" s="190"/>
      <c r="L42" s="139"/>
      <c r="M42" s="128" t="e">
        <f>ROUND(#REF!,2)</f>
        <v>#REF!</v>
      </c>
      <c r="N42" s="128" t="e">
        <f>ROUND(#REF!,2)</f>
        <v>#REF!</v>
      </c>
      <c r="O42" s="122" t="e">
        <f t="shared" si="3"/>
        <v>#REF!</v>
      </c>
      <c r="Q42" s="765">
        <v>2.37</v>
      </c>
      <c r="R42" s="765">
        <f t="shared" si="8"/>
        <v>1.6928571428571431</v>
      </c>
      <c r="S42" s="765">
        <f t="shared" si="7"/>
        <v>1.7236363636363636</v>
      </c>
      <c r="T42" s="765">
        <f t="shared" ref="T42:T73" si="11">IF(A42="S",R42,S42)</f>
        <v>1.6928571428571431</v>
      </c>
    </row>
    <row r="43" spans="1:20" s="98" customFormat="1" outlineLevel="1">
      <c r="A43" s="141" t="s">
        <v>3478</v>
      </c>
      <c r="B43" s="175" t="s">
        <v>936</v>
      </c>
      <c r="C43" s="100" t="s">
        <v>2336</v>
      </c>
      <c r="D43" s="99" t="s">
        <v>1472</v>
      </c>
      <c r="E43" s="491">
        <v>296</v>
      </c>
      <c r="F43" s="20">
        <f t="shared" si="5"/>
        <v>1.8857142857142859</v>
      </c>
      <c r="G43" s="19">
        <f t="shared" si="9"/>
        <v>558.17142857142858</v>
      </c>
      <c r="H43" s="19">
        <f t="shared" si="10"/>
        <v>2291.5169828571425</v>
      </c>
      <c r="I43" s="114" t="s">
        <v>1521</v>
      </c>
      <c r="J43" s="210">
        <f>VLOOKUP(I43,'Reajuste Atual'!$L$19:$M$25,2,FALSE)</f>
        <v>3.1053999999999999</v>
      </c>
      <c r="K43" s="190"/>
      <c r="L43" s="139"/>
      <c r="M43" s="128" t="e">
        <f>ROUND(#REF!,2)</f>
        <v>#REF!</v>
      </c>
      <c r="N43" s="128" t="e">
        <f>ROUND(#REF!,2)</f>
        <v>#REF!</v>
      </c>
      <c r="O43" s="122" t="e">
        <f t="shared" si="3"/>
        <v>#REF!</v>
      </c>
      <c r="Q43" s="765">
        <v>2.64</v>
      </c>
      <c r="R43" s="765">
        <f t="shared" si="8"/>
        <v>1.8857142857142859</v>
      </c>
      <c r="S43" s="765">
        <f t="shared" si="7"/>
        <v>1.9200000000000002</v>
      </c>
      <c r="T43" s="765">
        <f t="shared" si="11"/>
        <v>1.8857142857142859</v>
      </c>
    </row>
    <row r="44" spans="1:20" s="98" customFormat="1" outlineLevel="1">
      <c r="A44" s="141" t="s">
        <v>3478</v>
      </c>
      <c r="B44" s="175" t="s">
        <v>937</v>
      </c>
      <c r="C44" s="100" t="s">
        <v>2337</v>
      </c>
      <c r="D44" s="754" t="s">
        <v>1472</v>
      </c>
      <c r="E44" s="491">
        <v>14763</v>
      </c>
      <c r="F44" s="20">
        <f t="shared" si="5"/>
        <v>3.7785714285714289</v>
      </c>
      <c r="G44" s="19">
        <f t="shared" si="9"/>
        <v>55783.05</v>
      </c>
      <c r="H44" s="19">
        <f t="shared" si="10"/>
        <v>229011.73346999998</v>
      </c>
      <c r="I44" s="114" t="s">
        <v>1521</v>
      </c>
      <c r="J44" s="210">
        <f>VLOOKUP(I44,'Reajuste Atual'!$L$19:$M$25,2,FALSE)</f>
        <v>3.1053999999999999</v>
      </c>
      <c r="K44" s="190"/>
      <c r="L44" s="139"/>
      <c r="M44" s="128" t="e">
        <f>ROUND(#REF!,2)</f>
        <v>#REF!</v>
      </c>
      <c r="N44" s="128" t="e">
        <f>ROUND(#REF!,2)</f>
        <v>#REF!</v>
      </c>
      <c r="O44" s="122" t="e">
        <f t="shared" si="3"/>
        <v>#REF!</v>
      </c>
      <c r="Q44" s="765">
        <v>5.29</v>
      </c>
      <c r="R44" s="765">
        <f t="shared" si="8"/>
        <v>3.7785714285714289</v>
      </c>
      <c r="S44" s="765">
        <f t="shared" si="7"/>
        <v>3.8472727272727272</v>
      </c>
      <c r="T44" s="765">
        <f t="shared" si="11"/>
        <v>3.7785714285714289</v>
      </c>
    </row>
    <row r="45" spans="1:20" s="98" customFormat="1" outlineLevel="1">
      <c r="A45" s="141" t="s">
        <v>3478</v>
      </c>
      <c r="B45" s="175" t="s">
        <v>938</v>
      </c>
      <c r="C45" s="100" t="s">
        <v>2338</v>
      </c>
      <c r="D45" s="754" t="s">
        <v>1472</v>
      </c>
      <c r="E45" s="491">
        <v>10233</v>
      </c>
      <c r="F45" s="20">
        <f t="shared" si="5"/>
        <v>4.3500000000000005</v>
      </c>
      <c r="G45" s="19">
        <f t="shared" si="9"/>
        <v>44513.55</v>
      </c>
      <c r="H45" s="19">
        <f t="shared" si="10"/>
        <v>182745.92817</v>
      </c>
      <c r="I45" s="114" t="s">
        <v>1521</v>
      </c>
      <c r="J45" s="210">
        <f>VLOOKUP(I45,'Reajuste Atual'!$L$19:$M$25,2,FALSE)</f>
        <v>3.1053999999999999</v>
      </c>
      <c r="K45" s="190"/>
      <c r="L45" s="139"/>
      <c r="M45" s="128" t="e">
        <f>ROUND(#REF!,2)</f>
        <v>#REF!</v>
      </c>
      <c r="N45" s="128" t="e">
        <f>ROUND(#REF!,2)</f>
        <v>#REF!</v>
      </c>
      <c r="O45" s="122" t="e">
        <f t="shared" si="3"/>
        <v>#REF!</v>
      </c>
      <c r="Q45" s="765">
        <v>6.09</v>
      </c>
      <c r="R45" s="765">
        <f t="shared" si="8"/>
        <v>4.3500000000000005</v>
      </c>
      <c r="S45" s="765">
        <f t="shared" si="7"/>
        <v>4.4290909090909087</v>
      </c>
      <c r="T45" s="765">
        <f t="shared" si="11"/>
        <v>4.3500000000000005</v>
      </c>
    </row>
    <row r="46" spans="1:20" s="98" customFormat="1" outlineLevel="1">
      <c r="A46" s="141" t="s">
        <v>3478</v>
      </c>
      <c r="B46" s="175" t="s">
        <v>939</v>
      </c>
      <c r="C46" s="100" t="s">
        <v>2339</v>
      </c>
      <c r="D46" s="754" t="s">
        <v>1472</v>
      </c>
      <c r="E46" s="491">
        <v>10279</v>
      </c>
      <c r="F46" s="20">
        <f t="shared" si="5"/>
        <v>5.1000000000000005</v>
      </c>
      <c r="G46" s="19">
        <f t="shared" si="9"/>
        <v>52422.900000000009</v>
      </c>
      <c r="H46" s="19">
        <f t="shared" si="10"/>
        <v>215216.97366000002</v>
      </c>
      <c r="I46" s="114" t="s">
        <v>1521</v>
      </c>
      <c r="J46" s="210">
        <f>VLOOKUP(I46,'Reajuste Atual'!$L$19:$M$25,2,FALSE)</f>
        <v>3.1053999999999999</v>
      </c>
      <c r="K46" s="190"/>
      <c r="L46" s="139"/>
      <c r="M46" s="128" t="e">
        <f>ROUND(#REF!,2)</f>
        <v>#REF!</v>
      </c>
      <c r="N46" s="128" t="e">
        <f>ROUND(#REF!,2)</f>
        <v>#REF!</v>
      </c>
      <c r="O46" s="122" t="e">
        <f t="shared" si="3"/>
        <v>#REF!</v>
      </c>
      <c r="Q46" s="765">
        <v>7.14</v>
      </c>
      <c r="R46" s="765">
        <f t="shared" si="8"/>
        <v>5.1000000000000005</v>
      </c>
      <c r="S46" s="765">
        <f t="shared" si="7"/>
        <v>5.1927272727272724</v>
      </c>
      <c r="T46" s="765">
        <f t="shared" si="11"/>
        <v>5.1000000000000005</v>
      </c>
    </row>
    <row r="47" spans="1:20" s="98" customFormat="1" outlineLevel="1">
      <c r="A47" s="141" t="s">
        <v>3478</v>
      </c>
      <c r="B47" s="175" t="s">
        <v>940</v>
      </c>
      <c r="C47" s="100" t="s">
        <v>2340</v>
      </c>
      <c r="D47" s="754" t="s">
        <v>1472</v>
      </c>
      <c r="E47" s="491">
        <v>6267</v>
      </c>
      <c r="F47" s="20">
        <f t="shared" si="5"/>
        <v>5.4857142857142858</v>
      </c>
      <c r="G47" s="19">
        <f t="shared" si="9"/>
        <v>34378.971428571429</v>
      </c>
      <c r="H47" s="19">
        <f t="shared" si="10"/>
        <v>141139.42930285714</v>
      </c>
      <c r="I47" s="114" t="s">
        <v>1521</v>
      </c>
      <c r="J47" s="210">
        <f>VLOOKUP(I47,'Reajuste Atual'!$L$19:$M$25,2,FALSE)</f>
        <v>3.1053999999999999</v>
      </c>
      <c r="K47" s="190"/>
      <c r="L47" s="139"/>
      <c r="M47" s="128" t="e">
        <f>ROUND(#REF!,2)</f>
        <v>#REF!</v>
      </c>
      <c r="N47" s="128" t="e">
        <f>ROUND(#REF!,2)</f>
        <v>#REF!</v>
      </c>
      <c r="O47" s="122" t="e">
        <f t="shared" si="3"/>
        <v>#REF!</v>
      </c>
      <c r="Q47" s="765">
        <v>7.68</v>
      </c>
      <c r="R47" s="765">
        <f t="shared" si="8"/>
        <v>5.4857142857142858</v>
      </c>
      <c r="S47" s="765">
        <f t="shared" si="7"/>
        <v>5.585454545454545</v>
      </c>
      <c r="T47" s="765">
        <f t="shared" si="11"/>
        <v>5.4857142857142858</v>
      </c>
    </row>
    <row r="48" spans="1:20" s="98" customFormat="1" outlineLevel="1">
      <c r="A48" s="141" t="s">
        <v>3478</v>
      </c>
      <c r="B48" s="175" t="s">
        <v>941</v>
      </c>
      <c r="C48" s="100" t="s">
        <v>2341</v>
      </c>
      <c r="D48" s="754" t="s">
        <v>1472</v>
      </c>
      <c r="E48" s="491">
        <v>6075</v>
      </c>
      <c r="F48" s="20">
        <f t="shared" si="5"/>
        <v>5.8</v>
      </c>
      <c r="G48" s="19">
        <f t="shared" si="9"/>
        <v>35235</v>
      </c>
      <c r="H48" s="19">
        <f t="shared" si="10"/>
        <v>144653.76899999997</v>
      </c>
      <c r="I48" s="114" t="s">
        <v>1521</v>
      </c>
      <c r="J48" s="210">
        <f>VLOOKUP(I48,'Reajuste Atual'!$L$19:$M$25,2,FALSE)</f>
        <v>3.1053999999999999</v>
      </c>
      <c r="K48" s="190"/>
      <c r="L48" s="139"/>
      <c r="M48" s="128" t="e">
        <f>ROUND(#REF!,2)</f>
        <v>#REF!</v>
      </c>
      <c r="N48" s="128" t="e">
        <f>ROUND(#REF!,2)</f>
        <v>#REF!</v>
      </c>
      <c r="O48" s="122" t="e">
        <f t="shared" si="3"/>
        <v>#REF!</v>
      </c>
      <c r="Q48" s="765">
        <v>8.1199999999999992</v>
      </c>
      <c r="R48" s="765">
        <f t="shared" si="8"/>
        <v>5.8</v>
      </c>
      <c r="S48" s="765">
        <f t="shared" si="7"/>
        <v>5.9054545454545453</v>
      </c>
      <c r="T48" s="765">
        <f t="shared" si="11"/>
        <v>5.8</v>
      </c>
    </row>
    <row r="49" spans="1:20" s="98" customFormat="1" outlineLevel="1">
      <c r="A49" s="141" t="s">
        <v>3478</v>
      </c>
      <c r="B49" s="175" t="s">
        <v>942</v>
      </c>
      <c r="C49" s="100" t="s">
        <v>2342</v>
      </c>
      <c r="D49" s="754" t="s">
        <v>1472</v>
      </c>
      <c r="E49" s="491">
        <v>3847</v>
      </c>
      <c r="F49" s="20">
        <f t="shared" si="5"/>
        <v>7.5642857142857149</v>
      </c>
      <c r="G49" s="19">
        <f t="shared" si="9"/>
        <v>29099.807142857146</v>
      </c>
      <c r="H49" s="19">
        <f t="shared" si="10"/>
        <v>119466.34824428571</v>
      </c>
      <c r="I49" s="114" t="s">
        <v>1521</v>
      </c>
      <c r="J49" s="210">
        <f>VLOOKUP(I49,'Reajuste Atual'!$L$19:$M$25,2,FALSE)</f>
        <v>3.1053999999999999</v>
      </c>
      <c r="K49" s="190"/>
      <c r="L49" s="139"/>
      <c r="M49" s="128" t="e">
        <f>ROUND(#REF!,2)</f>
        <v>#REF!</v>
      </c>
      <c r="N49" s="128" t="e">
        <f>ROUND(#REF!,2)</f>
        <v>#REF!</v>
      </c>
      <c r="O49" s="122" t="e">
        <f t="shared" si="3"/>
        <v>#REF!</v>
      </c>
      <c r="Q49" s="765">
        <v>10.59</v>
      </c>
      <c r="R49" s="765">
        <f t="shared" si="8"/>
        <v>7.5642857142857149</v>
      </c>
      <c r="S49" s="765">
        <f t="shared" si="7"/>
        <v>7.7018181818181821</v>
      </c>
      <c r="T49" s="765">
        <f t="shared" si="11"/>
        <v>7.5642857142857149</v>
      </c>
    </row>
    <row r="50" spans="1:20" s="98" customFormat="1" outlineLevel="1">
      <c r="A50" s="141" t="s">
        <v>3478</v>
      </c>
      <c r="B50" s="175" t="s">
        <v>943</v>
      </c>
      <c r="C50" s="100" t="s">
        <v>2343</v>
      </c>
      <c r="D50" s="754" t="s">
        <v>1472</v>
      </c>
      <c r="E50" s="491">
        <v>3308</v>
      </c>
      <c r="F50" s="20">
        <f t="shared" si="5"/>
        <v>9.0142857142857142</v>
      </c>
      <c r="G50" s="19">
        <f t="shared" si="9"/>
        <v>29819.257142857143</v>
      </c>
      <c r="H50" s="19">
        <f t="shared" si="10"/>
        <v>122419.97827428571</v>
      </c>
      <c r="I50" s="114" t="s">
        <v>1521</v>
      </c>
      <c r="J50" s="210">
        <f>VLOOKUP(I50,'Reajuste Atual'!$L$19:$M$25,2,FALSE)</f>
        <v>3.1053999999999999</v>
      </c>
      <c r="K50" s="190"/>
      <c r="L50" s="139"/>
      <c r="M50" s="128" t="e">
        <f>ROUND(#REF!,2)</f>
        <v>#REF!</v>
      </c>
      <c r="N50" s="128" t="e">
        <f>ROUND(#REF!,2)</f>
        <v>#REF!</v>
      </c>
      <c r="O50" s="122" t="e">
        <f t="shared" si="3"/>
        <v>#REF!</v>
      </c>
      <c r="Q50" s="765">
        <v>12.62</v>
      </c>
      <c r="R50" s="765">
        <f t="shared" si="8"/>
        <v>9.0142857142857142</v>
      </c>
      <c r="S50" s="765">
        <f t="shared" si="7"/>
        <v>9.1781818181818178</v>
      </c>
      <c r="T50" s="765">
        <f t="shared" si="11"/>
        <v>9.0142857142857142</v>
      </c>
    </row>
    <row r="51" spans="1:20" s="98" customFormat="1" outlineLevel="1">
      <c r="A51" s="141" t="s">
        <v>3478</v>
      </c>
      <c r="B51" s="175" t="s">
        <v>944</v>
      </c>
      <c r="C51" s="100" t="s">
        <v>2344</v>
      </c>
      <c r="D51" s="754" t="s">
        <v>1472</v>
      </c>
      <c r="E51" s="491">
        <v>5008</v>
      </c>
      <c r="F51" s="20">
        <f t="shared" si="5"/>
        <v>9.7071428571428573</v>
      </c>
      <c r="G51" s="19">
        <f t="shared" si="9"/>
        <v>48613.37142857143</v>
      </c>
      <c r="H51" s="19">
        <f t="shared" si="10"/>
        <v>199577.33506285714</v>
      </c>
      <c r="I51" s="114" t="s">
        <v>1521</v>
      </c>
      <c r="J51" s="210">
        <f>VLOOKUP(I51,'Reajuste Atual'!$L$19:$M$25,2,FALSE)</f>
        <v>3.1053999999999999</v>
      </c>
      <c r="K51" s="190"/>
      <c r="L51" s="139"/>
      <c r="M51" s="128" t="e">
        <f>ROUND(#REF!,2)</f>
        <v>#REF!</v>
      </c>
      <c r="N51" s="128" t="e">
        <f>ROUND(#REF!,2)</f>
        <v>#REF!</v>
      </c>
      <c r="O51" s="122" t="e">
        <f t="shared" si="3"/>
        <v>#REF!</v>
      </c>
      <c r="Q51" s="765">
        <v>13.59</v>
      </c>
      <c r="R51" s="765">
        <f t="shared" si="8"/>
        <v>9.7071428571428573</v>
      </c>
      <c r="S51" s="765">
        <f t="shared" si="7"/>
        <v>9.8836363636363629</v>
      </c>
      <c r="T51" s="765">
        <f t="shared" si="11"/>
        <v>9.7071428571428573</v>
      </c>
    </row>
    <row r="52" spans="1:20" s="98" customFormat="1" outlineLevel="1">
      <c r="A52" s="141" t="s">
        <v>3478</v>
      </c>
      <c r="B52" s="175" t="s">
        <v>945</v>
      </c>
      <c r="C52" s="100" t="s">
        <v>2345</v>
      </c>
      <c r="D52" s="754" t="s">
        <v>1472</v>
      </c>
      <c r="E52" s="491">
        <v>7431</v>
      </c>
      <c r="F52" s="20">
        <f t="shared" si="5"/>
        <v>10.821428571428573</v>
      </c>
      <c r="G52" s="19">
        <f t="shared" si="9"/>
        <v>80414.035714285725</v>
      </c>
      <c r="H52" s="19">
        <f t="shared" si="10"/>
        <v>330131.78222142858</v>
      </c>
      <c r="I52" s="114" t="s">
        <v>1521</v>
      </c>
      <c r="J52" s="210">
        <f>VLOOKUP(I52,'Reajuste Atual'!$L$19:$M$25,2,FALSE)</f>
        <v>3.1053999999999999</v>
      </c>
      <c r="K52" s="190"/>
      <c r="L52" s="139"/>
      <c r="M52" s="128" t="e">
        <f>ROUND(#REF!,2)</f>
        <v>#REF!</v>
      </c>
      <c r="N52" s="128" t="e">
        <f>ROUND(#REF!,2)</f>
        <v>#REF!</v>
      </c>
      <c r="O52" s="122" t="e">
        <f t="shared" si="3"/>
        <v>#REF!</v>
      </c>
      <c r="Q52" s="765">
        <v>15.15</v>
      </c>
      <c r="R52" s="765">
        <f t="shared" si="8"/>
        <v>10.821428571428573</v>
      </c>
      <c r="S52" s="765">
        <f t="shared" si="7"/>
        <v>11.018181818181818</v>
      </c>
      <c r="T52" s="765">
        <f t="shared" si="11"/>
        <v>10.821428571428573</v>
      </c>
    </row>
    <row r="53" spans="1:20" s="98" customFormat="1" outlineLevel="1">
      <c r="A53" s="141" t="s">
        <v>3478</v>
      </c>
      <c r="B53" s="175" t="s">
        <v>946</v>
      </c>
      <c r="C53" s="100" t="s">
        <v>2346</v>
      </c>
      <c r="D53" s="754" t="s">
        <v>1472</v>
      </c>
      <c r="E53" s="491">
        <v>3194</v>
      </c>
      <c r="F53" s="20">
        <f t="shared" si="5"/>
        <v>12.600000000000001</v>
      </c>
      <c r="G53" s="19">
        <f t="shared" si="9"/>
        <v>40244.400000000001</v>
      </c>
      <c r="H53" s="19">
        <f t="shared" si="10"/>
        <v>165219.35975999999</v>
      </c>
      <c r="I53" s="114" t="s">
        <v>1521</v>
      </c>
      <c r="J53" s="210">
        <f>VLOOKUP(I53,'Reajuste Atual'!$L$19:$M$25,2,FALSE)</f>
        <v>3.1053999999999999</v>
      </c>
      <c r="K53" s="190"/>
      <c r="L53" s="139"/>
      <c r="M53" s="128" t="e">
        <f>ROUND(#REF!,2)</f>
        <v>#REF!</v>
      </c>
      <c r="N53" s="128" t="e">
        <f>ROUND(#REF!,2)</f>
        <v>#REF!</v>
      </c>
      <c r="O53" s="122" t="e">
        <f t="shared" si="3"/>
        <v>#REF!</v>
      </c>
      <c r="Q53" s="765">
        <v>17.64</v>
      </c>
      <c r="R53" s="765">
        <f t="shared" si="8"/>
        <v>12.600000000000001</v>
      </c>
      <c r="S53" s="765">
        <f t="shared" si="7"/>
        <v>12.82909090909091</v>
      </c>
      <c r="T53" s="765">
        <f t="shared" si="11"/>
        <v>12.600000000000001</v>
      </c>
    </row>
    <row r="54" spans="1:20" s="98" customFormat="1" outlineLevel="1">
      <c r="A54" s="141" t="s">
        <v>3478</v>
      </c>
      <c r="B54" s="175" t="s">
        <v>947</v>
      </c>
      <c r="C54" s="100" t="s">
        <v>2347</v>
      </c>
      <c r="D54" s="754" t="s">
        <v>1472</v>
      </c>
      <c r="E54" s="491">
        <v>1529</v>
      </c>
      <c r="F54" s="20">
        <f t="shared" si="5"/>
        <v>14.192857142857145</v>
      </c>
      <c r="G54" s="19">
        <f t="shared" si="9"/>
        <v>21700.878571428573</v>
      </c>
      <c r="H54" s="19">
        <f t="shared" si="10"/>
        <v>89090.786887142851</v>
      </c>
      <c r="I54" s="114" t="s">
        <v>1521</v>
      </c>
      <c r="J54" s="210">
        <f>VLOOKUP(I54,'Reajuste Atual'!$L$19:$M$25,2,FALSE)</f>
        <v>3.1053999999999999</v>
      </c>
      <c r="K54" s="190"/>
      <c r="L54" s="139"/>
      <c r="M54" s="128" t="e">
        <f>ROUND(#REF!,2)</f>
        <v>#REF!</v>
      </c>
      <c r="N54" s="128" t="e">
        <f>ROUND(#REF!,2)</f>
        <v>#REF!</v>
      </c>
      <c r="O54" s="122" t="e">
        <f t="shared" si="3"/>
        <v>#REF!</v>
      </c>
      <c r="Q54" s="765">
        <v>19.87</v>
      </c>
      <c r="R54" s="765">
        <f t="shared" si="8"/>
        <v>14.192857142857145</v>
      </c>
      <c r="S54" s="765">
        <f t="shared" si="7"/>
        <v>14.450909090909091</v>
      </c>
      <c r="T54" s="765">
        <f t="shared" si="11"/>
        <v>14.192857142857145</v>
      </c>
    </row>
    <row r="55" spans="1:20" s="98" customFormat="1" outlineLevel="1">
      <c r="A55" s="141" t="s">
        <v>3478</v>
      </c>
      <c r="B55" s="175" t="s">
        <v>948</v>
      </c>
      <c r="C55" s="100" t="s">
        <v>2348</v>
      </c>
      <c r="D55" s="754" t="s">
        <v>1472</v>
      </c>
      <c r="E55" s="491">
        <v>645</v>
      </c>
      <c r="F55" s="20">
        <f t="shared" si="5"/>
        <v>14.985714285714288</v>
      </c>
      <c r="G55" s="19">
        <f t="shared" si="9"/>
        <v>9665.7857142857156</v>
      </c>
      <c r="H55" s="19">
        <f t="shared" si="10"/>
        <v>39681.916671428575</v>
      </c>
      <c r="I55" s="114" t="s">
        <v>1521</v>
      </c>
      <c r="J55" s="210">
        <f>VLOOKUP(I55,'Reajuste Atual'!$L$19:$M$25,2,FALSE)</f>
        <v>3.1053999999999999</v>
      </c>
      <c r="K55" s="190"/>
      <c r="L55" s="139"/>
      <c r="M55" s="128" t="e">
        <f>ROUND(#REF!,2)</f>
        <v>#REF!</v>
      </c>
      <c r="N55" s="128" t="e">
        <f>ROUND(#REF!,2)</f>
        <v>#REF!</v>
      </c>
      <c r="O55" s="122" t="e">
        <f t="shared" si="3"/>
        <v>#REF!</v>
      </c>
      <c r="Q55" s="765">
        <v>20.98</v>
      </c>
      <c r="R55" s="765">
        <f t="shared" si="8"/>
        <v>14.985714285714288</v>
      </c>
      <c r="S55" s="765">
        <f t="shared" si="7"/>
        <v>15.258181818181818</v>
      </c>
      <c r="T55" s="765">
        <f t="shared" si="11"/>
        <v>14.985714285714288</v>
      </c>
    </row>
    <row r="56" spans="1:20" s="98" customFormat="1" outlineLevel="1">
      <c r="A56" s="141" t="s">
        <v>3478</v>
      </c>
      <c r="B56" s="175" t="s">
        <v>949</v>
      </c>
      <c r="C56" s="100" t="s">
        <v>2349</v>
      </c>
      <c r="D56" s="183" t="s">
        <v>1468</v>
      </c>
      <c r="E56" s="491">
        <v>42</v>
      </c>
      <c r="F56" s="20">
        <f t="shared" si="5"/>
        <v>32.792857142857144</v>
      </c>
      <c r="G56" s="19">
        <f t="shared" si="9"/>
        <v>1377.3000000000002</v>
      </c>
      <c r="H56" s="19">
        <f t="shared" si="10"/>
        <v>5654.3674200000005</v>
      </c>
      <c r="I56" s="114" t="s">
        <v>1521</v>
      </c>
      <c r="J56" s="210">
        <f>VLOOKUP(I56,'Reajuste Atual'!$L$19:$M$25,2,FALSE)</f>
        <v>3.1053999999999999</v>
      </c>
      <c r="K56" s="190"/>
      <c r="L56" s="139"/>
      <c r="M56" s="128" t="e">
        <f>ROUND(#REF!,2)</f>
        <v>#REF!</v>
      </c>
      <c r="N56" s="128" t="e">
        <f>ROUND(#REF!,2)</f>
        <v>#REF!</v>
      </c>
      <c r="O56" s="122" t="e">
        <f t="shared" si="3"/>
        <v>#REF!</v>
      </c>
      <c r="Q56" s="765">
        <v>45.91</v>
      </c>
      <c r="R56" s="765">
        <f t="shared" si="8"/>
        <v>32.792857142857144</v>
      </c>
      <c r="S56" s="765">
        <f t="shared" si="7"/>
        <v>33.389090909090903</v>
      </c>
      <c r="T56" s="765">
        <f t="shared" si="11"/>
        <v>32.792857142857144</v>
      </c>
    </row>
    <row r="57" spans="1:20" s="98" customFormat="1" outlineLevel="1">
      <c r="A57" s="141" t="s">
        <v>3478</v>
      </c>
      <c r="B57" s="175" t="s">
        <v>950</v>
      </c>
      <c r="C57" s="100" t="s">
        <v>2350</v>
      </c>
      <c r="D57" s="183" t="s">
        <v>1468</v>
      </c>
      <c r="E57" s="491">
        <v>31</v>
      </c>
      <c r="F57" s="20">
        <f t="shared" si="5"/>
        <v>47.928571428571431</v>
      </c>
      <c r="G57" s="19">
        <f t="shared" si="9"/>
        <v>1485.7857142857144</v>
      </c>
      <c r="H57" s="19">
        <f t="shared" si="10"/>
        <v>6099.7446714285716</v>
      </c>
      <c r="I57" s="114" t="s">
        <v>1521</v>
      </c>
      <c r="J57" s="210">
        <f>VLOOKUP(I57,'Reajuste Atual'!$L$19:$M$25,2,FALSE)</f>
        <v>3.1053999999999999</v>
      </c>
      <c r="K57" s="190"/>
      <c r="L57" s="139"/>
      <c r="M57" s="128" t="e">
        <f>ROUND(#REF!,2)</f>
        <v>#REF!</v>
      </c>
      <c r="N57" s="128" t="e">
        <f>ROUND(#REF!,2)</f>
        <v>#REF!</v>
      </c>
      <c r="O57" s="122" t="e">
        <f t="shared" si="3"/>
        <v>#REF!</v>
      </c>
      <c r="Q57" s="765">
        <v>67.099999999999994</v>
      </c>
      <c r="R57" s="765">
        <f t="shared" si="8"/>
        <v>47.928571428571431</v>
      </c>
      <c r="S57" s="765">
        <f t="shared" si="7"/>
        <v>48.8</v>
      </c>
      <c r="T57" s="765">
        <f t="shared" si="11"/>
        <v>47.928571428571431</v>
      </c>
    </row>
    <row r="58" spans="1:20" s="98" customFormat="1" outlineLevel="1">
      <c r="A58" s="141" t="s">
        <v>3478</v>
      </c>
      <c r="B58" s="175" t="s">
        <v>951</v>
      </c>
      <c r="C58" s="100" t="s">
        <v>2351</v>
      </c>
      <c r="D58" s="183" t="s">
        <v>1468</v>
      </c>
      <c r="E58" s="491">
        <v>19</v>
      </c>
      <c r="F58" s="20">
        <f t="shared" si="5"/>
        <v>70.635714285714286</v>
      </c>
      <c r="G58" s="19">
        <f t="shared" si="9"/>
        <v>1342.0785714285714</v>
      </c>
      <c r="H58" s="19">
        <f t="shared" si="10"/>
        <v>5509.769367142856</v>
      </c>
      <c r="I58" s="114" t="s">
        <v>1521</v>
      </c>
      <c r="J58" s="210">
        <f>VLOOKUP(I58,'Reajuste Atual'!$L$19:$M$25,2,FALSE)</f>
        <v>3.1053999999999999</v>
      </c>
      <c r="K58" s="190"/>
      <c r="L58" s="139"/>
      <c r="M58" s="128" t="e">
        <f>ROUND(#REF!,2)</f>
        <v>#REF!</v>
      </c>
      <c r="N58" s="128" t="e">
        <f>ROUND(#REF!,2)</f>
        <v>#REF!</v>
      </c>
      <c r="O58" s="122" t="e">
        <f t="shared" si="3"/>
        <v>#REF!</v>
      </c>
      <c r="Q58" s="765">
        <v>98.89</v>
      </c>
      <c r="R58" s="765">
        <f t="shared" si="8"/>
        <v>70.635714285714286</v>
      </c>
      <c r="S58" s="765">
        <f t="shared" si="7"/>
        <v>71.92</v>
      </c>
      <c r="T58" s="765">
        <f t="shared" si="11"/>
        <v>70.635714285714286</v>
      </c>
    </row>
    <row r="59" spans="1:20" s="98" customFormat="1" outlineLevel="1">
      <c r="A59" s="141" t="s">
        <v>3478</v>
      </c>
      <c r="B59" s="175" t="s">
        <v>952</v>
      </c>
      <c r="C59" s="100" t="s">
        <v>2352</v>
      </c>
      <c r="D59" s="183" t="s">
        <v>1468</v>
      </c>
      <c r="E59" s="491">
        <v>17</v>
      </c>
      <c r="F59" s="20">
        <f t="shared" si="5"/>
        <v>98.3857142857143</v>
      </c>
      <c r="G59" s="19">
        <f t="shared" si="9"/>
        <v>1672.5571428571432</v>
      </c>
      <c r="H59" s="19">
        <f t="shared" si="10"/>
        <v>6866.5160942857146</v>
      </c>
      <c r="I59" s="114" t="s">
        <v>1521</v>
      </c>
      <c r="J59" s="210">
        <f>VLOOKUP(I59,'Reajuste Atual'!$L$19:$M$25,2,FALSE)</f>
        <v>3.1053999999999999</v>
      </c>
      <c r="K59" s="190"/>
      <c r="L59" s="139"/>
      <c r="M59" s="128" t="e">
        <f>ROUND(#REF!,2)</f>
        <v>#REF!</v>
      </c>
      <c r="N59" s="128" t="e">
        <f>ROUND(#REF!,2)</f>
        <v>#REF!</v>
      </c>
      <c r="O59" s="122" t="e">
        <f t="shared" si="3"/>
        <v>#REF!</v>
      </c>
      <c r="Q59" s="765">
        <v>137.74</v>
      </c>
      <c r="R59" s="765">
        <f t="shared" si="8"/>
        <v>98.3857142857143</v>
      </c>
      <c r="S59" s="765">
        <f t="shared" si="7"/>
        <v>100.17454545454547</v>
      </c>
      <c r="T59" s="765">
        <f t="shared" si="11"/>
        <v>98.3857142857143</v>
      </c>
    </row>
    <row r="60" spans="1:20" s="98" customFormat="1" outlineLevel="1">
      <c r="A60" s="141" t="s">
        <v>3478</v>
      </c>
      <c r="B60" s="175" t="s">
        <v>953</v>
      </c>
      <c r="C60" s="100" t="s">
        <v>2353</v>
      </c>
      <c r="D60" s="183" t="s">
        <v>1468</v>
      </c>
      <c r="E60" s="491">
        <v>58</v>
      </c>
      <c r="F60" s="20">
        <f t="shared" si="5"/>
        <v>75.685714285714283</v>
      </c>
      <c r="G60" s="19">
        <f t="shared" si="9"/>
        <v>4389.7714285714283</v>
      </c>
      <c r="H60" s="19">
        <f t="shared" si="10"/>
        <v>18021.76762285714</v>
      </c>
      <c r="I60" s="114" t="s">
        <v>1521</v>
      </c>
      <c r="J60" s="210">
        <f>VLOOKUP(I60,'Reajuste Atual'!$L$19:$M$25,2,FALSE)</f>
        <v>3.1053999999999999</v>
      </c>
      <c r="K60" s="190"/>
      <c r="L60" s="139"/>
      <c r="M60" s="128" t="e">
        <f>ROUND(#REF!,2)</f>
        <v>#REF!</v>
      </c>
      <c r="N60" s="128" t="e">
        <f>ROUND(#REF!,2)</f>
        <v>#REF!</v>
      </c>
      <c r="O60" s="122" t="e">
        <f t="shared" si="3"/>
        <v>#REF!</v>
      </c>
      <c r="Q60" s="765">
        <v>105.96</v>
      </c>
      <c r="R60" s="765">
        <f t="shared" si="8"/>
        <v>75.685714285714283</v>
      </c>
      <c r="S60" s="765">
        <f t="shared" si="7"/>
        <v>77.061818181818182</v>
      </c>
      <c r="T60" s="765">
        <f t="shared" si="11"/>
        <v>75.685714285714283</v>
      </c>
    </row>
    <row r="61" spans="1:20" s="98" customFormat="1" outlineLevel="1">
      <c r="A61" s="141" t="s">
        <v>3478</v>
      </c>
      <c r="B61" s="175" t="s">
        <v>954</v>
      </c>
      <c r="C61" s="100" t="s">
        <v>2354</v>
      </c>
      <c r="D61" s="183" t="s">
        <v>1468</v>
      </c>
      <c r="E61" s="491">
        <v>64</v>
      </c>
      <c r="F61" s="20">
        <f t="shared" si="5"/>
        <v>103.4357142857143</v>
      </c>
      <c r="G61" s="19">
        <f t="shared" si="9"/>
        <v>6619.885714285715</v>
      </c>
      <c r="H61" s="19">
        <f t="shared" si="10"/>
        <v>27177.278811428572</v>
      </c>
      <c r="I61" s="114" t="s">
        <v>1521</v>
      </c>
      <c r="J61" s="210">
        <f>VLOOKUP(I61,'Reajuste Atual'!$L$19:$M$25,2,FALSE)</f>
        <v>3.1053999999999999</v>
      </c>
      <c r="K61" s="190"/>
      <c r="L61" s="139"/>
      <c r="M61" s="128" t="e">
        <f>ROUND(#REF!,2)</f>
        <v>#REF!</v>
      </c>
      <c r="N61" s="128" t="e">
        <f>ROUND(#REF!,2)</f>
        <v>#REF!</v>
      </c>
      <c r="O61" s="122" t="e">
        <f t="shared" si="3"/>
        <v>#REF!</v>
      </c>
      <c r="Q61" s="765">
        <v>144.81</v>
      </c>
      <c r="R61" s="765">
        <f t="shared" si="8"/>
        <v>103.4357142857143</v>
      </c>
      <c r="S61" s="765">
        <f t="shared" si="7"/>
        <v>105.31636363636363</v>
      </c>
      <c r="T61" s="765">
        <f t="shared" si="11"/>
        <v>103.4357142857143</v>
      </c>
    </row>
    <row r="62" spans="1:20" s="98" customFormat="1" outlineLevel="1">
      <c r="A62" s="141" t="s">
        <v>3478</v>
      </c>
      <c r="B62" s="175" t="s">
        <v>955</v>
      </c>
      <c r="C62" s="100" t="s">
        <v>1697</v>
      </c>
      <c r="D62" s="99" t="s">
        <v>1467</v>
      </c>
      <c r="E62" s="491">
        <v>269.70999999999998</v>
      </c>
      <c r="F62" s="20">
        <f t="shared" si="5"/>
        <v>193.97142857142859</v>
      </c>
      <c r="G62" s="19">
        <f t="shared" si="9"/>
        <v>52316.034</v>
      </c>
      <c r="H62" s="19">
        <f t="shared" si="10"/>
        <v>190843.66042860001</v>
      </c>
      <c r="I62" s="114" t="s">
        <v>1526</v>
      </c>
      <c r="J62" s="210">
        <f>VLOOKUP(I62,'Reajuste Atual'!$L$19:$M$25,2,FALSE)</f>
        <v>2.6478999999999999</v>
      </c>
      <c r="K62" s="190"/>
      <c r="L62" s="139"/>
      <c r="M62" s="128" t="e">
        <f>ROUND(#REF!,2)</f>
        <v>#REF!</v>
      </c>
      <c r="N62" s="128" t="e">
        <f>ROUND(#REF!,2)</f>
        <v>#REF!</v>
      </c>
      <c r="O62" s="122" t="e">
        <f t="shared" si="3"/>
        <v>#REF!</v>
      </c>
      <c r="Q62" s="765">
        <v>271.56</v>
      </c>
      <c r="R62" s="765">
        <f t="shared" si="8"/>
        <v>193.97142857142859</v>
      </c>
      <c r="S62" s="765">
        <f t="shared" si="7"/>
        <v>197.49818181818182</v>
      </c>
      <c r="T62" s="765">
        <f t="shared" si="11"/>
        <v>193.97142857142859</v>
      </c>
    </row>
    <row r="63" spans="1:20" s="98" customFormat="1" outlineLevel="1">
      <c r="A63" s="141" t="s">
        <v>3478</v>
      </c>
      <c r="B63" s="175" t="s">
        <v>956</v>
      </c>
      <c r="C63" s="100" t="s">
        <v>1578</v>
      </c>
      <c r="D63" s="99" t="s">
        <v>1470</v>
      </c>
      <c r="E63" s="20">
        <v>8189</v>
      </c>
      <c r="F63" s="20">
        <f t="shared" si="5"/>
        <v>9.4642857142857153</v>
      </c>
      <c r="G63" s="19">
        <f t="shared" si="9"/>
        <v>77503.035714285725</v>
      </c>
      <c r="H63" s="19">
        <f t="shared" si="10"/>
        <v>352328.80035714287</v>
      </c>
      <c r="I63" s="114" t="s">
        <v>1522</v>
      </c>
      <c r="J63" s="210">
        <f>VLOOKUP(I63,'Reajuste Atual'!$L$19:$M$25,2,FALSE)</f>
        <v>3.5459999999999998</v>
      </c>
      <c r="K63" s="190"/>
      <c r="L63" s="139"/>
      <c r="M63" s="128" t="e">
        <f>ROUND(#REF!,2)</f>
        <v>#REF!</v>
      </c>
      <c r="N63" s="128" t="e">
        <f>ROUND(#REF!,2)</f>
        <v>#REF!</v>
      </c>
      <c r="O63" s="122" t="e">
        <f t="shared" si="3"/>
        <v>#REF!</v>
      </c>
      <c r="Q63" s="765">
        <v>13.25</v>
      </c>
      <c r="R63" s="765">
        <f t="shared" si="8"/>
        <v>9.4642857142857153</v>
      </c>
      <c r="S63" s="765">
        <f t="shared" si="7"/>
        <v>9.6363636363636367</v>
      </c>
      <c r="T63" s="765">
        <f t="shared" si="11"/>
        <v>9.4642857142857153</v>
      </c>
    </row>
    <row r="64" spans="1:20" s="98" customFormat="1" outlineLevel="1">
      <c r="A64" s="141" t="s">
        <v>3478</v>
      </c>
      <c r="B64" s="175" t="s">
        <v>957</v>
      </c>
      <c r="C64" s="100" t="s">
        <v>1402</v>
      </c>
      <c r="D64" s="99" t="s">
        <v>1470</v>
      </c>
      <c r="E64" s="20">
        <v>8189</v>
      </c>
      <c r="F64" s="20">
        <f t="shared" si="5"/>
        <v>6.2642857142857142</v>
      </c>
      <c r="G64" s="19">
        <f t="shared" si="9"/>
        <v>51298.235714285714</v>
      </c>
      <c r="H64" s="19">
        <f t="shared" si="10"/>
        <v>233201.77955714281</v>
      </c>
      <c r="I64" s="114" t="s">
        <v>1522</v>
      </c>
      <c r="J64" s="210">
        <f>VLOOKUP(I64,'Reajuste Atual'!$L$19:$M$25,2,FALSE)</f>
        <v>3.5459999999999998</v>
      </c>
      <c r="K64" s="190"/>
      <c r="L64" s="139"/>
      <c r="M64" s="128" t="e">
        <f>ROUND(#REF!,2)</f>
        <v>#REF!</v>
      </c>
      <c r="N64" s="128" t="e">
        <f>ROUND(#REF!,2)</f>
        <v>#REF!</v>
      </c>
      <c r="O64" s="122" t="e">
        <f t="shared" si="3"/>
        <v>#REF!</v>
      </c>
      <c r="Q64" s="765">
        <v>8.77</v>
      </c>
      <c r="R64" s="765">
        <f t="shared" si="8"/>
        <v>6.2642857142857142</v>
      </c>
      <c r="S64" s="765">
        <f t="shared" si="7"/>
        <v>6.378181818181818</v>
      </c>
      <c r="T64" s="765">
        <f t="shared" si="11"/>
        <v>6.2642857142857142</v>
      </c>
    </row>
    <row r="65" spans="1:20" s="98" customFormat="1" outlineLevel="1">
      <c r="A65" s="141" t="s">
        <v>3478</v>
      </c>
      <c r="B65" s="175" t="s">
        <v>958</v>
      </c>
      <c r="C65" s="100" t="s">
        <v>2355</v>
      </c>
      <c r="D65" s="99" t="s">
        <v>1472</v>
      </c>
      <c r="E65" s="20">
        <v>60.45</v>
      </c>
      <c r="F65" s="20">
        <f t="shared" si="5"/>
        <v>8.2857142857142865</v>
      </c>
      <c r="G65" s="19">
        <f t="shared" si="9"/>
        <v>500.87142857142862</v>
      </c>
      <c r="H65" s="19">
        <f t="shared" si="10"/>
        <v>2056.277562857143</v>
      </c>
      <c r="I65" s="114" t="s">
        <v>1521</v>
      </c>
      <c r="J65" s="210">
        <f>VLOOKUP(I65,'Reajuste Atual'!$L$19:$M$25,2,FALSE)</f>
        <v>3.1053999999999999</v>
      </c>
      <c r="K65" s="190"/>
      <c r="L65" s="139"/>
      <c r="M65" s="128" t="e">
        <f>ROUND(#REF!,2)</f>
        <v>#REF!</v>
      </c>
      <c r="N65" s="128" t="e">
        <f>ROUND(#REF!,2)</f>
        <v>#REF!</v>
      </c>
      <c r="O65" s="122" t="e">
        <f t="shared" si="3"/>
        <v>#REF!</v>
      </c>
      <c r="Q65" s="765">
        <v>11.6</v>
      </c>
      <c r="R65" s="765">
        <f t="shared" si="8"/>
        <v>8.2857142857142865</v>
      </c>
      <c r="S65" s="765">
        <f t="shared" si="7"/>
        <v>8.4363636363636356</v>
      </c>
      <c r="T65" s="765">
        <f t="shared" si="11"/>
        <v>8.2857142857142865</v>
      </c>
    </row>
    <row r="66" spans="1:20" s="98" customFormat="1" outlineLevel="1">
      <c r="A66" s="141" t="s">
        <v>3478</v>
      </c>
      <c r="B66" s="175" t="s">
        <v>959</v>
      </c>
      <c r="C66" s="100" t="s">
        <v>1584</v>
      </c>
      <c r="D66" s="99" t="s">
        <v>1467</v>
      </c>
      <c r="E66" s="20">
        <v>25.79</v>
      </c>
      <c r="F66" s="20">
        <f t="shared" si="5"/>
        <v>45.142857142857146</v>
      </c>
      <c r="G66" s="19">
        <f t="shared" si="9"/>
        <v>1164.2342857142858</v>
      </c>
      <c r="H66" s="19">
        <f t="shared" si="10"/>
        <v>5292.6090628571419</v>
      </c>
      <c r="I66" s="114" t="s">
        <v>1522</v>
      </c>
      <c r="J66" s="210">
        <f>VLOOKUP(I66,'Reajuste Atual'!$L$19:$M$25,2,FALSE)</f>
        <v>3.5459999999999998</v>
      </c>
      <c r="K66" s="190"/>
      <c r="L66" s="139"/>
      <c r="M66" s="128" t="e">
        <f>ROUND(#REF!,2)</f>
        <v>#REF!</v>
      </c>
      <c r="N66" s="128" t="e">
        <f>ROUND(#REF!,2)</f>
        <v>#REF!</v>
      </c>
      <c r="O66" s="122" t="e">
        <f t="shared" si="3"/>
        <v>#REF!</v>
      </c>
      <c r="Q66" s="765">
        <v>63.2</v>
      </c>
      <c r="R66" s="765">
        <f t="shared" si="8"/>
        <v>45.142857142857146</v>
      </c>
      <c r="S66" s="765">
        <f t="shared" si="7"/>
        <v>45.963636363636368</v>
      </c>
      <c r="T66" s="765">
        <f t="shared" si="11"/>
        <v>45.142857142857146</v>
      </c>
    </row>
    <row r="67" spans="1:20" s="98" customFormat="1" outlineLevel="1">
      <c r="A67" s="141" t="s">
        <v>3478</v>
      </c>
      <c r="B67" s="175" t="s">
        <v>1556</v>
      </c>
      <c r="C67" s="100" t="s">
        <v>1746</v>
      </c>
      <c r="D67" s="99" t="s">
        <v>1475</v>
      </c>
      <c r="E67" s="20">
        <v>39611.51</v>
      </c>
      <c r="F67" s="20">
        <f t="shared" si="5"/>
        <v>0.8214285714285714</v>
      </c>
      <c r="G67" s="19">
        <f t="shared" si="9"/>
        <v>32538.026071428572</v>
      </c>
      <c r="H67" s="19">
        <f t="shared" si="10"/>
        <v>112402.61106375</v>
      </c>
      <c r="I67" s="114" t="s">
        <v>1523</v>
      </c>
      <c r="J67" s="210">
        <f>VLOOKUP(I67,'Reajuste Atual'!$L$19:$M$25,2,FALSE)</f>
        <v>2.4544999999999999</v>
      </c>
      <c r="K67" s="190"/>
      <c r="L67" s="139"/>
      <c r="M67" s="128" t="e">
        <f>ROUND(#REF!,2)</f>
        <v>#REF!</v>
      </c>
      <c r="N67" s="128" t="e">
        <f>ROUND(#REF!,2)</f>
        <v>#REF!</v>
      </c>
      <c r="O67" s="122" t="e">
        <f t="shared" si="3"/>
        <v>#REF!</v>
      </c>
      <c r="Q67" s="765">
        <v>1.1499999999999999</v>
      </c>
      <c r="R67" s="765">
        <f t="shared" si="8"/>
        <v>0.8214285714285714</v>
      </c>
      <c r="S67" s="765">
        <f t="shared" si="7"/>
        <v>0.83636363636363631</v>
      </c>
      <c r="T67" s="765">
        <f t="shared" si="11"/>
        <v>0.8214285714285714</v>
      </c>
    </row>
    <row r="68" spans="1:20" s="98" customFormat="1" outlineLevel="1">
      <c r="A68" s="141" t="s">
        <v>3478</v>
      </c>
      <c r="B68" s="175" t="s">
        <v>1557</v>
      </c>
      <c r="C68" s="100" t="s">
        <v>1568</v>
      </c>
      <c r="D68" s="99" t="s">
        <v>1467</v>
      </c>
      <c r="E68" s="20">
        <v>5487.65</v>
      </c>
      <c r="F68" s="20">
        <f t="shared" si="5"/>
        <v>3.9571428571428573</v>
      </c>
      <c r="G68" s="19">
        <f t="shared" si="9"/>
        <v>21715.415000000001</v>
      </c>
      <c r="H68" s="19">
        <f t="shared" si="10"/>
        <v>75015.901117500005</v>
      </c>
      <c r="I68" s="114" t="s">
        <v>1523</v>
      </c>
      <c r="J68" s="210">
        <f>VLOOKUP(I68,'Reajuste Atual'!$L$19:$M$25,2,FALSE)</f>
        <v>2.4544999999999999</v>
      </c>
      <c r="K68" s="190"/>
      <c r="L68" s="139"/>
      <c r="M68" s="128" t="e">
        <f>ROUND(#REF!,2)</f>
        <v>#REF!</v>
      </c>
      <c r="N68" s="128" t="e">
        <f>ROUND(#REF!,2)</f>
        <v>#REF!</v>
      </c>
      <c r="O68" s="122" t="e">
        <f t="shared" si="3"/>
        <v>#REF!</v>
      </c>
      <c r="Q68" s="765">
        <v>5.54</v>
      </c>
      <c r="R68" s="765">
        <f t="shared" si="8"/>
        <v>3.9571428571428573</v>
      </c>
      <c r="S68" s="765">
        <f t="shared" si="7"/>
        <v>4.0290909090909093</v>
      </c>
      <c r="T68" s="765">
        <f t="shared" si="11"/>
        <v>3.9571428571428573</v>
      </c>
    </row>
    <row r="69" spans="1:20" s="98" customFormat="1" outlineLevel="1">
      <c r="A69" s="141" t="s">
        <v>3478</v>
      </c>
      <c r="B69" s="175" t="s">
        <v>1558</v>
      </c>
      <c r="C69" s="100" t="s">
        <v>1745</v>
      </c>
      <c r="D69" s="99" t="s">
        <v>1467</v>
      </c>
      <c r="E69" s="20">
        <v>4758.4907109257501</v>
      </c>
      <c r="F69" s="20">
        <f t="shared" si="5"/>
        <v>4.2214285714285715</v>
      </c>
      <c r="G69" s="19">
        <f t="shared" si="9"/>
        <v>20087.628643979417</v>
      </c>
      <c r="H69" s="19">
        <f t="shared" si="10"/>
        <v>69392.713150626892</v>
      </c>
      <c r="I69" s="114" t="s">
        <v>1523</v>
      </c>
      <c r="J69" s="210">
        <f>VLOOKUP(I69,'Reajuste Atual'!$L$19:$M$25,2,FALSE)</f>
        <v>2.4544999999999999</v>
      </c>
      <c r="K69" s="190"/>
      <c r="L69" s="139"/>
      <c r="M69" s="128" t="e">
        <f>ROUND(#REF!,2)</f>
        <v>#REF!</v>
      </c>
      <c r="N69" s="128" t="e">
        <f>ROUND(#REF!,2)</f>
        <v>#REF!</v>
      </c>
      <c r="O69" s="122" t="e">
        <f t="shared" si="3"/>
        <v>#REF!</v>
      </c>
      <c r="Q69" s="765">
        <v>5.91</v>
      </c>
      <c r="R69" s="765">
        <f t="shared" si="8"/>
        <v>4.2214285714285715</v>
      </c>
      <c r="S69" s="765">
        <f t="shared" si="7"/>
        <v>4.2981818181818179</v>
      </c>
      <c r="T69" s="765">
        <f t="shared" si="11"/>
        <v>4.2214285714285715</v>
      </c>
    </row>
    <row r="70" spans="1:20" s="98" customFormat="1" outlineLevel="1">
      <c r="A70" s="141" t="s">
        <v>3478</v>
      </c>
      <c r="B70" s="180" t="s">
        <v>1559</v>
      </c>
      <c r="C70" s="100" t="s">
        <v>2356</v>
      </c>
      <c r="D70" s="183" t="s">
        <v>1468</v>
      </c>
      <c r="E70" s="20">
        <v>14</v>
      </c>
      <c r="F70" s="20">
        <f t="shared" si="5"/>
        <v>47.664285714285718</v>
      </c>
      <c r="G70" s="19">
        <f t="shared" si="9"/>
        <v>667.30000000000007</v>
      </c>
      <c r="H70" s="19">
        <f t="shared" si="10"/>
        <v>2739.5334199999998</v>
      </c>
      <c r="I70" s="114" t="s">
        <v>1521</v>
      </c>
      <c r="J70" s="210">
        <f>VLOOKUP(I70,'Reajuste Atual'!$L$19:$M$25,2,FALSE)</f>
        <v>3.1053999999999999</v>
      </c>
      <c r="K70" s="190"/>
      <c r="L70" s="139"/>
      <c r="M70" s="128" t="e">
        <f>ROUND(#REF!,2)</f>
        <v>#REF!</v>
      </c>
      <c r="N70" s="128" t="e">
        <f>ROUND(#REF!,2)</f>
        <v>#REF!</v>
      </c>
      <c r="O70" s="122" t="e">
        <f t="shared" si="3"/>
        <v>#REF!</v>
      </c>
      <c r="Q70" s="765">
        <v>66.73</v>
      </c>
      <c r="R70" s="765">
        <f t="shared" si="8"/>
        <v>47.664285714285718</v>
      </c>
      <c r="S70" s="765">
        <f t="shared" si="7"/>
        <v>48.530909090909091</v>
      </c>
      <c r="T70" s="765">
        <f t="shared" si="11"/>
        <v>47.664285714285718</v>
      </c>
    </row>
    <row r="71" spans="1:20" s="98" customFormat="1" outlineLevel="1">
      <c r="A71" s="141" t="s">
        <v>3478</v>
      </c>
      <c r="B71" s="180" t="s">
        <v>1560</v>
      </c>
      <c r="C71" s="100" t="s">
        <v>2357</v>
      </c>
      <c r="D71" s="183" t="s">
        <v>1468</v>
      </c>
      <c r="E71" s="20">
        <v>32</v>
      </c>
      <c r="F71" s="20">
        <f t="shared" si="5"/>
        <v>45.678571428571431</v>
      </c>
      <c r="G71" s="19">
        <f t="shared" si="9"/>
        <v>1461.7142857142858</v>
      </c>
      <c r="H71" s="19">
        <f t="shared" si="10"/>
        <v>6000.9218285714278</v>
      </c>
      <c r="I71" s="114" t="s">
        <v>1521</v>
      </c>
      <c r="J71" s="210">
        <f>VLOOKUP(I71,'Reajuste Atual'!$L$19:$M$25,2,FALSE)</f>
        <v>3.1053999999999999</v>
      </c>
      <c r="K71" s="190"/>
      <c r="L71" s="139"/>
      <c r="M71" s="128" t="e">
        <f>ROUND(#REF!,2)</f>
        <v>#REF!</v>
      </c>
      <c r="N71" s="128" t="e">
        <f>ROUND(#REF!,2)</f>
        <v>#REF!</v>
      </c>
      <c r="O71" s="122" t="e">
        <f t="shared" si="3"/>
        <v>#REF!</v>
      </c>
      <c r="Q71" s="765">
        <v>63.95</v>
      </c>
      <c r="R71" s="765">
        <f t="shared" si="8"/>
        <v>45.678571428571431</v>
      </c>
      <c r="S71" s="765">
        <f t="shared" si="7"/>
        <v>46.509090909090908</v>
      </c>
      <c r="T71" s="765">
        <f t="shared" si="11"/>
        <v>45.678571428571431</v>
      </c>
    </row>
    <row r="72" spans="1:20" s="98" customFormat="1" outlineLevel="1">
      <c r="A72" s="141" t="s">
        <v>3478</v>
      </c>
      <c r="B72" s="175" t="s">
        <v>3042</v>
      </c>
      <c r="C72" s="100" t="s">
        <v>3043</v>
      </c>
      <c r="D72" s="99" t="s">
        <v>1467</v>
      </c>
      <c r="E72" s="20">
        <v>3866.8248480245984</v>
      </c>
      <c r="F72" s="20">
        <f t="shared" si="5"/>
        <v>1.5821040402447049</v>
      </c>
      <c r="G72" s="19">
        <f t="shared" si="9"/>
        <v>6117.7192149783341</v>
      </c>
      <c r="H72" s="19">
        <f t="shared" si="10"/>
        <v>21133.661028142655</v>
      </c>
      <c r="I72" s="114" t="s">
        <v>1523</v>
      </c>
      <c r="J72" s="210">
        <f>VLOOKUP(I72,'Reajuste Atual'!$L$19:$M$25,2,FALSE)</f>
        <v>2.4544999999999999</v>
      </c>
      <c r="K72" s="190"/>
      <c r="L72" s="139"/>
      <c r="M72" s="128" t="e">
        <f>ROUND(#REF!,2)</f>
        <v>#REF!</v>
      </c>
      <c r="N72" s="128" t="e">
        <f>ROUND(#REF!,2)</f>
        <v>#REF!</v>
      </c>
      <c r="O72" s="122" t="e">
        <f t="shared" si="3"/>
        <v>#REF!</v>
      </c>
      <c r="Q72" s="765">
        <v>2.2149456563425867</v>
      </c>
      <c r="R72" s="765">
        <f t="shared" si="8"/>
        <v>1.5821040402447049</v>
      </c>
      <c r="S72" s="765">
        <f t="shared" si="7"/>
        <v>1.6108695682491538</v>
      </c>
      <c r="T72" s="765">
        <f t="shared" si="11"/>
        <v>1.5821040402447049</v>
      </c>
    </row>
    <row r="73" spans="1:20" s="98" customFormat="1" outlineLevel="1">
      <c r="A73" s="141" t="s">
        <v>3478</v>
      </c>
      <c r="B73" s="175" t="s">
        <v>3044</v>
      </c>
      <c r="C73" s="100" t="s">
        <v>2762</v>
      </c>
      <c r="D73" s="99" t="s">
        <v>1468</v>
      </c>
      <c r="E73" s="20">
        <v>2604</v>
      </c>
      <c r="F73" s="20">
        <f t="shared" si="5"/>
        <v>3.9928571428571429</v>
      </c>
      <c r="G73" s="19">
        <f t="shared" si="9"/>
        <v>10397.4</v>
      </c>
      <c r="H73" s="19">
        <f t="shared" si="10"/>
        <v>42685.485959999991</v>
      </c>
      <c r="I73" s="114" t="s">
        <v>1521</v>
      </c>
      <c r="J73" s="210">
        <f>VLOOKUP(I73,'Reajuste Atual'!$L$19:$M$25,2,FALSE)</f>
        <v>3.1053999999999999</v>
      </c>
      <c r="K73" s="191"/>
      <c r="L73" s="177"/>
      <c r="M73" s="128" t="e">
        <f>ROUND(#REF!,2)</f>
        <v>#REF!</v>
      </c>
      <c r="N73" s="128" t="e">
        <f>ROUND(#REF!,2)</f>
        <v>#REF!</v>
      </c>
      <c r="O73" s="122" t="e">
        <f t="shared" si="3"/>
        <v>#REF!</v>
      </c>
      <c r="Q73" s="765">
        <v>5.59</v>
      </c>
      <c r="R73" s="765">
        <f t="shared" si="8"/>
        <v>3.9928571428571429</v>
      </c>
      <c r="S73" s="765">
        <f t="shared" si="7"/>
        <v>4.0654545454545454</v>
      </c>
      <c r="T73" s="765">
        <f t="shared" si="11"/>
        <v>3.9928571428571429</v>
      </c>
    </row>
    <row r="74" spans="1:20" s="120" customFormat="1" outlineLevel="1">
      <c r="B74" s="178" t="s">
        <v>960</v>
      </c>
      <c r="C74" s="103" t="s">
        <v>3565</v>
      </c>
      <c r="D74" s="85"/>
      <c r="E74" s="64"/>
      <c r="F74" s="64"/>
      <c r="G74" s="64">
        <f>G75+G91+G106+G120+G266</f>
        <v>18222959.774545453</v>
      </c>
      <c r="H74" s="64">
        <f>H75+H91+H106+H120+H266</f>
        <v>74812655.216600731</v>
      </c>
      <c r="I74" s="111">
        <v>0</v>
      </c>
      <c r="J74" s="86"/>
      <c r="K74" s="193"/>
      <c r="L74" s="139"/>
      <c r="M74" s="128"/>
      <c r="N74" s="128"/>
      <c r="O74" s="122"/>
      <c r="P74" s="98"/>
      <c r="Q74" s="765"/>
      <c r="R74" s="765"/>
      <c r="S74" s="765"/>
      <c r="T74" s="765"/>
    </row>
    <row r="75" spans="1:20" s="98" customFormat="1" outlineLevel="1">
      <c r="B75" s="179" t="s">
        <v>961</v>
      </c>
      <c r="C75" s="106" t="s">
        <v>1434</v>
      </c>
      <c r="D75" s="87"/>
      <c r="E75" s="89"/>
      <c r="F75" s="89"/>
      <c r="G75" s="89">
        <f>SUM(G76:G90)</f>
        <v>1683332.1600000004</v>
      </c>
      <c r="H75" s="89">
        <f>SUM(H76:H90)</f>
        <v>6910845.9778458169</v>
      </c>
      <c r="I75" s="113">
        <v>0</v>
      </c>
      <c r="J75" s="90"/>
      <c r="K75" s="190"/>
      <c r="L75" s="139"/>
      <c r="M75" s="128"/>
      <c r="N75" s="128"/>
      <c r="O75" s="122"/>
      <c r="Q75" s="765"/>
      <c r="R75" s="765"/>
      <c r="S75" s="765"/>
      <c r="T75" s="765"/>
    </row>
    <row r="76" spans="1:20" s="98" customFormat="1" outlineLevel="1">
      <c r="A76" s="141" t="s">
        <v>3483</v>
      </c>
      <c r="B76" s="175" t="s">
        <v>962</v>
      </c>
      <c r="C76" s="100" t="s">
        <v>2358</v>
      </c>
      <c r="D76" s="183" t="s">
        <v>1468</v>
      </c>
      <c r="E76" s="20">
        <v>311</v>
      </c>
      <c r="F76" s="20">
        <f t="shared" ref="F76:F139" si="12">T76</f>
        <v>76.916363636363641</v>
      </c>
      <c r="G76" s="19">
        <f t="shared" ref="G76:G90" si="13">E76*F76</f>
        <v>23920.989090909094</v>
      </c>
      <c r="H76" s="19">
        <f t="shared" ref="H76:H90" si="14">G76*(1+J76)</f>
        <v>98205.228613818181</v>
      </c>
      <c r="I76" s="114" t="s">
        <v>1521</v>
      </c>
      <c r="J76" s="210">
        <f>VLOOKUP(I76,'Reajuste Atual'!$L$19:$M$25,2,FALSE)</f>
        <v>3.1053999999999999</v>
      </c>
      <c r="K76" s="190"/>
      <c r="L76" s="139"/>
      <c r="M76" s="128" t="e">
        <f>ROUND(#REF!,2)</f>
        <v>#REF!</v>
      </c>
      <c r="N76" s="128" t="e">
        <f>ROUND(#REF!,2)</f>
        <v>#REF!</v>
      </c>
      <c r="O76" s="122" t="e">
        <f t="shared" ref="O76:O90" si="15">N76*(1+J76)</f>
        <v>#REF!</v>
      </c>
      <c r="Q76" s="765">
        <v>105.76</v>
      </c>
      <c r="R76" s="765">
        <f t="shared" ref="R76:R139" si="16">Q76/($R$23+1)</f>
        <v>75.542857142857144</v>
      </c>
      <c r="S76" s="765">
        <f t="shared" ref="S76:S118" si="17">Q76/($S$23+1)</f>
        <v>76.916363636363641</v>
      </c>
      <c r="T76" s="765">
        <f t="shared" ref="T76:T90" si="18">IF(A76="S",R76,S76)</f>
        <v>76.916363636363641</v>
      </c>
    </row>
    <row r="77" spans="1:20" s="98" customFormat="1" outlineLevel="1">
      <c r="A77" s="141" t="s">
        <v>3483</v>
      </c>
      <c r="B77" s="175" t="s">
        <v>963</v>
      </c>
      <c r="C77" s="100" t="s">
        <v>2359</v>
      </c>
      <c r="D77" s="183" t="s">
        <v>1468</v>
      </c>
      <c r="E77" s="20">
        <v>311</v>
      </c>
      <c r="F77" s="20">
        <f t="shared" si="12"/>
        <v>387.85454545454542</v>
      </c>
      <c r="G77" s="19">
        <f t="shared" si="13"/>
        <v>120622.76363636363</v>
      </c>
      <c r="H77" s="19">
        <f t="shared" si="14"/>
        <v>495204.69383272715</v>
      </c>
      <c r="I77" s="114" t="s">
        <v>1521</v>
      </c>
      <c r="J77" s="210">
        <f>VLOOKUP(I77,'Reajuste Atual'!$L$19:$M$25,2,FALSE)</f>
        <v>3.1053999999999999</v>
      </c>
      <c r="K77" s="190"/>
      <c r="L77" s="139"/>
      <c r="M77" s="128" t="e">
        <f>ROUND(#REF!,2)</f>
        <v>#REF!</v>
      </c>
      <c r="N77" s="128" t="e">
        <f>ROUND(#REF!,2)</f>
        <v>#REF!</v>
      </c>
      <c r="O77" s="122" t="e">
        <f t="shared" si="15"/>
        <v>#REF!</v>
      </c>
      <c r="Q77" s="765">
        <v>533.29999999999995</v>
      </c>
      <c r="R77" s="765">
        <f t="shared" si="16"/>
        <v>380.92857142857144</v>
      </c>
      <c r="S77" s="765">
        <f t="shared" si="17"/>
        <v>387.85454545454542</v>
      </c>
      <c r="T77" s="765">
        <f t="shared" si="18"/>
        <v>387.85454545454542</v>
      </c>
    </row>
    <row r="78" spans="1:20" s="98" customFormat="1" outlineLevel="1">
      <c r="A78" s="141" t="s">
        <v>3483</v>
      </c>
      <c r="B78" s="175" t="s">
        <v>964</v>
      </c>
      <c r="C78" s="100" t="s">
        <v>2360</v>
      </c>
      <c r="D78" s="183" t="s">
        <v>1468</v>
      </c>
      <c r="E78" s="20">
        <v>311</v>
      </c>
      <c r="F78" s="20">
        <f t="shared" si="12"/>
        <v>153.81818181818181</v>
      </c>
      <c r="G78" s="19">
        <f t="shared" si="13"/>
        <v>47837.454545454544</v>
      </c>
      <c r="H78" s="19">
        <f t="shared" si="14"/>
        <v>196391.88589090906</v>
      </c>
      <c r="I78" s="114" t="s">
        <v>1521</v>
      </c>
      <c r="J78" s="210">
        <f>VLOOKUP(I78,'Reajuste Atual'!$L$19:$M$25,2,FALSE)</f>
        <v>3.1053999999999999</v>
      </c>
      <c r="K78" s="190"/>
      <c r="L78" s="139"/>
      <c r="M78" s="128" t="e">
        <f>ROUND(#REF!,2)</f>
        <v>#REF!</v>
      </c>
      <c r="N78" s="128" t="e">
        <f>ROUND(#REF!,2)</f>
        <v>#REF!</v>
      </c>
      <c r="O78" s="122" t="e">
        <f t="shared" si="15"/>
        <v>#REF!</v>
      </c>
      <c r="Q78" s="765">
        <v>211.5</v>
      </c>
      <c r="R78" s="765">
        <f t="shared" si="16"/>
        <v>151.07142857142858</v>
      </c>
      <c r="S78" s="765">
        <f t="shared" si="17"/>
        <v>153.81818181818181</v>
      </c>
      <c r="T78" s="765">
        <f t="shared" si="18"/>
        <v>153.81818181818181</v>
      </c>
    </row>
    <row r="79" spans="1:20" s="98" customFormat="1" outlineLevel="1">
      <c r="A79" s="141" t="s">
        <v>3483</v>
      </c>
      <c r="B79" s="175" t="s">
        <v>965</v>
      </c>
      <c r="C79" s="100" t="s">
        <v>2361</v>
      </c>
      <c r="D79" s="183" t="s">
        <v>1468</v>
      </c>
      <c r="E79" s="20">
        <v>311</v>
      </c>
      <c r="F79" s="20">
        <f t="shared" si="12"/>
        <v>366.94545454545454</v>
      </c>
      <c r="G79" s="19">
        <f t="shared" si="13"/>
        <v>114120.03636363636</v>
      </c>
      <c r="H79" s="19">
        <f t="shared" si="14"/>
        <v>468508.39728727267</v>
      </c>
      <c r="I79" s="114" t="s">
        <v>1521</v>
      </c>
      <c r="J79" s="210">
        <f>VLOOKUP(I79,'Reajuste Atual'!$L$19:$M$25,2,FALSE)</f>
        <v>3.1053999999999999</v>
      </c>
      <c r="K79" s="190"/>
      <c r="L79" s="139"/>
      <c r="M79" s="128" t="e">
        <f>ROUND(#REF!,2)</f>
        <v>#REF!</v>
      </c>
      <c r="N79" s="128" t="e">
        <f>ROUND(#REF!,2)</f>
        <v>#REF!</v>
      </c>
      <c r="O79" s="122" t="e">
        <f t="shared" si="15"/>
        <v>#REF!</v>
      </c>
      <c r="Q79" s="765">
        <v>504.55</v>
      </c>
      <c r="R79" s="765">
        <f t="shared" si="16"/>
        <v>360.39285714285717</v>
      </c>
      <c r="S79" s="765">
        <f t="shared" si="17"/>
        <v>366.94545454545454</v>
      </c>
      <c r="T79" s="765">
        <f t="shared" si="18"/>
        <v>366.94545454545454</v>
      </c>
    </row>
    <row r="80" spans="1:20" s="98" customFormat="1" outlineLevel="1">
      <c r="A80" s="141" t="s">
        <v>3483</v>
      </c>
      <c r="B80" s="175" t="s">
        <v>966</v>
      </c>
      <c r="C80" s="100" t="s">
        <v>2362</v>
      </c>
      <c r="D80" s="183" t="s">
        <v>1468</v>
      </c>
      <c r="E80" s="20">
        <v>311</v>
      </c>
      <c r="F80" s="20">
        <f t="shared" si="12"/>
        <v>3917.6945454545453</v>
      </c>
      <c r="G80" s="19">
        <f t="shared" si="13"/>
        <v>1218403.0036363637</v>
      </c>
      <c r="H80" s="19">
        <f t="shared" si="14"/>
        <v>5002031.691128727</v>
      </c>
      <c r="I80" s="114" t="s">
        <v>1521</v>
      </c>
      <c r="J80" s="210">
        <f>VLOOKUP(I80,'Reajuste Atual'!$L$19:$M$25,2,FALSE)</f>
        <v>3.1053999999999999</v>
      </c>
      <c r="K80" s="190"/>
      <c r="L80" s="139"/>
      <c r="M80" s="128" t="e">
        <f>ROUND(#REF!,2)</f>
        <v>#REF!</v>
      </c>
      <c r="N80" s="128" t="e">
        <f>ROUND(#REF!,2)</f>
        <v>#REF!</v>
      </c>
      <c r="O80" s="122" t="e">
        <f t="shared" si="15"/>
        <v>#REF!</v>
      </c>
      <c r="Q80" s="765">
        <v>5386.83</v>
      </c>
      <c r="R80" s="765">
        <f t="shared" si="16"/>
        <v>3847.7357142857145</v>
      </c>
      <c r="S80" s="765">
        <f t="shared" si="17"/>
        <v>3917.6945454545453</v>
      </c>
      <c r="T80" s="765">
        <f t="shared" si="18"/>
        <v>3917.6945454545453</v>
      </c>
    </row>
    <row r="81" spans="1:20" s="98" customFormat="1" outlineLevel="1">
      <c r="A81" s="141" t="s">
        <v>3483</v>
      </c>
      <c r="B81" s="175" t="s">
        <v>967</v>
      </c>
      <c r="C81" s="100" t="s">
        <v>2363</v>
      </c>
      <c r="D81" s="183" t="s">
        <v>1468</v>
      </c>
      <c r="E81" s="20">
        <v>322</v>
      </c>
      <c r="F81" s="20">
        <f t="shared" si="12"/>
        <v>70.741818181818175</v>
      </c>
      <c r="G81" s="19">
        <f t="shared" si="13"/>
        <v>22778.865454545452</v>
      </c>
      <c r="H81" s="19">
        <f t="shared" si="14"/>
        <v>93516.354237090884</v>
      </c>
      <c r="I81" s="114" t="s">
        <v>1521</v>
      </c>
      <c r="J81" s="210">
        <f>VLOOKUP(I81,'Reajuste Atual'!$L$19:$M$25,2,FALSE)</f>
        <v>3.1053999999999999</v>
      </c>
      <c r="K81" s="190"/>
      <c r="L81" s="139"/>
      <c r="M81" s="128" t="e">
        <f>ROUND(#REF!,2)</f>
        <v>#REF!</v>
      </c>
      <c r="N81" s="128" t="e">
        <f>ROUND(#REF!,2)</f>
        <v>#REF!</v>
      </c>
      <c r="O81" s="122" t="e">
        <f t="shared" si="15"/>
        <v>#REF!</v>
      </c>
      <c r="Q81" s="765">
        <v>97.27</v>
      </c>
      <c r="R81" s="765">
        <f t="shared" si="16"/>
        <v>69.478571428571428</v>
      </c>
      <c r="S81" s="765">
        <f t="shared" si="17"/>
        <v>70.741818181818175</v>
      </c>
      <c r="T81" s="765">
        <f t="shared" si="18"/>
        <v>70.741818181818175</v>
      </c>
    </row>
    <row r="82" spans="1:20" s="98" customFormat="1" outlineLevel="1">
      <c r="A82" s="141" t="s">
        <v>3483</v>
      </c>
      <c r="B82" s="175" t="s">
        <v>968</v>
      </c>
      <c r="C82" s="100" t="s">
        <v>2364</v>
      </c>
      <c r="D82" s="183" t="s">
        <v>1468</v>
      </c>
      <c r="E82" s="20">
        <v>311</v>
      </c>
      <c r="F82" s="20">
        <f t="shared" si="12"/>
        <v>187.16363636363639</v>
      </c>
      <c r="G82" s="19">
        <f t="shared" si="13"/>
        <v>58207.890909090915</v>
      </c>
      <c r="H82" s="19">
        <f t="shared" si="14"/>
        <v>238966.67533818181</v>
      </c>
      <c r="I82" s="114" t="s">
        <v>1521</v>
      </c>
      <c r="J82" s="210">
        <f>VLOOKUP(I82,'Reajuste Atual'!$L$19:$M$25,2,FALSE)</f>
        <v>3.1053999999999999</v>
      </c>
      <c r="K82" s="190"/>
      <c r="L82" s="139"/>
      <c r="M82" s="128" t="e">
        <f>ROUND(#REF!,2)</f>
        <v>#REF!</v>
      </c>
      <c r="N82" s="128" t="e">
        <f>ROUND(#REF!,2)</f>
        <v>#REF!</v>
      </c>
      <c r="O82" s="122" t="e">
        <f t="shared" si="15"/>
        <v>#REF!</v>
      </c>
      <c r="Q82" s="765">
        <v>257.35000000000002</v>
      </c>
      <c r="R82" s="765">
        <f t="shared" si="16"/>
        <v>183.82142857142861</v>
      </c>
      <c r="S82" s="765">
        <f t="shared" si="17"/>
        <v>187.16363636363639</v>
      </c>
      <c r="T82" s="765">
        <f t="shared" si="18"/>
        <v>187.16363636363639</v>
      </c>
    </row>
    <row r="83" spans="1:20" s="98" customFormat="1" outlineLevel="1">
      <c r="A83" s="141" t="s">
        <v>3483</v>
      </c>
      <c r="B83" s="175" t="s">
        <v>969</v>
      </c>
      <c r="C83" s="100" t="s">
        <v>2365</v>
      </c>
      <c r="D83" s="183" t="s">
        <v>1468</v>
      </c>
      <c r="E83" s="20">
        <v>311</v>
      </c>
      <c r="F83" s="20">
        <f t="shared" si="12"/>
        <v>38.152727272727276</v>
      </c>
      <c r="G83" s="19">
        <f t="shared" si="13"/>
        <v>11865.498181818182</v>
      </c>
      <c r="H83" s="19">
        <f t="shared" si="14"/>
        <v>48712.616235636357</v>
      </c>
      <c r="I83" s="114" t="s">
        <v>1521</v>
      </c>
      <c r="J83" s="210">
        <f>VLOOKUP(I83,'Reajuste Atual'!$L$19:$M$25,2,FALSE)</f>
        <v>3.1053999999999999</v>
      </c>
      <c r="K83" s="190"/>
      <c r="L83" s="139"/>
      <c r="M83" s="128" t="e">
        <f>ROUND(#REF!,2)</f>
        <v>#REF!</v>
      </c>
      <c r="N83" s="128" t="e">
        <f>ROUND(#REF!,2)</f>
        <v>#REF!</v>
      </c>
      <c r="O83" s="122" t="e">
        <f t="shared" si="15"/>
        <v>#REF!</v>
      </c>
      <c r="Q83" s="765">
        <v>52.46</v>
      </c>
      <c r="R83" s="765">
        <f t="shared" si="16"/>
        <v>37.471428571428575</v>
      </c>
      <c r="S83" s="765">
        <f t="shared" si="17"/>
        <v>38.152727272727276</v>
      </c>
      <c r="T83" s="765">
        <f t="shared" si="18"/>
        <v>38.152727272727276</v>
      </c>
    </row>
    <row r="84" spans="1:20" s="98" customFormat="1" outlineLevel="1">
      <c r="A84" s="141" t="s">
        <v>3483</v>
      </c>
      <c r="B84" s="175" t="s">
        <v>970</v>
      </c>
      <c r="C84" s="100" t="s">
        <v>2366</v>
      </c>
      <c r="D84" s="183" t="s">
        <v>1468</v>
      </c>
      <c r="E84" s="20">
        <v>311</v>
      </c>
      <c r="F84" s="20">
        <f t="shared" si="12"/>
        <v>124.62545454545456</v>
      </c>
      <c r="G84" s="19">
        <f t="shared" si="13"/>
        <v>38758.516363636365</v>
      </c>
      <c r="H84" s="19">
        <f t="shared" si="14"/>
        <v>159119.21307927271</v>
      </c>
      <c r="I84" s="114" t="s">
        <v>1521</v>
      </c>
      <c r="J84" s="210">
        <f>VLOOKUP(I84,'Reajuste Atual'!$L$19:$M$25,2,FALSE)</f>
        <v>3.1053999999999999</v>
      </c>
      <c r="K84" s="190"/>
      <c r="L84" s="139"/>
      <c r="M84" s="128" t="e">
        <f>ROUND(#REF!,2)</f>
        <v>#REF!</v>
      </c>
      <c r="N84" s="128" t="e">
        <f>ROUND(#REF!,2)</f>
        <v>#REF!</v>
      </c>
      <c r="O84" s="122" t="e">
        <f t="shared" si="15"/>
        <v>#REF!</v>
      </c>
      <c r="Q84" s="765">
        <v>171.36</v>
      </c>
      <c r="R84" s="765">
        <f t="shared" si="16"/>
        <v>122.40000000000002</v>
      </c>
      <c r="S84" s="765">
        <f t="shared" si="17"/>
        <v>124.62545454545456</v>
      </c>
      <c r="T84" s="765">
        <f t="shared" si="18"/>
        <v>124.62545454545456</v>
      </c>
    </row>
    <row r="85" spans="1:20" s="98" customFormat="1" outlineLevel="1">
      <c r="A85" s="141" t="s">
        <v>3483</v>
      </c>
      <c r="B85" s="175" t="s">
        <v>971</v>
      </c>
      <c r="C85" s="100" t="s">
        <v>1435</v>
      </c>
      <c r="D85" s="183" t="s">
        <v>1468</v>
      </c>
      <c r="E85" s="20">
        <v>311</v>
      </c>
      <c r="F85" s="20">
        <f t="shared" si="12"/>
        <v>2.938181818181818</v>
      </c>
      <c r="G85" s="19">
        <f t="shared" si="13"/>
        <v>913.77454545454543</v>
      </c>
      <c r="H85" s="19">
        <f t="shared" si="14"/>
        <v>3751.4100189090905</v>
      </c>
      <c r="I85" s="114" t="s">
        <v>1521</v>
      </c>
      <c r="J85" s="210">
        <f>VLOOKUP(I85,'Reajuste Atual'!$L$19:$M$25,2,FALSE)</f>
        <v>3.1053999999999999</v>
      </c>
      <c r="K85" s="190"/>
      <c r="L85" s="139"/>
      <c r="M85" s="128" t="e">
        <f>ROUND(#REF!,2)</f>
        <v>#REF!</v>
      </c>
      <c r="N85" s="128" t="e">
        <f>ROUND(#REF!,2)</f>
        <v>#REF!</v>
      </c>
      <c r="O85" s="122" t="e">
        <f t="shared" si="15"/>
        <v>#REF!</v>
      </c>
      <c r="Q85" s="765">
        <v>4.04</v>
      </c>
      <c r="R85" s="765">
        <f t="shared" si="16"/>
        <v>2.8857142857142861</v>
      </c>
      <c r="S85" s="765">
        <f t="shared" si="17"/>
        <v>2.938181818181818</v>
      </c>
      <c r="T85" s="765">
        <f t="shared" si="18"/>
        <v>2.938181818181818</v>
      </c>
    </row>
    <row r="86" spans="1:20" s="98" customFormat="1" outlineLevel="1">
      <c r="A86" s="141" t="s">
        <v>3483</v>
      </c>
      <c r="B86" s="175" t="s">
        <v>972</v>
      </c>
      <c r="C86" s="100" t="s">
        <v>2367</v>
      </c>
      <c r="D86" s="183" t="s">
        <v>1468</v>
      </c>
      <c r="E86" s="20">
        <v>933</v>
      </c>
      <c r="F86" s="20">
        <f t="shared" si="12"/>
        <v>9.5272727272727273</v>
      </c>
      <c r="G86" s="19">
        <f t="shared" si="13"/>
        <v>8888.9454545454555</v>
      </c>
      <c r="H86" s="19">
        <f t="shared" si="14"/>
        <v>36492.676669090906</v>
      </c>
      <c r="I86" s="114" t="s">
        <v>1521</v>
      </c>
      <c r="J86" s="210">
        <f>VLOOKUP(I86,'Reajuste Atual'!$L$19:$M$25,2,FALSE)</f>
        <v>3.1053999999999999</v>
      </c>
      <c r="K86" s="190"/>
      <c r="L86" s="139"/>
      <c r="M86" s="128" t="e">
        <f>ROUND(#REF!,2)</f>
        <v>#REF!</v>
      </c>
      <c r="N86" s="128" t="e">
        <f>ROUND(#REF!,2)</f>
        <v>#REF!</v>
      </c>
      <c r="O86" s="122" t="e">
        <f t="shared" si="15"/>
        <v>#REF!</v>
      </c>
      <c r="Q86" s="765">
        <v>13.1</v>
      </c>
      <c r="R86" s="765">
        <f t="shared" si="16"/>
        <v>9.3571428571428577</v>
      </c>
      <c r="S86" s="765">
        <f t="shared" si="17"/>
        <v>9.5272727272727273</v>
      </c>
      <c r="T86" s="765">
        <f t="shared" si="18"/>
        <v>9.5272727272727273</v>
      </c>
    </row>
    <row r="87" spans="1:20" s="98" customFormat="1" outlineLevel="1">
      <c r="A87" s="141" t="s">
        <v>3483</v>
      </c>
      <c r="B87" s="175" t="s">
        <v>973</v>
      </c>
      <c r="C87" s="100" t="s">
        <v>2368</v>
      </c>
      <c r="D87" s="183" t="s">
        <v>1468</v>
      </c>
      <c r="E87" s="20">
        <v>933</v>
      </c>
      <c r="F87" s="20">
        <f t="shared" si="12"/>
        <v>18.007272727272728</v>
      </c>
      <c r="G87" s="19">
        <f t="shared" si="13"/>
        <v>16800.785454545454</v>
      </c>
      <c r="H87" s="19">
        <f t="shared" si="14"/>
        <v>68973.944605090903</v>
      </c>
      <c r="I87" s="114" t="s">
        <v>1521</v>
      </c>
      <c r="J87" s="210">
        <f>VLOOKUP(I87,'Reajuste Atual'!$L$19:$M$25,2,FALSE)</f>
        <v>3.1053999999999999</v>
      </c>
      <c r="K87" s="190"/>
      <c r="L87" s="139"/>
      <c r="M87" s="128" t="e">
        <f>ROUND(#REF!,2)</f>
        <v>#REF!</v>
      </c>
      <c r="N87" s="128" t="e">
        <f>ROUND(#REF!,2)</f>
        <v>#REF!</v>
      </c>
      <c r="O87" s="122" t="e">
        <f t="shared" si="15"/>
        <v>#REF!</v>
      </c>
      <c r="Q87" s="765">
        <v>24.76</v>
      </c>
      <c r="R87" s="765">
        <f t="shared" si="16"/>
        <v>17.685714285714287</v>
      </c>
      <c r="S87" s="765">
        <f t="shared" si="17"/>
        <v>18.007272727272728</v>
      </c>
      <c r="T87" s="765">
        <f t="shared" si="18"/>
        <v>18.007272727272728</v>
      </c>
    </row>
    <row r="88" spans="1:20" s="98" customFormat="1" outlineLevel="1">
      <c r="A88" s="141" t="s">
        <v>3483</v>
      </c>
      <c r="B88" s="175" t="s">
        <v>974</v>
      </c>
      <c r="C88" s="100" t="s">
        <v>2369</v>
      </c>
      <c r="D88" s="183" t="s">
        <v>1468</v>
      </c>
      <c r="E88" s="20">
        <v>0</v>
      </c>
      <c r="F88" s="20">
        <f t="shared" si="12"/>
        <v>57.418181818181822</v>
      </c>
      <c r="G88" s="19">
        <f t="shared" si="13"/>
        <v>0</v>
      </c>
      <c r="H88" s="19">
        <f t="shared" si="14"/>
        <v>0</v>
      </c>
      <c r="I88" s="114" t="s">
        <v>1521</v>
      </c>
      <c r="J88" s="210">
        <f>VLOOKUP(I88,'Reajuste Atual'!$L$19:$M$25,2,FALSE)</f>
        <v>3.1053999999999999</v>
      </c>
      <c r="K88" s="190"/>
      <c r="L88" s="139"/>
      <c r="M88" s="128" t="e">
        <f>ROUND(#REF!,2)</f>
        <v>#REF!</v>
      </c>
      <c r="N88" s="128" t="e">
        <f>ROUND(#REF!,2)</f>
        <v>#REF!</v>
      </c>
      <c r="O88" s="122" t="e">
        <f t="shared" si="15"/>
        <v>#REF!</v>
      </c>
      <c r="Q88" s="765">
        <v>78.95</v>
      </c>
      <c r="R88" s="765">
        <f t="shared" si="16"/>
        <v>56.392857142857146</v>
      </c>
      <c r="S88" s="765">
        <f t="shared" si="17"/>
        <v>57.418181818181822</v>
      </c>
      <c r="T88" s="765">
        <f t="shared" si="18"/>
        <v>57.418181818181822</v>
      </c>
    </row>
    <row r="89" spans="1:20" s="98" customFormat="1" outlineLevel="1">
      <c r="A89" s="141" t="s">
        <v>3483</v>
      </c>
      <c r="B89" s="175" t="s">
        <v>975</v>
      </c>
      <c r="C89" s="100" t="s">
        <v>2370</v>
      </c>
      <c r="D89" s="183" t="s">
        <v>1468</v>
      </c>
      <c r="E89" s="20">
        <v>0</v>
      </c>
      <c r="F89" s="20">
        <f t="shared" si="12"/>
        <v>79.461818181818188</v>
      </c>
      <c r="G89" s="19">
        <f t="shared" si="13"/>
        <v>0</v>
      </c>
      <c r="H89" s="19">
        <f t="shared" si="14"/>
        <v>0</v>
      </c>
      <c r="I89" s="114" t="s">
        <v>1521</v>
      </c>
      <c r="J89" s="210">
        <f>VLOOKUP(I89,'Reajuste Atual'!$L$19:$M$25,2,FALSE)</f>
        <v>3.1053999999999999</v>
      </c>
      <c r="K89" s="190"/>
      <c r="L89" s="139"/>
      <c r="M89" s="128" t="e">
        <f>ROUND(#REF!,2)</f>
        <v>#REF!</v>
      </c>
      <c r="N89" s="128" t="e">
        <f>ROUND(#REF!,2)</f>
        <v>#REF!</v>
      </c>
      <c r="O89" s="122" t="e">
        <f t="shared" si="15"/>
        <v>#REF!</v>
      </c>
      <c r="Q89" s="765">
        <v>109.26</v>
      </c>
      <c r="R89" s="765">
        <f t="shared" si="16"/>
        <v>78.042857142857144</v>
      </c>
      <c r="S89" s="765">
        <f t="shared" si="17"/>
        <v>79.461818181818188</v>
      </c>
      <c r="T89" s="765">
        <f t="shared" si="18"/>
        <v>79.461818181818188</v>
      </c>
    </row>
    <row r="90" spans="1:20" s="120" customFormat="1" outlineLevel="1">
      <c r="A90" s="141" t="s">
        <v>3483</v>
      </c>
      <c r="B90" s="175" t="s">
        <v>976</v>
      </c>
      <c r="C90" s="100" t="s">
        <v>2371</v>
      </c>
      <c r="D90" s="99" t="s">
        <v>1472</v>
      </c>
      <c r="E90" s="20">
        <v>47</v>
      </c>
      <c r="F90" s="20">
        <f t="shared" si="12"/>
        <v>4.5454545454545459</v>
      </c>
      <c r="G90" s="19">
        <f t="shared" si="13"/>
        <v>213.63636363636365</v>
      </c>
      <c r="H90" s="19">
        <f t="shared" si="14"/>
        <v>971.19090909090903</v>
      </c>
      <c r="I90" s="114" t="s">
        <v>1522</v>
      </c>
      <c r="J90" s="210">
        <f>VLOOKUP(I90,'Reajuste Atual'!$L$19:$M$25,2,FALSE)</f>
        <v>3.5459999999999998</v>
      </c>
      <c r="K90" s="193"/>
      <c r="L90" s="139"/>
      <c r="M90" s="128" t="e">
        <f>ROUND(#REF!,2)</f>
        <v>#REF!</v>
      </c>
      <c r="N90" s="128" t="e">
        <f>ROUND(#REF!,2)</f>
        <v>#REF!</v>
      </c>
      <c r="O90" s="122" t="e">
        <f t="shared" si="15"/>
        <v>#REF!</v>
      </c>
      <c r="P90" s="98"/>
      <c r="Q90" s="765">
        <v>6.25</v>
      </c>
      <c r="R90" s="765">
        <f t="shared" si="16"/>
        <v>4.4642857142857144</v>
      </c>
      <c r="S90" s="765">
        <f t="shared" si="17"/>
        <v>4.5454545454545459</v>
      </c>
      <c r="T90" s="765">
        <f t="shared" si="18"/>
        <v>4.5454545454545459</v>
      </c>
    </row>
    <row r="91" spans="1:20" s="98" customFormat="1" outlineLevel="1">
      <c r="A91" s="141" t="s">
        <v>3483</v>
      </c>
      <c r="B91" s="179" t="s">
        <v>977</v>
      </c>
      <c r="C91" s="106" t="s">
        <v>1436</v>
      </c>
      <c r="D91" s="87"/>
      <c r="E91" s="89"/>
      <c r="F91" s="89"/>
      <c r="G91" s="89">
        <f>SUM(G92:G105)</f>
        <v>559453.51272727281</v>
      </c>
      <c r="H91" s="89">
        <f>SUM(H92:H105)</f>
        <v>2296802.4811505456</v>
      </c>
      <c r="I91" s="113">
        <v>0</v>
      </c>
      <c r="J91" s="90"/>
      <c r="K91" s="190"/>
      <c r="L91" s="139"/>
      <c r="M91" s="128"/>
      <c r="N91" s="128"/>
      <c r="O91" s="122"/>
      <c r="Q91" s="765"/>
      <c r="R91" s="765"/>
      <c r="S91" s="765"/>
      <c r="T91" s="765"/>
    </row>
    <row r="92" spans="1:20" s="98" customFormat="1" outlineLevel="1">
      <c r="A92" s="141" t="s">
        <v>3483</v>
      </c>
      <c r="B92" s="175" t="s">
        <v>978</v>
      </c>
      <c r="C92" s="100" t="s">
        <v>2372</v>
      </c>
      <c r="D92" s="183" t="s">
        <v>1468</v>
      </c>
      <c r="E92" s="20">
        <v>73</v>
      </c>
      <c r="F92" s="20">
        <f t="shared" si="12"/>
        <v>128.74181818181819</v>
      </c>
      <c r="G92" s="19">
        <f t="shared" ref="G92:G105" si="19">E92*F92</f>
        <v>9398.1527272727271</v>
      </c>
      <c r="H92" s="19">
        <f t="shared" ref="H92:H105" si="20">G92*(1+J92)</f>
        <v>38583.176206545446</v>
      </c>
      <c r="I92" s="114" t="s">
        <v>1521</v>
      </c>
      <c r="J92" s="210">
        <f>VLOOKUP(I92,'Reajuste Atual'!$L$19:$M$25,2,FALSE)</f>
        <v>3.1053999999999999</v>
      </c>
      <c r="K92" s="190"/>
      <c r="L92" s="139"/>
      <c r="M92" s="128" t="e">
        <f>ROUND(#REF!,2)</f>
        <v>#REF!</v>
      </c>
      <c r="N92" s="128" t="e">
        <f>ROUND(#REF!,2)</f>
        <v>#REF!</v>
      </c>
      <c r="O92" s="122" t="e">
        <f t="shared" ref="O92:O105" si="21">N92*(1+J92)</f>
        <v>#REF!</v>
      </c>
      <c r="Q92" s="765">
        <v>177.02</v>
      </c>
      <c r="R92" s="765">
        <f t="shared" si="16"/>
        <v>126.44285714285716</v>
      </c>
      <c r="S92" s="765">
        <f t="shared" si="17"/>
        <v>128.74181818181819</v>
      </c>
      <c r="T92" s="765">
        <f t="shared" ref="T92:T105" si="22">IF(A92="S",R92,S92)</f>
        <v>128.74181818181819</v>
      </c>
    </row>
    <row r="93" spans="1:20" s="98" customFormat="1" outlineLevel="1">
      <c r="A93" s="141" t="s">
        <v>3483</v>
      </c>
      <c r="B93" s="175" t="s">
        <v>979</v>
      </c>
      <c r="C93" s="100" t="s">
        <v>2373</v>
      </c>
      <c r="D93" s="183" t="s">
        <v>1468</v>
      </c>
      <c r="E93" s="20">
        <v>73</v>
      </c>
      <c r="F93" s="20">
        <f t="shared" si="12"/>
        <v>535.20727272727265</v>
      </c>
      <c r="G93" s="19">
        <f t="shared" si="19"/>
        <v>39070.130909090905</v>
      </c>
      <c r="H93" s="19">
        <f t="shared" si="20"/>
        <v>160398.51543418178</v>
      </c>
      <c r="I93" s="114" t="s">
        <v>1521</v>
      </c>
      <c r="J93" s="210">
        <f>VLOOKUP(I93,'Reajuste Atual'!$L$19:$M$25,2,FALSE)</f>
        <v>3.1053999999999999</v>
      </c>
      <c r="K93" s="190"/>
      <c r="L93" s="139"/>
      <c r="M93" s="128" t="e">
        <f>ROUND(#REF!,2)</f>
        <v>#REF!</v>
      </c>
      <c r="N93" s="128" t="e">
        <f>ROUND(#REF!,2)</f>
        <v>#REF!</v>
      </c>
      <c r="O93" s="122" t="e">
        <f t="shared" si="21"/>
        <v>#REF!</v>
      </c>
      <c r="Q93" s="765">
        <v>735.91</v>
      </c>
      <c r="R93" s="765">
        <f t="shared" si="16"/>
        <v>525.65</v>
      </c>
      <c r="S93" s="765">
        <f t="shared" si="17"/>
        <v>535.20727272727265</v>
      </c>
      <c r="T93" s="765">
        <f t="shared" si="22"/>
        <v>535.20727272727265</v>
      </c>
    </row>
    <row r="94" spans="1:20" s="98" customFormat="1" outlineLevel="1">
      <c r="A94" s="141" t="s">
        <v>3483</v>
      </c>
      <c r="B94" s="175" t="s">
        <v>980</v>
      </c>
      <c r="C94" s="100" t="s">
        <v>2374</v>
      </c>
      <c r="D94" s="183" t="s">
        <v>1468</v>
      </c>
      <c r="E94" s="20">
        <v>73</v>
      </c>
      <c r="F94" s="20">
        <f t="shared" si="12"/>
        <v>245.77454545454546</v>
      </c>
      <c r="G94" s="19">
        <f t="shared" si="19"/>
        <v>17941.54181818182</v>
      </c>
      <c r="H94" s="19">
        <f t="shared" si="20"/>
        <v>73657.205780363642</v>
      </c>
      <c r="I94" s="114" t="s">
        <v>1521</v>
      </c>
      <c r="J94" s="210">
        <f>VLOOKUP(I94,'Reajuste Atual'!$L$19:$M$25,2,FALSE)</f>
        <v>3.1053999999999999</v>
      </c>
      <c r="K94" s="190"/>
      <c r="L94" s="139"/>
      <c r="M94" s="128" t="e">
        <f>ROUND(#REF!,2)</f>
        <v>#REF!</v>
      </c>
      <c r="N94" s="128" t="e">
        <f>ROUND(#REF!,2)</f>
        <v>#REF!</v>
      </c>
      <c r="O94" s="122" t="e">
        <f t="shared" si="21"/>
        <v>#REF!</v>
      </c>
      <c r="Q94" s="765">
        <v>337.94</v>
      </c>
      <c r="R94" s="765">
        <f t="shared" si="16"/>
        <v>241.3857142857143</v>
      </c>
      <c r="S94" s="765">
        <f t="shared" si="17"/>
        <v>245.77454545454546</v>
      </c>
      <c r="T94" s="765">
        <f t="shared" si="22"/>
        <v>245.77454545454546</v>
      </c>
    </row>
    <row r="95" spans="1:20" s="98" customFormat="1" outlineLevel="1">
      <c r="A95" s="141" t="s">
        <v>3483</v>
      </c>
      <c r="B95" s="175" t="s">
        <v>981</v>
      </c>
      <c r="C95" s="100" t="s">
        <v>2375</v>
      </c>
      <c r="D95" s="183" t="s">
        <v>1468</v>
      </c>
      <c r="E95" s="20">
        <v>73</v>
      </c>
      <c r="F95" s="20">
        <f t="shared" si="12"/>
        <v>494.91636363636366</v>
      </c>
      <c r="G95" s="19">
        <f t="shared" si="19"/>
        <v>36128.894545454546</v>
      </c>
      <c r="H95" s="19">
        <f t="shared" si="20"/>
        <v>148323.56366690909</v>
      </c>
      <c r="I95" s="114" t="s">
        <v>1521</v>
      </c>
      <c r="J95" s="210">
        <f>VLOOKUP(I95,'Reajuste Atual'!$L$19:$M$25,2,FALSE)</f>
        <v>3.1053999999999999</v>
      </c>
      <c r="K95" s="190"/>
      <c r="L95" s="139"/>
      <c r="M95" s="128" t="e">
        <f>ROUND(#REF!,2)</f>
        <v>#REF!</v>
      </c>
      <c r="N95" s="128" t="e">
        <f>ROUND(#REF!,2)</f>
        <v>#REF!</v>
      </c>
      <c r="O95" s="122" t="e">
        <f t="shared" si="21"/>
        <v>#REF!</v>
      </c>
      <c r="Q95" s="765">
        <v>680.51</v>
      </c>
      <c r="R95" s="765">
        <f t="shared" si="16"/>
        <v>486.07857142857148</v>
      </c>
      <c r="S95" s="765">
        <f t="shared" si="17"/>
        <v>494.91636363636366</v>
      </c>
      <c r="T95" s="765">
        <f t="shared" si="22"/>
        <v>494.91636363636366</v>
      </c>
    </row>
    <row r="96" spans="1:20" s="98" customFormat="1" outlineLevel="1">
      <c r="A96" s="141" t="s">
        <v>3483</v>
      </c>
      <c r="B96" s="175" t="s">
        <v>982</v>
      </c>
      <c r="C96" s="100" t="s">
        <v>2376</v>
      </c>
      <c r="D96" s="183" t="s">
        <v>1468</v>
      </c>
      <c r="E96" s="20">
        <v>73</v>
      </c>
      <c r="F96" s="20">
        <f t="shared" si="12"/>
        <v>5614.8509090909092</v>
      </c>
      <c r="G96" s="19">
        <f t="shared" si="19"/>
        <v>409884.11636363639</v>
      </c>
      <c r="H96" s="19">
        <f t="shared" si="20"/>
        <v>1682738.2513192727</v>
      </c>
      <c r="I96" s="114" t="s">
        <v>1521</v>
      </c>
      <c r="J96" s="210">
        <f>VLOOKUP(I96,'Reajuste Atual'!$L$19:$M$25,2,FALSE)</f>
        <v>3.1053999999999999</v>
      </c>
      <c r="K96" s="190"/>
      <c r="L96" s="139"/>
      <c r="M96" s="128" t="e">
        <f>ROUND(#REF!,2)</f>
        <v>#REF!</v>
      </c>
      <c r="N96" s="128" t="e">
        <f>ROUND(#REF!,2)</f>
        <v>#REF!</v>
      </c>
      <c r="O96" s="122" t="e">
        <f t="shared" si="21"/>
        <v>#REF!</v>
      </c>
      <c r="Q96" s="765">
        <v>7720.42</v>
      </c>
      <c r="R96" s="765">
        <f t="shared" si="16"/>
        <v>5514.5857142857149</v>
      </c>
      <c r="S96" s="765">
        <f t="shared" si="17"/>
        <v>5614.8509090909092</v>
      </c>
      <c r="T96" s="765">
        <f t="shared" si="22"/>
        <v>5614.8509090909092</v>
      </c>
    </row>
    <row r="97" spans="1:20" s="98" customFormat="1" outlineLevel="1">
      <c r="A97" s="141" t="s">
        <v>3483</v>
      </c>
      <c r="B97" s="175" t="s">
        <v>983</v>
      </c>
      <c r="C97" s="100" t="s">
        <v>2377</v>
      </c>
      <c r="D97" s="183" t="s">
        <v>1468</v>
      </c>
      <c r="E97" s="20">
        <v>73</v>
      </c>
      <c r="F97" s="20">
        <f t="shared" si="12"/>
        <v>119.91999999999999</v>
      </c>
      <c r="G97" s="19">
        <f t="shared" si="19"/>
        <v>8754.16</v>
      </c>
      <c r="H97" s="19">
        <f t="shared" si="20"/>
        <v>35939.328463999998</v>
      </c>
      <c r="I97" s="114" t="s">
        <v>1521</v>
      </c>
      <c r="J97" s="210">
        <f>VLOOKUP(I97,'Reajuste Atual'!$L$19:$M$25,2,FALSE)</f>
        <v>3.1053999999999999</v>
      </c>
      <c r="K97" s="190"/>
      <c r="L97" s="139"/>
      <c r="M97" s="128" t="e">
        <f>ROUND(#REF!,2)</f>
        <v>#REF!</v>
      </c>
      <c r="N97" s="128" t="e">
        <f>ROUND(#REF!,2)</f>
        <v>#REF!</v>
      </c>
      <c r="O97" s="122" t="e">
        <f t="shared" si="21"/>
        <v>#REF!</v>
      </c>
      <c r="Q97" s="765">
        <v>164.89</v>
      </c>
      <c r="R97" s="765">
        <f t="shared" si="16"/>
        <v>117.77857142857142</v>
      </c>
      <c r="S97" s="765">
        <f t="shared" si="17"/>
        <v>119.91999999999999</v>
      </c>
      <c r="T97" s="765">
        <f t="shared" si="22"/>
        <v>119.91999999999999</v>
      </c>
    </row>
    <row r="98" spans="1:20" s="98" customFormat="1" outlineLevel="1">
      <c r="A98" s="141" t="s">
        <v>3483</v>
      </c>
      <c r="B98" s="175" t="s">
        <v>984</v>
      </c>
      <c r="C98" s="100" t="s">
        <v>2378</v>
      </c>
      <c r="D98" s="183" t="s">
        <v>1468</v>
      </c>
      <c r="E98" s="20">
        <v>73</v>
      </c>
      <c r="F98" s="20">
        <f t="shared" si="12"/>
        <v>246.23999999999998</v>
      </c>
      <c r="G98" s="19">
        <f t="shared" si="19"/>
        <v>17975.519999999997</v>
      </c>
      <c r="H98" s="19">
        <f t="shared" si="20"/>
        <v>73796.699807999976</v>
      </c>
      <c r="I98" s="114" t="s">
        <v>1521</v>
      </c>
      <c r="J98" s="210">
        <f>VLOOKUP(I98,'Reajuste Atual'!$L$19:$M$25,2,FALSE)</f>
        <v>3.1053999999999999</v>
      </c>
      <c r="K98" s="190"/>
      <c r="L98" s="139"/>
      <c r="M98" s="128" t="e">
        <f>ROUND(#REF!,2)</f>
        <v>#REF!</v>
      </c>
      <c r="N98" s="128" t="e">
        <f>ROUND(#REF!,2)</f>
        <v>#REF!</v>
      </c>
      <c r="O98" s="122" t="e">
        <f t="shared" si="21"/>
        <v>#REF!</v>
      </c>
      <c r="Q98" s="765">
        <v>338.58</v>
      </c>
      <c r="R98" s="765">
        <f t="shared" si="16"/>
        <v>241.84285714285716</v>
      </c>
      <c r="S98" s="765">
        <f t="shared" si="17"/>
        <v>246.23999999999998</v>
      </c>
      <c r="T98" s="765">
        <f t="shared" si="22"/>
        <v>246.23999999999998</v>
      </c>
    </row>
    <row r="99" spans="1:20" s="98" customFormat="1" outlineLevel="1">
      <c r="A99" s="141" t="s">
        <v>3483</v>
      </c>
      <c r="B99" s="175" t="s">
        <v>985</v>
      </c>
      <c r="C99" s="100" t="s">
        <v>2379</v>
      </c>
      <c r="D99" s="183" t="s">
        <v>1468</v>
      </c>
      <c r="E99" s="20">
        <v>73</v>
      </c>
      <c r="F99" s="20">
        <f t="shared" si="12"/>
        <v>67.243636363636355</v>
      </c>
      <c r="G99" s="19">
        <f t="shared" si="19"/>
        <v>4908.7854545454538</v>
      </c>
      <c r="H99" s="19">
        <f t="shared" si="20"/>
        <v>20152.527805090904</v>
      </c>
      <c r="I99" s="114" t="s">
        <v>1521</v>
      </c>
      <c r="J99" s="210">
        <f>VLOOKUP(I99,'Reajuste Atual'!$L$19:$M$25,2,FALSE)</f>
        <v>3.1053999999999999</v>
      </c>
      <c r="K99" s="190"/>
      <c r="L99" s="139"/>
      <c r="M99" s="128" t="e">
        <f>ROUND(#REF!,2)</f>
        <v>#REF!</v>
      </c>
      <c r="N99" s="128" t="e">
        <f>ROUND(#REF!,2)</f>
        <v>#REF!</v>
      </c>
      <c r="O99" s="122" t="e">
        <f t="shared" si="21"/>
        <v>#REF!</v>
      </c>
      <c r="Q99" s="765">
        <v>92.46</v>
      </c>
      <c r="R99" s="765">
        <f t="shared" si="16"/>
        <v>66.042857142857144</v>
      </c>
      <c r="S99" s="765">
        <f t="shared" si="17"/>
        <v>67.243636363636355</v>
      </c>
      <c r="T99" s="765">
        <f t="shared" si="22"/>
        <v>67.243636363636355</v>
      </c>
    </row>
    <row r="100" spans="1:20" s="98" customFormat="1" outlineLevel="1">
      <c r="A100" s="141" t="s">
        <v>3483</v>
      </c>
      <c r="B100" s="175" t="s">
        <v>986</v>
      </c>
      <c r="C100" s="100" t="s">
        <v>2366</v>
      </c>
      <c r="D100" s="183" t="s">
        <v>1468</v>
      </c>
      <c r="E100" s="20">
        <v>73</v>
      </c>
      <c r="F100" s="20">
        <f t="shared" si="12"/>
        <v>124.62545454545456</v>
      </c>
      <c r="G100" s="19">
        <f t="shared" si="19"/>
        <v>9097.6581818181821</v>
      </c>
      <c r="H100" s="19">
        <f t="shared" si="20"/>
        <v>37349.525899636363</v>
      </c>
      <c r="I100" s="114" t="s">
        <v>1521</v>
      </c>
      <c r="J100" s="210">
        <f>VLOOKUP(I100,'Reajuste Atual'!$L$19:$M$25,2,FALSE)</f>
        <v>3.1053999999999999</v>
      </c>
      <c r="K100" s="190"/>
      <c r="L100" s="139"/>
      <c r="M100" s="128" t="e">
        <f>ROUND(#REF!,2)</f>
        <v>#REF!</v>
      </c>
      <c r="N100" s="128" t="e">
        <f>ROUND(#REF!,2)</f>
        <v>#REF!</v>
      </c>
      <c r="O100" s="122" t="e">
        <f t="shared" si="21"/>
        <v>#REF!</v>
      </c>
      <c r="Q100" s="765">
        <v>171.36</v>
      </c>
      <c r="R100" s="765">
        <f t="shared" si="16"/>
        <v>122.40000000000002</v>
      </c>
      <c r="S100" s="765">
        <f t="shared" si="17"/>
        <v>124.62545454545456</v>
      </c>
      <c r="T100" s="765">
        <f t="shared" si="22"/>
        <v>124.62545454545456</v>
      </c>
    </row>
    <row r="101" spans="1:20" s="98" customFormat="1" outlineLevel="1">
      <c r="A101" s="141" t="s">
        <v>3483</v>
      </c>
      <c r="B101" s="175" t="s">
        <v>987</v>
      </c>
      <c r="C101" s="100" t="s">
        <v>1435</v>
      </c>
      <c r="D101" s="183" t="s">
        <v>1468</v>
      </c>
      <c r="E101" s="20">
        <v>73</v>
      </c>
      <c r="F101" s="20">
        <f t="shared" si="12"/>
        <v>2.938181818181818</v>
      </c>
      <c r="G101" s="19">
        <f t="shared" si="19"/>
        <v>214.48727272727271</v>
      </c>
      <c r="H101" s="19">
        <f t="shared" si="20"/>
        <v>880.55604945454525</v>
      </c>
      <c r="I101" s="114" t="s">
        <v>1521</v>
      </c>
      <c r="J101" s="210">
        <f>VLOOKUP(I101,'Reajuste Atual'!$L$19:$M$25,2,FALSE)</f>
        <v>3.1053999999999999</v>
      </c>
      <c r="K101" s="190"/>
      <c r="L101" s="139"/>
      <c r="M101" s="128" t="e">
        <f>ROUND(#REF!,2)</f>
        <v>#REF!</v>
      </c>
      <c r="N101" s="128" t="e">
        <f>ROUND(#REF!,2)</f>
        <v>#REF!</v>
      </c>
      <c r="O101" s="122" t="e">
        <f t="shared" si="21"/>
        <v>#REF!</v>
      </c>
      <c r="Q101" s="765">
        <v>4.04</v>
      </c>
      <c r="R101" s="765">
        <f t="shared" si="16"/>
        <v>2.8857142857142861</v>
      </c>
      <c r="S101" s="765">
        <f t="shared" si="17"/>
        <v>2.938181818181818</v>
      </c>
      <c r="T101" s="765">
        <f t="shared" si="22"/>
        <v>2.938181818181818</v>
      </c>
    </row>
    <row r="102" spans="1:20" s="98" customFormat="1" outlineLevel="1">
      <c r="A102" s="141" t="s">
        <v>3483</v>
      </c>
      <c r="B102" s="175" t="s">
        <v>988</v>
      </c>
      <c r="C102" s="100" t="s">
        <v>2367</v>
      </c>
      <c r="D102" s="183" t="s">
        <v>1468</v>
      </c>
      <c r="E102" s="20">
        <v>219</v>
      </c>
      <c r="F102" s="20">
        <f t="shared" si="12"/>
        <v>9.5272727272727273</v>
      </c>
      <c r="G102" s="19">
        <f t="shared" si="19"/>
        <v>2086.4727272727273</v>
      </c>
      <c r="H102" s="19">
        <f t="shared" si="20"/>
        <v>8565.8051345454533</v>
      </c>
      <c r="I102" s="114" t="s">
        <v>1521</v>
      </c>
      <c r="J102" s="210">
        <f>VLOOKUP(I102,'Reajuste Atual'!$L$19:$M$25,2,FALSE)</f>
        <v>3.1053999999999999</v>
      </c>
      <c r="K102" s="190"/>
      <c r="L102" s="139"/>
      <c r="M102" s="128" t="e">
        <f>ROUND(#REF!,2)</f>
        <v>#REF!</v>
      </c>
      <c r="N102" s="128" t="e">
        <f>ROUND(#REF!,2)</f>
        <v>#REF!</v>
      </c>
      <c r="O102" s="122" t="e">
        <f t="shared" si="21"/>
        <v>#REF!</v>
      </c>
      <c r="Q102" s="765">
        <v>13.1</v>
      </c>
      <c r="R102" s="765">
        <f t="shared" si="16"/>
        <v>9.3571428571428577</v>
      </c>
      <c r="S102" s="765">
        <f t="shared" si="17"/>
        <v>9.5272727272727273</v>
      </c>
      <c r="T102" s="765">
        <f t="shared" si="22"/>
        <v>9.5272727272727273</v>
      </c>
    </row>
    <row r="103" spans="1:20" s="98" customFormat="1" outlineLevel="1">
      <c r="A103" s="141" t="s">
        <v>3483</v>
      </c>
      <c r="B103" s="175" t="s">
        <v>989</v>
      </c>
      <c r="C103" s="100" t="s">
        <v>2368</v>
      </c>
      <c r="D103" s="183" t="s">
        <v>1468</v>
      </c>
      <c r="E103" s="20">
        <v>219</v>
      </c>
      <c r="F103" s="20">
        <f t="shared" si="12"/>
        <v>18.007272727272728</v>
      </c>
      <c r="G103" s="19">
        <f t="shared" si="19"/>
        <v>3943.5927272727272</v>
      </c>
      <c r="H103" s="19">
        <f t="shared" si="20"/>
        <v>16190.025582545451</v>
      </c>
      <c r="I103" s="114" t="s">
        <v>1521</v>
      </c>
      <c r="J103" s="210">
        <f>VLOOKUP(I103,'Reajuste Atual'!$L$19:$M$25,2,FALSE)</f>
        <v>3.1053999999999999</v>
      </c>
      <c r="K103" s="190"/>
      <c r="L103" s="139"/>
      <c r="M103" s="128" t="e">
        <f>ROUND(#REF!,2)</f>
        <v>#REF!</v>
      </c>
      <c r="N103" s="128" t="e">
        <f>ROUND(#REF!,2)</f>
        <v>#REF!</v>
      </c>
      <c r="O103" s="122" t="e">
        <f t="shared" si="21"/>
        <v>#REF!</v>
      </c>
      <c r="Q103" s="765">
        <v>24.76</v>
      </c>
      <c r="R103" s="765">
        <f t="shared" si="16"/>
        <v>17.685714285714287</v>
      </c>
      <c r="S103" s="765">
        <f t="shared" si="17"/>
        <v>18.007272727272728</v>
      </c>
      <c r="T103" s="765">
        <f t="shared" si="22"/>
        <v>18.007272727272728</v>
      </c>
    </row>
    <row r="104" spans="1:20" s="98" customFormat="1" outlineLevel="1">
      <c r="A104" s="141" t="s">
        <v>3483</v>
      </c>
      <c r="B104" s="175" t="s">
        <v>990</v>
      </c>
      <c r="C104" s="100" t="s">
        <v>2369</v>
      </c>
      <c r="D104" s="183" t="s">
        <v>1468</v>
      </c>
      <c r="E104" s="20">
        <v>0</v>
      </c>
      <c r="F104" s="20">
        <f t="shared" si="12"/>
        <v>57.418181818181822</v>
      </c>
      <c r="G104" s="19">
        <f t="shared" si="19"/>
        <v>0</v>
      </c>
      <c r="H104" s="19">
        <f t="shared" si="20"/>
        <v>0</v>
      </c>
      <c r="I104" s="114" t="s">
        <v>1521</v>
      </c>
      <c r="J104" s="210">
        <f>VLOOKUP(I104,'Reajuste Atual'!$L$19:$M$25,2,FALSE)</f>
        <v>3.1053999999999999</v>
      </c>
      <c r="K104" s="190"/>
      <c r="L104" s="139"/>
      <c r="M104" s="128" t="e">
        <f>ROUND(#REF!,2)</f>
        <v>#REF!</v>
      </c>
      <c r="N104" s="128" t="e">
        <f>ROUND(#REF!,2)</f>
        <v>#REF!</v>
      </c>
      <c r="O104" s="122" t="e">
        <f t="shared" si="21"/>
        <v>#REF!</v>
      </c>
      <c r="Q104" s="765">
        <v>78.95</v>
      </c>
      <c r="R104" s="765">
        <f t="shared" si="16"/>
        <v>56.392857142857146</v>
      </c>
      <c r="S104" s="765">
        <f t="shared" si="17"/>
        <v>57.418181818181822</v>
      </c>
      <c r="T104" s="765">
        <f t="shared" si="22"/>
        <v>57.418181818181822</v>
      </c>
    </row>
    <row r="105" spans="1:20" s="120" customFormat="1" outlineLevel="1">
      <c r="A105" s="141" t="s">
        <v>3483</v>
      </c>
      <c r="B105" s="175" t="s">
        <v>991</v>
      </c>
      <c r="C105" s="100" t="s">
        <v>2371</v>
      </c>
      <c r="D105" s="99" t="s">
        <v>1472</v>
      </c>
      <c r="E105" s="20">
        <v>11</v>
      </c>
      <c r="F105" s="20">
        <f t="shared" si="12"/>
        <v>4.5454545454545459</v>
      </c>
      <c r="G105" s="19">
        <f t="shared" si="19"/>
        <v>50.000000000000007</v>
      </c>
      <c r="H105" s="19">
        <f t="shared" si="20"/>
        <v>227.3</v>
      </c>
      <c r="I105" s="114" t="s">
        <v>1522</v>
      </c>
      <c r="J105" s="210">
        <f>VLOOKUP(I105,'Reajuste Atual'!$L$19:$M$25,2,FALSE)</f>
        <v>3.5459999999999998</v>
      </c>
      <c r="K105" s="193"/>
      <c r="L105" s="139"/>
      <c r="M105" s="128" t="e">
        <f>ROUND(#REF!,2)</f>
        <v>#REF!</v>
      </c>
      <c r="N105" s="128" t="e">
        <f>ROUND(#REF!,2)</f>
        <v>#REF!</v>
      </c>
      <c r="O105" s="122" t="e">
        <f t="shared" si="21"/>
        <v>#REF!</v>
      </c>
      <c r="P105" s="98"/>
      <c r="Q105" s="765">
        <v>6.25</v>
      </c>
      <c r="R105" s="765">
        <f t="shared" si="16"/>
        <v>4.4642857142857144</v>
      </c>
      <c r="S105" s="765">
        <f t="shared" si="17"/>
        <v>4.5454545454545459</v>
      </c>
      <c r="T105" s="765">
        <f t="shared" si="22"/>
        <v>4.5454545454545459</v>
      </c>
    </row>
    <row r="106" spans="1:20" s="98" customFormat="1" outlineLevel="1">
      <c r="A106" s="141" t="s">
        <v>3483</v>
      </c>
      <c r="B106" s="179" t="s">
        <v>992</v>
      </c>
      <c r="C106" s="106" t="s">
        <v>1437</v>
      </c>
      <c r="D106" s="87"/>
      <c r="E106" s="89"/>
      <c r="F106" s="89"/>
      <c r="G106" s="89">
        <f>SUM(G107:G119)</f>
        <v>131262.48727272727</v>
      </c>
      <c r="H106" s="89">
        <f>SUM(H107:H119)</f>
        <v>538885.01524945442</v>
      </c>
      <c r="I106" s="113">
        <v>0</v>
      </c>
      <c r="J106" s="90"/>
      <c r="K106" s="190"/>
      <c r="L106" s="139"/>
      <c r="M106" s="128"/>
      <c r="N106" s="128"/>
      <c r="O106" s="122"/>
      <c r="Q106" s="765"/>
      <c r="R106" s="765"/>
      <c r="S106" s="765"/>
      <c r="T106" s="765"/>
    </row>
    <row r="107" spans="1:20" s="98" customFormat="1" outlineLevel="1">
      <c r="A107" s="141" t="s">
        <v>3483</v>
      </c>
      <c r="B107" s="175" t="s">
        <v>993</v>
      </c>
      <c r="C107" s="100" t="s">
        <v>2380</v>
      </c>
      <c r="D107" s="183" t="s">
        <v>1468</v>
      </c>
      <c r="E107" s="20">
        <v>16</v>
      </c>
      <c r="F107" s="20">
        <f t="shared" si="12"/>
        <v>200.64</v>
      </c>
      <c r="G107" s="19">
        <f t="shared" ref="G107:G119" si="23">E107*F107</f>
        <v>3210.24</v>
      </c>
      <c r="H107" s="19">
        <f t="shared" ref="H107:H170" si="24">G107*(1+J107)</f>
        <v>13179.319295999998</v>
      </c>
      <c r="I107" s="114" t="s">
        <v>1521</v>
      </c>
      <c r="J107" s="210">
        <f>VLOOKUP(I107,'Reajuste Atual'!$L$19:$M$25,2,FALSE)</f>
        <v>3.1053999999999999</v>
      </c>
      <c r="K107" s="190"/>
      <c r="L107" s="139"/>
      <c r="M107" s="128" t="e">
        <f>ROUND(#REF!,2)</f>
        <v>#REF!</v>
      </c>
      <c r="N107" s="128" t="e">
        <f>ROUND(#REF!,2)</f>
        <v>#REF!</v>
      </c>
      <c r="O107" s="122" t="e">
        <f t="shared" ref="O107:O119" si="25">N107*(1+J107)</f>
        <v>#REF!</v>
      </c>
      <c r="Q107" s="765">
        <v>275.88</v>
      </c>
      <c r="R107" s="765">
        <f t="shared" si="16"/>
        <v>197.05714285714288</v>
      </c>
      <c r="S107" s="765">
        <f t="shared" si="17"/>
        <v>200.64</v>
      </c>
      <c r="T107" s="765">
        <f t="shared" ref="T107:T119" si="26">IF(A107="S",R107,S107)</f>
        <v>200.64</v>
      </c>
    </row>
    <row r="108" spans="1:20" s="98" customFormat="1" outlineLevel="1">
      <c r="A108" s="141" t="s">
        <v>3483</v>
      </c>
      <c r="B108" s="175" t="s">
        <v>994</v>
      </c>
      <c r="C108" s="100" t="s">
        <v>2381</v>
      </c>
      <c r="D108" s="183" t="s">
        <v>1468</v>
      </c>
      <c r="E108" s="20">
        <v>16</v>
      </c>
      <c r="F108" s="20">
        <f t="shared" si="12"/>
        <v>711.91272727272724</v>
      </c>
      <c r="G108" s="19">
        <f t="shared" si="23"/>
        <v>11390.603636363636</v>
      </c>
      <c r="H108" s="19">
        <f t="shared" si="24"/>
        <v>46762.984168727264</v>
      </c>
      <c r="I108" s="114" t="s">
        <v>1521</v>
      </c>
      <c r="J108" s="210">
        <f>VLOOKUP(I108,'Reajuste Atual'!$L$19:$M$25,2,FALSE)</f>
        <v>3.1053999999999999</v>
      </c>
      <c r="K108" s="190"/>
      <c r="L108" s="139"/>
      <c r="M108" s="128" t="e">
        <f>ROUND(#REF!,2)</f>
        <v>#REF!</v>
      </c>
      <c r="N108" s="128" t="e">
        <f>ROUND(#REF!,2)</f>
        <v>#REF!</v>
      </c>
      <c r="O108" s="122" t="e">
        <f t="shared" si="25"/>
        <v>#REF!</v>
      </c>
      <c r="Q108" s="765">
        <v>978.88</v>
      </c>
      <c r="R108" s="765">
        <f t="shared" si="16"/>
        <v>699.2</v>
      </c>
      <c r="S108" s="765">
        <f t="shared" si="17"/>
        <v>711.91272727272724</v>
      </c>
      <c r="T108" s="765">
        <f t="shared" si="26"/>
        <v>711.91272727272724</v>
      </c>
    </row>
    <row r="109" spans="1:20" s="98" customFormat="1" outlineLevel="1">
      <c r="A109" s="141" t="s">
        <v>3483</v>
      </c>
      <c r="B109" s="175" t="s">
        <v>995</v>
      </c>
      <c r="C109" s="100" t="s">
        <v>2382</v>
      </c>
      <c r="D109" s="183" t="s">
        <v>1468</v>
      </c>
      <c r="E109" s="20">
        <v>16</v>
      </c>
      <c r="F109" s="20">
        <f t="shared" si="12"/>
        <v>276.75636363636363</v>
      </c>
      <c r="G109" s="19">
        <f t="shared" si="23"/>
        <v>4428.1018181818181</v>
      </c>
      <c r="H109" s="19">
        <f t="shared" si="24"/>
        <v>18179.129204363635</v>
      </c>
      <c r="I109" s="114" t="s">
        <v>1521</v>
      </c>
      <c r="J109" s="210">
        <f>VLOOKUP(I109,'Reajuste Atual'!$L$19:$M$25,2,FALSE)</f>
        <v>3.1053999999999999</v>
      </c>
      <c r="K109" s="190"/>
      <c r="L109" s="139"/>
      <c r="M109" s="128" t="e">
        <f>ROUND(#REF!,2)</f>
        <v>#REF!</v>
      </c>
      <c r="N109" s="128" t="e">
        <f>ROUND(#REF!,2)</f>
        <v>#REF!</v>
      </c>
      <c r="O109" s="122" t="e">
        <f t="shared" si="25"/>
        <v>#REF!</v>
      </c>
      <c r="Q109" s="765">
        <v>380.54</v>
      </c>
      <c r="R109" s="765">
        <f t="shared" si="16"/>
        <v>271.81428571428575</v>
      </c>
      <c r="S109" s="765">
        <f t="shared" si="17"/>
        <v>276.75636363636363</v>
      </c>
      <c r="T109" s="765">
        <f t="shared" si="26"/>
        <v>276.75636363636363</v>
      </c>
    </row>
    <row r="110" spans="1:20" s="98" customFormat="1" outlineLevel="1">
      <c r="A110" s="141" t="s">
        <v>3483</v>
      </c>
      <c r="B110" s="175" t="s">
        <v>996</v>
      </c>
      <c r="C110" s="100" t="s">
        <v>2375</v>
      </c>
      <c r="D110" s="183" t="s">
        <v>1468</v>
      </c>
      <c r="E110" s="20">
        <v>16</v>
      </c>
      <c r="F110" s="20">
        <f t="shared" si="12"/>
        <v>494.91636363636366</v>
      </c>
      <c r="G110" s="19">
        <f t="shared" si="23"/>
        <v>7918.6618181818185</v>
      </c>
      <c r="H110" s="19">
        <f t="shared" si="24"/>
        <v>32509.274228363633</v>
      </c>
      <c r="I110" s="114" t="s">
        <v>1521</v>
      </c>
      <c r="J110" s="210">
        <f>VLOOKUP(I110,'Reajuste Atual'!$L$19:$M$25,2,FALSE)</f>
        <v>3.1053999999999999</v>
      </c>
      <c r="K110" s="190"/>
      <c r="L110" s="139"/>
      <c r="M110" s="128" t="e">
        <f>ROUND(#REF!,2)</f>
        <v>#REF!</v>
      </c>
      <c r="N110" s="128" t="e">
        <f>ROUND(#REF!,2)</f>
        <v>#REF!</v>
      </c>
      <c r="O110" s="122" t="e">
        <f t="shared" si="25"/>
        <v>#REF!</v>
      </c>
      <c r="Q110" s="765">
        <v>680.51</v>
      </c>
      <c r="R110" s="765">
        <f t="shared" si="16"/>
        <v>486.07857142857148</v>
      </c>
      <c r="S110" s="765">
        <f t="shared" si="17"/>
        <v>494.91636363636366</v>
      </c>
      <c r="T110" s="765">
        <f t="shared" si="26"/>
        <v>494.91636363636366</v>
      </c>
    </row>
    <row r="111" spans="1:20" s="98" customFormat="1" outlineLevel="1">
      <c r="A111" s="141" t="s">
        <v>3483</v>
      </c>
      <c r="B111" s="175" t="s">
        <v>997</v>
      </c>
      <c r="C111" s="100" t="s">
        <v>2376</v>
      </c>
      <c r="D111" s="183" t="s">
        <v>1468</v>
      </c>
      <c r="E111" s="20">
        <v>16</v>
      </c>
      <c r="F111" s="20">
        <f t="shared" si="12"/>
        <v>5614.8509090909092</v>
      </c>
      <c r="G111" s="19">
        <f t="shared" si="23"/>
        <v>89837.614545454548</v>
      </c>
      <c r="H111" s="19">
        <f t="shared" si="24"/>
        <v>368819.34275490907</v>
      </c>
      <c r="I111" s="114" t="s">
        <v>1521</v>
      </c>
      <c r="J111" s="210">
        <f>VLOOKUP(I111,'Reajuste Atual'!$L$19:$M$25,2,FALSE)</f>
        <v>3.1053999999999999</v>
      </c>
      <c r="K111" s="190"/>
      <c r="L111" s="139"/>
      <c r="M111" s="128" t="e">
        <f>ROUND(#REF!,2)</f>
        <v>#REF!</v>
      </c>
      <c r="N111" s="128" t="e">
        <f>ROUND(#REF!,2)</f>
        <v>#REF!</v>
      </c>
      <c r="O111" s="122" t="e">
        <f t="shared" si="25"/>
        <v>#REF!</v>
      </c>
      <c r="Q111" s="765">
        <v>7720.42</v>
      </c>
      <c r="R111" s="765">
        <f t="shared" si="16"/>
        <v>5514.5857142857149</v>
      </c>
      <c r="S111" s="765">
        <f t="shared" si="17"/>
        <v>5614.8509090909092</v>
      </c>
      <c r="T111" s="765">
        <f t="shared" si="26"/>
        <v>5614.8509090909092</v>
      </c>
    </row>
    <row r="112" spans="1:20" s="98" customFormat="1" outlineLevel="1">
      <c r="A112" s="141" t="s">
        <v>3483</v>
      </c>
      <c r="B112" s="175" t="s">
        <v>998</v>
      </c>
      <c r="C112" s="100" t="s">
        <v>2383</v>
      </c>
      <c r="D112" s="183" t="s">
        <v>1468</v>
      </c>
      <c r="E112" s="20">
        <v>16</v>
      </c>
      <c r="F112" s="20">
        <f t="shared" si="12"/>
        <v>181.44727272727275</v>
      </c>
      <c r="G112" s="19">
        <f t="shared" si="23"/>
        <v>2903.1563636363639</v>
      </c>
      <c r="H112" s="19">
        <f t="shared" si="24"/>
        <v>11918.618135272727</v>
      </c>
      <c r="I112" s="114" t="s">
        <v>1521</v>
      </c>
      <c r="J112" s="210">
        <f>VLOOKUP(I112,'Reajuste Atual'!$L$19:$M$25,2,FALSE)</f>
        <v>3.1053999999999999</v>
      </c>
      <c r="K112" s="190"/>
      <c r="L112" s="139"/>
      <c r="M112" s="128" t="e">
        <f>ROUND(#REF!,2)</f>
        <v>#REF!</v>
      </c>
      <c r="N112" s="128" t="e">
        <f>ROUND(#REF!,2)</f>
        <v>#REF!</v>
      </c>
      <c r="O112" s="122" t="e">
        <f t="shared" si="25"/>
        <v>#REF!</v>
      </c>
      <c r="Q112" s="765">
        <v>249.49</v>
      </c>
      <c r="R112" s="765">
        <f t="shared" si="16"/>
        <v>178.20714285714288</v>
      </c>
      <c r="S112" s="765">
        <f t="shared" si="17"/>
        <v>181.44727272727275</v>
      </c>
      <c r="T112" s="765">
        <f t="shared" si="26"/>
        <v>181.44727272727275</v>
      </c>
    </row>
    <row r="113" spans="1:20" s="98" customFormat="1" outlineLevel="1">
      <c r="A113" s="141" t="s">
        <v>3483</v>
      </c>
      <c r="B113" s="175" t="s">
        <v>999</v>
      </c>
      <c r="C113" s="100" t="s">
        <v>2384</v>
      </c>
      <c r="D113" s="183" t="s">
        <v>1468</v>
      </c>
      <c r="E113" s="20">
        <v>16</v>
      </c>
      <c r="F113" s="20">
        <f t="shared" si="12"/>
        <v>325.87636363636364</v>
      </c>
      <c r="G113" s="19">
        <f t="shared" si="23"/>
        <v>5214.0218181818182</v>
      </c>
      <c r="H113" s="19">
        <f t="shared" si="24"/>
        <v>21405.645172363635</v>
      </c>
      <c r="I113" s="114" t="s">
        <v>1521</v>
      </c>
      <c r="J113" s="210">
        <f>VLOOKUP(I113,'Reajuste Atual'!$L$19:$M$25,2,FALSE)</f>
        <v>3.1053999999999999</v>
      </c>
      <c r="K113" s="190"/>
      <c r="L113" s="139"/>
      <c r="M113" s="128" t="e">
        <f>ROUND(#REF!,2)</f>
        <v>#REF!</v>
      </c>
      <c r="N113" s="128" t="e">
        <f>ROUND(#REF!,2)</f>
        <v>#REF!</v>
      </c>
      <c r="O113" s="122" t="e">
        <f t="shared" si="25"/>
        <v>#REF!</v>
      </c>
      <c r="Q113" s="765">
        <v>448.08</v>
      </c>
      <c r="R113" s="765">
        <f t="shared" si="16"/>
        <v>320.05714285714288</v>
      </c>
      <c r="S113" s="765">
        <f t="shared" si="17"/>
        <v>325.87636363636364</v>
      </c>
      <c r="T113" s="765">
        <f t="shared" si="26"/>
        <v>325.87636363636364</v>
      </c>
    </row>
    <row r="114" spans="1:20" s="98" customFormat="1" outlineLevel="1">
      <c r="A114" s="141" t="s">
        <v>3483</v>
      </c>
      <c r="B114" s="175" t="s">
        <v>1000</v>
      </c>
      <c r="C114" s="100" t="s">
        <v>2385</v>
      </c>
      <c r="D114" s="183" t="s">
        <v>1468</v>
      </c>
      <c r="E114" s="20">
        <v>16</v>
      </c>
      <c r="F114" s="20">
        <f t="shared" si="12"/>
        <v>99.963636363636354</v>
      </c>
      <c r="G114" s="19">
        <f t="shared" si="23"/>
        <v>1599.4181818181817</v>
      </c>
      <c r="H114" s="19">
        <f t="shared" si="24"/>
        <v>6566.2514036363618</v>
      </c>
      <c r="I114" s="114" t="s">
        <v>1521</v>
      </c>
      <c r="J114" s="210">
        <f>VLOOKUP(I114,'Reajuste Atual'!$L$19:$M$25,2,FALSE)</f>
        <v>3.1053999999999999</v>
      </c>
      <c r="K114" s="190"/>
      <c r="L114" s="139"/>
      <c r="M114" s="128" t="e">
        <f>ROUND(#REF!,2)</f>
        <v>#REF!</v>
      </c>
      <c r="N114" s="128" t="e">
        <f>ROUND(#REF!,2)</f>
        <v>#REF!</v>
      </c>
      <c r="O114" s="122" t="e">
        <f t="shared" si="25"/>
        <v>#REF!</v>
      </c>
      <c r="Q114" s="765">
        <v>137.44999999999999</v>
      </c>
      <c r="R114" s="765">
        <f t="shared" si="16"/>
        <v>98.178571428571431</v>
      </c>
      <c r="S114" s="765">
        <f t="shared" si="17"/>
        <v>99.963636363636354</v>
      </c>
      <c r="T114" s="765">
        <f t="shared" si="26"/>
        <v>99.963636363636354</v>
      </c>
    </row>
    <row r="115" spans="1:20" s="98" customFormat="1" outlineLevel="1">
      <c r="A115" s="141" t="s">
        <v>3483</v>
      </c>
      <c r="B115" s="175" t="s">
        <v>1001</v>
      </c>
      <c r="C115" s="100" t="s">
        <v>2366</v>
      </c>
      <c r="D115" s="183" t="s">
        <v>1468</v>
      </c>
      <c r="E115" s="20">
        <v>16</v>
      </c>
      <c r="F115" s="20">
        <f t="shared" si="12"/>
        <v>135.7018181818182</v>
      </c>
      <c r="G115" s="19">
        <f t="shared" si="23"/>
        <v>2171.2290909090912</v>
      </c>
      <c r="H115" s="19">
        <f t="shared" si="24"/>
        <v>8913.7639098181826</v>
      </c>
      <c r="I115" s="114" t="s">
        <v>1521</v>
      </c>
      <c r="J115" s="210">
        <f>VLOOKUP(I115,'Reajuste Atual'!$L$19:$M$25,2,FALSE)</f>
        <v>3.1053999999999999</v>
      </c>
      <c r="K115" s="190"/>
      <c r="L115" s="139"/>
      <c r="M115" s="128" t="e">
        <f>ROUND(#REF!,2)</f>
        <v>#REF!</v>
      </c>
      <c r="N115" s="128" t="e">
        <f>ROUND(#REF!,2)</f>
        <v>#REF!</v>
      </c>
      <c r="O115" s="122" t="e">
        <f t="shared" si="25"/>
        <v>#REF!</v>
      </c>
      <c r="Q115" s="765">
        <v>186.59</v>
      </c>
      <c r="R115" s="765">
        <f t="shared" si="16"/>
        <v>133.27857142857144</v>
      </c>
      <c r="S115" s="765">
        <f t="shared" si="17"/>
        <v>135.7018181818182</v>
      </c>
      <c r="T115" s="765">
        <f t="shared" si="26"/>
        <v>135.7018181818182</v>
      </c>
    </row>
    <row r="116" spans="1:20" s="98" customFormat="1" outlineLevel="1">
      <c r="A116" s="141" t="s">
        <v>3483</v>
      </c>
      <c r="B116" s="175" t="s">
        <v>1002</v>
      </c>
      <c r="C116" s="100" t="s">
        <v>1435</v>
      </c>
      <c r="D116" s="183" t="s">
        <v>1468</v>
      </c>
      <c r="E116" s="20">
        <v>16</v>
      </c>
      <c r="F116" s="20">
        <f t="shared" si="12"/>
        <v>2.938181818181818</v>
      </c>
      <c r="G116" s="19">
        <f t="shared" si="23"/>
        <v>47.010909090909088</v>
      </c>
      <c r="H116" s="19">
        <f t="shared" si="24"/>
        <v>192.99858618181815</v>
      </c>
      <c r="I116" s="114" t="s">
        <v>1521</v>
      </c>
      <c r="J116" s="210">
        <f>VLOOKUP(I116,'Reajuste Atual'!$L$19:$M$25,2,FALSE)</f>
        <v>3.1053999999999999</v>
      </c>
      <c r="K116" s="190"/>
      <c r="L116" s="139"/>
      <c r="M116" s="128" t="e">
        <f>ROUND(#REF!,2)</f>
        <v>#REF!</v>
      </c>
      <c r="N116" s="128" t="e">
        <f>ROUND(#REF!,2)</f>
        <v>#REF!</v>
      </c>
      <c r="O116" s="122" t="e">
        <f t="shared" si="25"/>
        <v>#REF!</v>
      </c>
      <c r="Q116" s="765">
        <v>4.04</v>
      </c>
      <c r="R116" s="765">
        <f t="shared" si="16"/>
        <v>2.8857142857142861</v>
      </c>
      <c r="S116" s="765">
        <f t="shared" si="17"/>
        <v>2.938181818181818</v>
      </c>
      <c r="T116" s="765">
        <f t="shared" si="26"/>
        <v>2.938181818181818</v>
      </c>
    </row>
    <row r="117" spans="1:20" s="98" customFormat="1" outlineLevel="1">
      <c r="A117" s="141" t="s">
        <v>3483</v>
      </c>
      <c r="B117" s="175" t="s">
        <v>1003</v>
      </c>
      <c r="C117" s="100" t="s">
        <v>2368</v>
      </c>
      <c r="D117" s="183" t="s">
        <v>1468</v>
      </c>
      <c r="E117" s="20">
        <v>48</v>
      </c>
      <c r="F117" s="20">
        <f t="shared" si="12"/>
        <v>18.007272727272728</v>
      </c>
      <c r="G117" s="19">
        <f t="shared" si="23"/>
        <v>864.34909090909093</v>
      </c>
      <c r="H117" s="19">
        <f t="shared" si="24"/>
        <v>3548.4987578181813</v>
      </c>
      <c r="I117" s="114" t="s">
        <v>1521</v>
      </c>
      <c r="J117" s="210">
        <f>VLOOKUP(I117,'Reajuste Atual'!$L$19:$M$25,2,FALSE)</f>
        <v>3.1053999999999999</v>
      </c>
      <c r="K117" s="190"/>
      <c r="L117" s="139"/>
      <c r="M117" s="128" t="e">
        <f>ROUND(#REF!,2)</f>
        <v>#REF!</v>
      </c>
      <c r="N117" s="128" t="e">
        <f>ROUND(#REF!,2)</f>
        <v>#REF!</v>
      </c>
      <c r="O117" s="122" t="e">
        <f t="shared" si="25"/>
        <v>#REF!</v>
      </c>
      <c r="Q117" s="765">
        <v>24.76</v>
      </c>
      <c r="R117" s="765">
        <f t="shared" si="16"/>
        <v>17.685714285714287</v>
      </c>
      <c r="S117" s="765">
        <f t="shared" si="17"/>
        <v>18.007272727272728</v>
      </c>
      <c r="T117" s="765">
        <f t="shared" si="26"/>
        <v>18.007272727272728</v>
      </c>
    </row>
    <row r="118" spans="1:20" s="98" customFormat="1" outlineLevel="1">
      <c r="A118" s="141" t="s">
        <v>3483</v>
      </c>
      <c r="B118" s="175" t="s">
        <v>1004</v>
      </c>
      <c r="C118" s="100" t="s">
        <v>2386</v>
      </c>
      <c r="D118" s="183" t="s">
        <v>1468</v>
      </c>
      <c r="E118" s="20">
        <v>48</v>
      </c>
      <c r="F118" s="20">
        <f t="shared" si="12"/>
        <v>34.96</v>
      </c>
      <c r="G118" s="19">
        <f t="shared" si="23"/>
        <v>1678.08</v>
      </c>
      <c r="H118" s="19">
        <f t="shared" si="24"/>
        <v>6889.1896319999987</v>
      </c>
      <c r="I118" s="114" t="s">
        <v>1521</v>
      </c>
      <c r="J118" s="210">
        <f>VLOOKUP(I118,'Reajuste Atual'!$L$19:$M$25,2,FALSE)</f>
        <v>3.1053999999999999</v>
      </c>
      <c r="K118" s="190"/>
      <c r="L118" s="139"/>
      <c r="M118" s="128" t="e">
        <f>ROUND(#REF!,2)</f>
        <v>#REF!</v>
      </c>
      <c r="N118" s="128" t="e">
        <f>ROUND(#REF!,2)</f>
        <v>#REF!</v>
      </c>
      <c r="O118" s="122" t="e">
        <f t="shared" si="25"/>
        <v>#REF!</v>
      </c>
      <c r="Q118" s="765">
        <v>48.07</v>
      </c>
      <c r="R118" s="765">
        <f t="shared" si="16"/>
        <v>34.335714285714289</v>
      </c>
      <c r="S118" s="765">
        <f t="shared" si="17"/>
        <v>34.96</v>
      </c>
      <c r="T118" s="765">
        <f t="shared" si="26"/>
        <v>34.96</v>
      </c>
    </row>
    <row r="119" spans="1:20" s="98" customFormat="1" outlineLevel="1">
      <c r="A119" s="141" t="s">
        <v>3483</v>
      </c>
      <c r="B119" s="175" t="s">
        <v>1005</v>
      </c>
      <c r="C119" s="100" t="s">
        <v>2371</v>
      </c>
      <c r="D119" s="99" t="s">
        <v>1472</v>
      </c>
      <c r="E119" s="20">
        <v>0</v>
      </c>
      <c r="F119" s="20">
        <f t="shared" si="12"/>
        <v>4.5454545454545459</v>
      </c>
      <c r="G119" s="19">
        <f t="shared" si="23"/>
        <v>0</v>
      </c>
      <c r="H119" s="19">
        <f t="shared" si="24"/>
        <v>0</v>
      </c>
      <c r="I119" s="114" t="s">
        <v>1522</v>
      </c>
      <c r="J119" s="210">
        <f>VLOOKUP(I119,'Reajuste Atual'!$L$19:$M$25,2,FALSE)</f>
        <v>3.5459999999999998</v>
      </c>
      <c r="K119" s="192"/>
      <c r="L119" s="139"/>
      <c r="M119" s="128" t="e">
        <f>ROUND(#REF!,2)</f>
        <v>#REF!</v>
      </c>
      <c r="N119" s="128" t="e">
        <f>ROUND(#REF!,2)</f>
        <v>#REF!</v>
      </c>
      <c r="O119" s="122" t="e">
        <f t="shared" si="25"/>
        <v>#REF!</v>
      </c>
      <c r="Q119" s="765">
        <v>6.25</v>
      </c>
      <c r="R119" s="765">
        <f t="shared" si="16"/>
        <v>4.4642857142857144</v>
      </c>
      <c r="S119" s="765">
        <f>Q119/($S$23+1)</f>
        <v>4.5454545454545459</v>
      </c>
      <c r="T119" s="765">
        <f t="shared" si="26"/>
        <v>4.5454545454545459</v>
      </c>
    </row>
    <row r="120" spans="1:20" s="98" customFormat="1" outlineLevel="1">
      <c r="A120" s="141" t="s">
        <v>3483</v>
      </c>
      <c r="B120" s="179" t="s">
        <v>1006</v>
      </c>
      <c r="C120" s="107" t="s">
        <v>1438</v>
      </c>
      <c r="D120" s="96"/>
      <c r="E120" s="89"/>
      <c r="F120" s="83"/>
      <c r="G120" s="89">
        <f>SUM(G121:G265)</f>
        <v>15321114.210909089</v>
      </c>
      <c r="H120" s="89">
        <f>SUM(H121:H265)</f>
        <v>62899302.281466179</v>
      </c>
      <c r="I120" s="112">
        <v>0</v>
      </c>
      <c r="J120" s="84"/>
      <c r="K120" s="190"/>
      <c r="L120" s="139"/>
      <c r="M120" s="128"/>
      <c r="N120" s="128"/>
      <c r="O120" s="122"/>
      <c r="Q120" s="765"/>
      <c r="R120" s="765"/>
      <c r="S120" s="765"/>
      <c r="T120" s="765"/>
    </row>
    <row r="121" spans="1:20" s="98" customFormat="1" outlineLevel="1">
      <c r="A121" s="141" t="s">
        <v>3483</v>
      </c>
      <c r="B121" s="175" t="s">
        <v>1007</v>
      </c>
      <c r="C121" s="100" t="s">
        <v>2387</v>
      </c>
      <c r="D121" s="183" t="s">
        <v>1468</v>
      </c>
      <c r="E121" s="20">
        <v>5</v>
      </c>
      <c r="F121" s="20">
        <f t="shared" si="12"/>
        <v>93.63636363636364</v>
      </c>
      <c r="G121" s="19">
        <f t="shared" ref="G121:G184" si="27">E121*F121</f>
        <v>468.18181818181819</v>
      </c>
      <c r="H121" s="19">
        <f t="shared" si="24"/>
        <v>1922.0736363636361</v>
      </c>
      <c r="I121" s="114" t="s">
        <v>1521</v>
      </c>
      <c r="J121" s="210">
        <f>VLOOKUP(I121,'Reajuste Atual'!$L$19:$M$25,2,FALSE)</f>
        <v>3.1053999999999999</v>
      </c>
      <c r="K121" s="190"/>
      <c r="L121" s="139"/>
      <c r="M121" s="128" t="e">
        <f>ROUND(#REF!,2)</f>
        <v>#REF!</v>
      </c>
      <c r="N121" s="128" t="e">
        <f>ROUND(#REF!,2)</f>
        <v>#REF!</v>
      </c>
      <c r="O121" s="122" t="e">
        <f t="shared" ref="O121:O184" si="28">N121*(1+J121)</f>
        <v>#REF!</v>
      </c>
      <c r="Q121" s="765">
        <v>128.75</v>
      </c>
      <c r="R121" s="765">
        <f t="shared" si="16"/>
        <v>91.964285714285722</v>
      </c>
      <c r="S121" s="765">
        <f>Q121/($S$23+1)</f>
        <v>93.63636363636364</v>
      </c>
      <c r="T121" s="765">
        <f t="shared" ref="T121:T184" si="29">IF(A121="S",R121,S121)</f>
        <v>93.63636363636364</v>
      </c>
    </row>
    <row r="122" spans="1:20" s="98" customFormat="1" outlineLevel="1">
      <c r="A122" s="141" t="s">
        <v>3483</v>
      </c>
      <c r="B122" s="175" t="s">
        <v>1008</v>
      </c>
      <c r="C122" s="100" t="s">
        <v>2388</v>
      </c>
      <c r="D122" s="183" t="s">
        <v>1468</v>
      </c>
      <c r="E122" s="20">
        <v>2</v>
      </c>
      <c r="F122" s="20">
        <f t="shared" si="12"/>
        <v>391.25818181818181</v>
      </c>
      <c r="G122" s="19">
        <f t="shared" si="27"/>
        <v>782.51636363636362</v>
      </c>
      <c r="H122" s="19">
        <f t="shared" si="24"/>
        <v>3212.5426792727267</v>
      </c>
      <c r="I122" s="114" t="s">
        <v>1521</v>
      </c>
      <c r="J122" s="210">
        <f>VLOOKUP(I122,'Reajuste Atual'!$L$19:$M$25,2,FALSE)</f>
        <v>3.1053999999999999</v>
      </c>
      <c r="K122" s="190"/>
      <c r="L122" s="139"/>
      <c r="M122" s="128" t="e">
        <f>ROUND(#REF!,2)</f>
        <v>#REF!</v>
      </c>
      <c r="N122" s="128" t="e">
        <f>ROUND(#REF!,2)</f>
        <v>#REF!</v>
      </c>
      <c r="O122" s="122" t="e">
        <f t="shared" si="28"/>
        <v>#REF!</v>
      </c>
      <c r="Q122" s="765">
        <v>537.98</v>
      </c>
      <c r="R122" s="765">
        <f t="shared" si="16"/>
        <v>384.2714285714286</v>
      </c>
      <c r="S122" s="765">
        <f t="shared" ref="S122:S185" si="30">Q122/($S$23+1)</f>
        <v>391.25818181818181</v>
      </c>
      <c r="T122" s="765">
        <f t="shared" si="29"/>
        <v>391.25818181818181</v>
      </c>
    </row>
    <row r="123" spans="1:20" s="98" customFormat="1" outlineLevel="1">
      <c r="A123" s="141" t="s">
        <v>3483</v>
      </c>
      <c r="B123" s="175" t="s">
        <v>1009</v>
      </c>
      <c r="C123" s="100" t="s">
        <v>2389</v>
      </c>
      <c r="D123" s="183" t="s">
        <v>1468</v>
      </c>
      <c r="E123" s="20">
        <v>3</v>
      </c>
      <c r="F123" s="20">
        <f t="shared" si="12"/>
        <v>1085.1345454545453</v>
      </c>
      <c r="G123" s="19">
        <f t="shared" si="27"/>
        <v>3255.403636363636</v>
      </c>
      <c r="H123" s="19">
        <f t="shared" si="24"/>
        <v>13364.734088727269</v>
      </c>
      <c r="I123" s="114" t="s">
        <v>1521</v>
      </c>
      <c r="J123" s="210">
        <f>VLOOKUP(I123,'Reajuste Atual'!$L$19:$M$25,2,FALSE)</f>
        <v>3.1053999999999999</v>
      </c>
      <c r="K123" s="190"/>
      <c r="L123" s="139"/>
      <c r="M123" s="128" t="e">
        <f>ROUND(#REF!,2)</f>
        <v>#REF!</v>
      </c>
      <c r="N123" s="128" t="e">
        <f>ROUND(#REF!,2)</f>
        <v>#REF!</v>
      </c>
      <c r="O123" s="122" t="e">
        <f t="shared" si="28"/>
        <v>#REF!</v>
      </c>
      <c r="Q123" s="765">
        <v>1492.06</v>
      </c>
      <c r="R123" s="765">
        <f t="shared" si="16"/>
        <v>1065.757142857143</v>
      </c>
      <c r="S123" s="765">
        <f t="shared" si="30"/>
        <v>1085.1345454545453</v>
      </c>
      <c r="T123" s="765">
        <f t="shared" si="29"/>
        <v>1085.1345454545453</v>
      </c>
    </row>
    <row r="124" spans="1:20" s="98" customFormat="1" outlineLevel="1">
      <c r="A124" s="141" t="s">
        <v>3483</v>
      </c>
      <c r="B124" s="175" t="s">
        <v>1010</v>
      </c>
      <c r="C124" s="100" t="s">
        <v>2390</v>
      </c>
      <c r="D124" s="183" t="s">
        <v>1468</v>
      </c>
      <c r="E124" s="20">
        <v>1</v>
      </c>
      <c r="F124" s="20">
        <f t="shared" si="12"/>
        <v>138.7709090909091</v>
      </c>
      <c r="G124" s="19">
        <f t="shared" si="27"/>
        <v>138.7709090909091</v>
      </c>
      <c r="H124" s="19">
        <f t="shared" si="24"/>
        <v>569.71009018181815</v>
      </c>
      <c r="I124" s="114" t="s">
        <v>1521</v>
      </c>
      <c r="J124" s="210">
        <f>VLOOKUP(I124,'Reajuste Atual'!$L$19:$M$25,2,FALSE)</f>
        <v>3.1053999999999999</v>
      </c>
      <c r="K124" s="190"/>
      <c r="L124" s="139"/>
      <c r="M124" s="128" t="e">
        <f>ROUND(#REF!,2)</f>
        <v>#REF!</v>
      </c>
      <c r="N124" s="128" t="e">
        <f>ROUND(#REF!,2)</f>
        <v>#REF!</v>
      </c>
      <c r="O124" s="122" t="e">
        <f t="shared" si="28"/>
        <v>#REF!</v>
      </c>
      <c r="Q124" s="765">
        <v>190.81</v>
      </c>
      <c r="R124" s="765">
        <f t="shared" si="16"/>
        <v>136.29285714285714</v>
      </c>
      <c r="S124" s="765">
        <f t="shared" si="30"/>
        <v>138.7709090909091</v>
      </c>
      <c r="T124" s="765">
        <f t="shared" si="29"/>
        <v>138.7709090909091</v>
      </c>
    </row>
    <row r="125" spans="1:20" s="98" customFormat="1" outlineLevel="1">
      <c r="A125" s="141" t="s">
        <v>3483</v>
      </c>
      <c r="B125" s="175" t="s">
        <v>1011</v>
      </c>
      <c r="C125" s="100" t="s">
        <v>2391</v>
      </c>
      <c r="D125" s="183" t="s">
        <v>1468</v>
      </c>
      <c r="E125" s="20">
        <v>2</v>
      </c>
      <c r="F125" s="20">
        <f t="shared" si="12"/>
        <v>261.24363636363637</v>
      </c>
      <c r="G125" s="19">
        <f t="shared" si="27"/>
        <v>522.48727272727274</v>
      </c>
      <c r="H125" s="19">
        <f t="shared" si="24"/>
        <v>2145.0192494545454</v>
      </c>
      <c r="I125" s="114" t="s">
        <v>1521</v>
      </c>
      <c r="J125" s="210">
        <f>VLOOKUP(I125,'Reajuste Atual'!$L$19:$M$25,2,FALSE)</f>
        <v>3.1053999999999999</v>
      </c>
      <c r="K125" s="190"/>
      <c r="L125" s="139"/>
      <c r="M125" s="128" t="e">
        <f>ROUND(#REF!,2)</f>
        <v>#REF!</v>
      </c>
      <c r="N125" s="128" t="e">
        <f>ROUND(#REF!,2)</f>
        <v>#REF!</v>
      </c>
      <c r="O125" s="122" t="e">
        <f t="shared" si="28"/>
        <v>#REF!</v>
      </c>
      <c r="Q125" s="765">
        <v>359.21</v>
      </c>
      <c r="R125" s="765">
        <f t="shared" si="16"/>
        <v>256.57857142857142</v>
      </c>
      <c r="S125" s="765">
        <f t="shared" si="30"/>
        <v>261.24363636363637</v>
      </c>
      <c r="T125" s="765">
        <f t="shared" si="29"/>
        <v>261.24363636363637</v>
      </c>
    </row>
    <row r="126" spans="1:20" s="98" customFormat="1" outlineLevel="1">
      <c r="A126" s="141" t="s">
        <v>3483</v>
      </c>
      <c r="B126" s="175" t="s">
        <v>1012</v>
      </c>
      <c r="C126" s="100" t="s">
        <v>2392</v>
      </c>
      <c r="D126" s="183" t="s">
        <v>1468</v>
      </c>
      <c r="E126" s="20">
        <v>2</v>
      </c>
      <c r="F126" s="20">
        <f t="shared" si="12"/>
        <v>322.69090909090909</v>
      </c>
      <c r="G126" s="19">
        <f t="shared" si="27"/>
        <v>645.38181818181818</v>
      </c>
      <c r="H126" s="19">
        <f t="shared" si="24"/>
        <v>2649.5505163636362</v>
      </c>
      <c r="I126" s="114" t="s">
        <v>1521</v>
      </c>
      <c r="J126" s="210">
        <f>VLOOKUP(I126,'Reajuste Atual'!$L$19:$M$25,2,FALSE)</f>
        <v>3.1053999999999999</v>
      </c>
      <c r="K126" s="190"/>
      <c r="L126" s="139"/>
      <c r="M126" s="128" t="e">
        <f>ROUND(#REF!,2)</f>
        <v>#REF!</v>
      </c>
      <c r="N126" s="128" t="e">
        <f>ROUND(#REF!,2)</f>
        <v>#REF!</v>
      </c>
      <c r="O126" s="122" t="e">
        <f t="shared" si="28"/>
        <v>#REF!</v>
      </c>
      <c r="Q126" s="765">
        <v>443.7</v>
      </c>
      <c r="R126" s="765">
        <f t="shared" si="16"/>
        <v>316.92857142857144</v>
      </c>
      <c r="S126" s="765">
        <f t="shared" si="30"/>
        <v>322.69090909090909</v>
      </c>
      <c r="T126" s="765">
        <f t="shared" si="29"/>
        <v>322.69090909090909</v>
      </c>
    </row>
    <row r="127" spans="1:20" s="98" customFormat="1" outlineLevel="1">
      <c r="A127" s="141" t="s">
        <v>3483</v>
      </c>
      <c r="B127" s="175" t="s">
        <v>1013</v>
      </c>
      <c r="C127" s="100" t="s">
        <v>2393</v>
      </c>
      <c r="D127" s="183" t="s">
        <v>1468</v>
      </c>
      <c r="E127" s="20">
        <v>1</v>
      </c>
      <c r="F127" s="20">
        <f t="shared" si="12"/>
        <v>563.5927272727273</v>
      </c>
      <c r="G127" s="19">
        <f t="shared" si="27"/>
        <v>563.5927272727273</v>
      </c>
      <c r="H127" s="19">
        <f t="shared" si="24"/>
        <v>2313.7735825454542</v>
      </c>
      <c r="I127" s="114" t="s">
        <v>1521</v>
      </c>
      <c r="J127" s="210">
        <f>VLOOKUP(I127,'Reajuste Atual'!$L$19:$M$25,2,FALSE)</f>
        <v>3.1053999999999999</v>
      </c>
      <c r="K127" s="190"/>
      <c r="L127" s="139"/>
      <c r="M127" s="128" t="e">
        <f>ROUND(#REF!,2)</f>
        <v>#REF!</v>
      </c>
      <c r="N127" s="128" t="e">
        <f>ROUND(#REF!,2)</f>
        <v>#REF!</v>
      </c>
      <c r="O127" s="122" t="e">
        <f t="shared" si="28"/>
        <v>#REF!</v>
      </c>
      <c r="Q127" s="765">
        <v>774.94</v>
      </c>
      <c r="R127" s="765">
        <f t="shared" si="16"/>
        <v>553.52857142857147</v>
      </c>
      <c r="S127" s="765">
        <f t="shared" si="30"/>
        <v>563.5927272727273</v>
      </c>
      <c r="T127" s="765">
        <f t="shared" si="29"/>
        <v>563.5927272727273</v>
      </c>
    </row>
    <row r="128" spans="1:20" s="98" customFormat="1" outlineLevel="1">
      <c r="A128" s="141" t="s">
        <v>3483</v>
      </c>
      <c r="B128" s="175" t="s">
        <v>1014</v>
      </c>
      <c r="C128" s="100" t="s">
        <v>2394</v>
      </c>
      <c r="D128" s="183" t="s">
        <v>1468</v>
      </c>
      <c r="E128" s="20">
        <v>3</v>
      </c>
      <c r="F128" s="20">
        <f t="shared" si="12"/>
        <v>1397.8036363636363</v>
      </c>
      <c r="G128" s="19">
        <f t="shared" si="27"/>
        <v>4193.4109090909087</v>
      </c>
      <c r="H128" s="19">
        <f t="shared" si="24"/>
        <v>17215.629146181815</v>
      </c>
      <c r="I128" s="114" t="s">
        <v>1521</v>
      </c>
      <c r="J128" s="210">
        <f>VLOOKUP(I128,'Reajuste Atual'!$L$19:$M$25,2,FALSE)</f>
        <v>3.1053999999999999</v>
      </c>
      <c r="K128" s="190"/>
      <c r="L128" s="139"/>
      <c r="M128" s="128" t="e">
        <f>ROUND(#REF!,2)</f>
        <v>#REF!</v>
      </c>
      <c r="N128" s="128" t="e">
        <f>ROUND(#REF!,2)</f>
        <v>#REF!</v>
      </c>
      <c r="O128" s="122" t="e">
        <f t="shared" si="28"/>
        <v>#REF!</v>
      </c>
      <c r="Q128" s="765">
        <v>1921.98</v>
      </c>
      <c r="R128" s="765">
        <f t="shared" si="16"/>
        <v>1372.8428571428572</v>
      </c>
      <c r="S128" s="765">
        <f t="shared" si="30"/>
        <v>1397.8036363636363</v>
      </c>
      <c r="T128" s="765">
        <f t="shared" si="29"/>
        <v>1397.8036363636363</v>
      </c>
    </row>
    <row r="129" spans="1:20" s="98" customFormat="1" outlineLevel="1">
      <c r="A129" s="141" t="s">
        <v>3483</v>
      </c>
      <c r="B129" s="175" t="s">
        <v>1015</v>
      </c>
      <c r="C129" s="100" t="s">
        <v>2395</v>
      </c>
      <c r="D129" s="183" t="s">
        <v>1468</v>
      </c>
      <c r="E129" s="20">
        <v>1</v>
      </c>
      <c r="F129" s="20">
        <f t="shared" si="12"/>
        <v>3218.64</v>
      </c>
      <c r="G129" s="19">
        <f t="shared" si="27"/>
        <v>3218.64</v>
      </c>
      <c r="H129" s="19">
        <f t="shared" si="24"/>
        <v>13213.804655999998</v>
      </c>
      <c r="I129" s="114" t="s">
        <v>1521</v>
      </c>
      <c r="J129" s="210">
        <f>VLOOKUP(I129,'Reajuste Atual'!$L$19:$M$25,2,FALSE)</f>
        <v>3.1053999999999999</v>
      </c>
      <c r="K129" s="190"/>
      <c r="L129" s="139"/>
      <c r="M129" s="128" t="e">
        <f>ROUND(#REF!,2)</f>
        <v>#REF!</v>
      </c>
      <c r="N129" s="128" t="e">
        <f>ROUND(#REF!,2)</f>
        <v>#REF!</v>
      </c>
      <c r="O129" s="122" t="e">
        <f t="shared" si="28"/>
        <v>#REF!</v>
      </c>
      <c r="Q129" s="765">
        <v>4425.63</v>
      </c>
      <c r="R129" s="765">
        <f t="shared" si="16"/>
        <v>3161.1642857142861</v>
      </c>
      <c r="S129" s="765">
        <f t="shared" si="30"/>
        <v>3218.64</v>
      </c>
      <c r="T129" s="765">
        <f t="shared" si="29"/>
        <v>3218.64</v>
      </c>
    </row>
    <row r="130" spans="1:20" s="98" customFormat="1" outlineLevel="1">
      <c r="A130" s="141" t="s">
        <v>3483</v>
      </c>
      <c r="B130" s="175" t="s">
        <v>1016</v>
      </c>
      <c r="C130" s="100" t="s">
        <v>2396</v>
      </c>
      <c r="D130" s="183" t="s">
        <v>1468</v>
      </c>
      <c r="E130" s="20">
        <v>2</v>
      </c>
      <c r="F130" s="20">
        <f t="shared" si="12"/>
        <v>98.647272727272721</v>
      </c>
      <c r="G130" s="19">
        <f t="shared" si="27"/>
        <v>197.29454545454544</v>
      </c>
      <c r="H130" s="19">
        <f t="shared" si="24"/>
        <v>809.97302690909078</v>
      </c>
      <c r="I130" s="114" t="s">
        <v>1521</v>
      </c>
      <c r="J130" s="210">
        <f>VLOOKUP(I130,'Reajuste Atual'!$L$19:$M$25,2,FALSE)</f>
        <v>3.1053999999999999</v>
      </c>
      <c r="K130" s="190"/>
      <c r="L130" s="139"/>
      <c r="M130" s="128" t="e">
        <f>ROUND(#REF!,2)</f>
        <v>#REF!</v>
      </c>
      <c r="N130" s="128" t="e">
        <f>ROUND(#REF!,2)</f>
        <v>#REF!</v>
      </c>
      <c r="O130" s="122" t="e">
        <f t="shared" si="28"/>
        <v>#REF!</v>
      </c>
      <c r="Q130" s="765">
        <v>135.63999999999999</v>
      </c>
      <c r="R130" s="765">
        <f t="shared" si="16"/>
        <v>96.885714285714286</v>
      </c>
      <c r="S130" s="765">
        <f t="shared" si="30"/>
        <v>98.647272727272721</v>
      </c>
      <c r="T130" s="765">
        <f t="shared" si="29"/>
        <v>98.647272727272721</v>
      </c>
    </row>
    <row r="131" spans="1:20" s="98" customFormat="1" outlineLevel="1">
      <c r="A131" s="141" t="s">
        <v>3483</v>
      </c>
      <c r="B131" s="175" t="s">
        <v>1017</v>
      </c>
      <c r="C131" s="100" t="s">
        <v>2397</v>
      </c>
      <c r="D131" s="183" t="s">
        <v>1468</v>
      </c>
      <c r="E131" s="20">
        <v>4</v>
      </c>
      <c r="F131" s="20">
        <f t="shared" si="12"/>
        <v>284.03636363636366</v>
      </c>
      <c r="G131" s="19">
        <f t="shared" si="27"/>
        <v>1136.1454545454546</v>
      </c>
      <c r="H131" s="19">
        <f t="shared" si="24"/>
        <v>4664.331549090909</v>
      </c>
      <c r="I131" s="114" t="s">
        <v>1521</v>
      </c>
      <c r="J131" s="210">
        <f>VLOOKUP(I131,'Reajuste Atual'!$L$19:$M$25,2,FALSE)</f>
        <v>3.1053999999999999</v>
      </c>
      <c r="K131" s="190"/>
      <c r="L131" s="139"/>
      <c r="M131" s="128" t="e">
        <f>ROUND(#REF!,2)</f>
        <v>#REF!</v>
      </c>
      <c r="N131" s="128" t="e">
        <f>ROUND(#REF!,2)</f>
        <v>#REF!</v>
      </c>
      <c r="O131" s="122" t="e">
        <f t="shared" si="28"/>
        <v>#REF!</v>
      </c>
      <c r="Q131" s="765">
        <v>390.55</v>
      </c>
      <c r="R131" s="765">
        <f t="shared" si="16"/>
        <v>278.96428571428572</v>
      </c>
      <c r="S131" s="765">
        <f t="shared" si="30"/>
        <v>284.03636363636366</v>
      </c>
      <c r="T131" s="765">
        <f t="shared" si="29"/>
        <v>284.03636363636366</v>
      </c>
    </row>
    <row r="132" spans="1:20" s="98" customFormat="1" outlineLevel="1">
      <c r="A132" s="141" t="s">
        <v>3483</v>
      </c>
      <c r="B132" s="175" t="s">
        <v>1018</v>
      </c>
      <c r="C132" s="100" t="s">
        <v>2398</v>
      </c>
      <c r="D132" s="183" t="s">
        <v>1468</v>
      </c>
      <c r="E132" s="20">
        <v>3</v>
      </c>
      <c r="F132" s="20">
        <f t="shared" si="12"/>
        <v>390.53818181818184</v>
      </c>
      <c r="G132" s="19">
        <f t="shared" si="27"/>
        <v>1171.6145454545456</v>
      </c>
      <c r="H132" s="19">
        <f t="shared" si="24"/>
        <v>4809.9463549090906</v>
      </c>
      <c r="I132" s="114" t="s">
        <v>1521</v>
      </c>
      <c r="J132" s="210">
        <f>VLOOKUP(I132,'Reajuste Atual'!$L$19:$M$25,2,FALSE)</f>
        <v>3.1053999999999999</v>
      </c>
      <c r="K132" s="190"/>
      <c r="L132" s="139"/>
      <c r="M132" s="128" t="e">
        <f>ROUND(#REF!,2)</f>
        <v>#REF!</v>
      </c>
      <c r="N132" s="128" t="e">
        <f>ROUND(#REF!,2)</f>
        <v>#REF!</v>
      </c>
      <c r="O132" s="122" t="e">
        <f t="shared" si="28"/>
        <v>#REF!</v>
      </c>
      <c r="Q132" s="765">
        <v>536.99</v>
      </c>
      <c r="R132" s="765">
        <f t="shared" si="16"/>
        <v>383.56428571428575</v>
      </c>
      <c r="S132" s="765">
        <f t="shared" si="30"/>
        <v>390.53818181818184</v>
      </c>
      <c r="T132" s="765">
        <f t="shared" si="29"/>
        <v>390.53818181818184</v>
      </c>
    </row>
    <row r="133" spans="1:20" s="98" customFormat="1" outlineLevel="1">
      <c r="A133" s="141" t="s">
        <v>3483</v>
      </c>
      <c r="B133" s="175" t="s">
        <v>1019</v>
      </c>
      <c r="C133" s="100" t="s">
        <v>2399</v>
      </c>
      <c r="D133" s="183" t="s">
        <v>1468</v>
      </c>
      <c r="E133" s="20">
        <v>2</v>
      </c>
      <c r="F133" s="20">
        <f t="shared" si="12"/>
        <v>625.33090909090913</v>
      </c>
      <c r="G133" s="19">
        <f t="shared" si="27"/>
        <v>1250.6618181818183</v>
      </c>
      <c r="H133" s="19">
        <f t="shared" si="24"/>
        <v>5134.467028363636</v>
      </c>
      <c r="I133" s="114" t="s">
        <v>1521</v>
      </c>
      <c r="J133" s="210">
        <f>VLOOKUP(I133,'Reajuste Atual'!$L$19:$M$25,2,FALSE)</f>
        <v>3.1053999999999999</v>
      </c>
      <c r="K133" s="190"/>
      <c r="L133" s="139"/>
      <c r="M133" s="128" t="e">
        <f>ROUND(#REF!,2)</f>
        <v>#REF!</v>
      </c>
      <c r="N133" s="128" t="e">
        <f>ROUND(#REF!,2)</f>
        <v>#REF!</v>
      </c>
      <c r="O133" s="122" t="e">
        <f t="shared" si="28"/>
        <v>#REF!</v>
      </c>
      <c r="Q133" s="765">
        <v>859.83</v>
      </c>
      <c r="R133" s="765">
        <f t="shared" si="16"/>
        <v>614.16428571428582</v>
      </c>
      <c r="S133" s="765">
        <f t="shared" si="30"/>
        <v>625.33090909090913</v>
      </c>
      <c r="T133" s="765">
        <f t="shared" si="29"/>
        <v>625.33090909090913</v>
      </c>
    </row>
    <row r="134" spans="1:20" s="98" customFormat="1" outlineLevel="1">
      <c r="A134" s="141" t="s">
        <v>3483</v>
      </c>
      <c r="B134" s="175" t="s">
        <v>1020</v>
      </c>
      <c r="C134" s="100" t="s">
        <v>2400</v>
      </c>
      <c r="D134" s="183" t="s">
        <v>1468</v>
      </c>
      <c r="E134" s="20">
        <v>2</v>
      </c>
      <c r="F134" s="20">
        <f t="shared" si="12"/>
        <v>1187.1345454545453</v>
      </c>
      <c r="G134" s="19">
        <f t="shared" si="27"/>
        <v>2374.2690909090907</v>
      </c>
      <c r="H134" s="19">
        <f t="shared" si="24"/>
        <v>9747.3243258181792</v>
      </c>
      <c r="I134" s="114" t="s">
        <v>1521</v>
      </c>
      <c r="J134" s="210">
        <f>VLOOKUP(I134,'Reajuste Atual'!$L$19:$M$25,2,FALSE)</f>
        <v>3.1053999999999999</v>
      </c>
      <c r="K134" s="190"/>
      <c r="L134" s="139"/>
      <c r="M134" s="128" t="e">
        <f>ROUND(#REF!,2)</f>
        <v>#REF!</v>
      </c>
      <c r="N134" s="128" t="e">
        <f>ROUND(#REF!,2)</f>
        <v>#REF!</v>
      </c>
      <c r="O134" s="122" t="e">
        <f t="shared" si="28"/>
        <v>#REF!</v>
      </c>
      <c r="Q134" s="765">
        <v>1632.31</v>
      </c>
      <c r="R134" s="765">
        <f t="shared" si="16"/>
        <v>1165.9357142857143</v>
      </c>
      <c r="S134" s="765">
        <f t="shared" si="30"/>
        <v>1187.1345454545453</v>
      </c>
      <c r="T134" s="765">
        <f t="shared" si="29"/>
        <v>1187.1345454545453</v>
      </c>
    </row>
    <row r="135" spans="1:20" s="98" customFormat="1" outlineLevel="1">
      <c r="A135" s="141" t="s">
        <v>3483</v>
      </c>
      <c r="B135" s="175" t="s">
        <v>1021</v>
      </c>
      <c r="C135" s="100" t="s">
        <v>2401</v>
      </c>
      <c r="D135" s="183" t="s">
        <v>1468</v>
      </c>
      <c r="E135" s="20">
        <v>2</v>
      </c>
      <c r="F135" s="20">
        <f t="shared" si="12"/>
        <v>1532.3709090909092</v>
      </c>
      <c r="G135" s="19">
        <f t="shared" si="27"/>
        <v>3064.7418181818184</v>
      </c>
      <c r="H135" s="19">
        <f t="shared" si="24"/>
        <v>12581.991060363636</v>
      </c>
      <c r="I135" s="114" t="s">
        <v>1521</v>
      </c>
      <c r="J135" s="210">
        <f>VLOOKUP(I135,'Reajuste Atual'!$L$19:$M$25,2,FALSE)</f>
        <v>3.1053999999999999</v>
      </c>
      <c r="K135" s="190"/>
      <c r="L135" s="139"/>
      <c r="M135" s="128" t="e">
        <f>ROUND(#REF!,2)</f>
        <v>#REF!</v>
      </c>
      <c r="N135" s="128" t="e">
        <f>ROUND(#REF!,2)</f>
        <v>#REF!</v>
      </c>
      <c r="O135" s="122" t="e">
        <f t="shared" si="28"/>
        <v>#REF!</v>
      </c>
      <c r="Q135" s="765">
        <v>2107.0100000000002</v>
      </c>
      <c r="R135" s="765">
        <f t="shared" si="16"/>
        <v>1505.0071428571432</v>
      </c>
      <c r="S135" s="765">
        <f t="shared" si="30"/>
        <v>1532.3709090909092</v>
      </c>
      <c r="T135" s="765">
        <f t="shared" si="29"/>
        <v>1532.3709090909092</v>
      </c>
    </row>
    <row r="136" spans="1:20" s="98" customFormat="1" outlineLevel="1">
      <c r="A136" s="141" t="s">
        <v>3483</v>
      </c>
      <c r="B136" s="175" t="s">
        <v>1022</v>
      </c>
      <c r="C136" s="100" t="s">
        <v>2402</v>
      </c>
      <c r="D136" s="183" t="s">
        <v>1468</v>
      </c>
      <c r="E136" s="20">
        <v>1</v>
      </c>
      <c r="F136" s="20">
        <f t="shared" si="12"/>
        <v>3043.0690909090913</v>
      </c>
      <c r="G136" s="19">
        <f t="shared" si="27"/>
        <v>3043.0690909090913</v>
      </c>
      <c r="H136" s="19">
        <f t="shared" si="24"/>
        <v>12493.015845818181</v>
      </c>
      <c r="I136" s="114" t="s">
        <v>1521</v>
      </c>
      <c r="J136" s="210">
        <f>VLOOKUP(I136,'Reajuste Atual'!$L$19:$M$25,2,FALSE)</f>
        <v>3.1053999999999999</v>
      </c>
      <c r="K136" s="190"/>
      <c r="L136" s="139"/>
      <c r="M136" s="128" t="e">
        <f>ROUND(#REF!,2)</f>
        <v>#REF!</v>
      </c>
      <c r="N136" s="128" t="e">
        <f>ROUND(#REF!,2)</f>
        <v>#REF!</v>
      </c>
      <c r="O136" s="122" t="e">
        <f t="shared" si="28"/>
        <v>#REF!</v>
      </c>
      <c r="Q136" s="765">
        <v>4184.22</v>
      </c>
      <c r="R136" s="765">
        <f t="shared" si="16"/>
        <v>2988.7285714285717</v>
      </c>
      <c r="S136" s="765">
        <f t="shared" si="30"/>
        <v>3043.0690909090913</v>
      </c>
      <c r="T136" s="765">
        <f t="shared" si="29"/>
        <v>3043.0690909090913</v>
      </c>
    </row>
    <row r="137" spans="1:20" s="98" customFormat="1" outlineLevel="1">
      <c r="A137" s="141" t="s">
        <v>3483</v>
      </c>
      <c r="B137" s="175" t="s">
        <v>1023</v>
      </c>
      <c r="C137" s="100" t="s">
        <v>2403</v>
      </c>
      <c r="D137" s="183" t="s">
        <v>1468</v>
      </c>
      <c r="E137" s="20">
        <v>3</v>
      </c>
      <c r="F137" s="20">
        <f t="shared" si="12"/>
        <v>3645.0109090909095</v>
      </c>
      <c r="G137" s="19">
        <f t="shared" si="27"/>
        <v>10935.032727272728</v>
      </c>
      <c r="H137" s="19">
        <f t="shared" si="24"/>
        <v>44892.683358545451</v>
      </c>
      <c r="I137" s="114" t="s">
        <v>1521</v>
      </c>
      <c r="J137" s="210">
        <f>VLOOKUP(I137,'Reajuste Atual'!$L$19:$M$25,2,FALSE)</f>
        <v>3.1053999999999999</v>
      </c>
      <c r="K137" s="190"/>
      <c r="L137" s="139"/>
      <c r="M137" s="128" t="e">
        <f>ROUND(#REF!,2)</f>
        <v>#REF!</v>
      </c>
      <c r="N137" s="128" t="e">
        <f>ROUND(#REF!,2)</f>
        <v>#REF!</v>
      </c>
      <c r="O137" s="122" t="e">
        <f t="shared" si="28"/>
        <v>#REF!</v>
      </c>
      <c r="Q137" s="765">
        <v>5011.8900000000003</v>
      </c>
      <c r="R137" s="765">
        <f t="shared" si="16"/>
        <v>3579.9214285714288</v>
      </c>
      <c r="S137" s="765">
        <f t="shared" si="30"/>
        <v>3645.0109090909095</v>
      </c>
      <c r="T137" s="765">
        <f t="shared" si="29"/>
        <v>3645.0109090909095</v>
      </c>
    </row>
    <row r="138" spans="1:20" s="98" customFormat="1" outlineLevel="1">
      <c r="A138" s="141" t="s">
        <v>3483</v>
      </c>
      <c r="B138" s="175" t="s">
        <v>1024</v>
      </c>
      <c r="C138" s="100" t="s">
        <v>2404</v>
      </c>
      <c r="D138" s="183" t="s">
        <v>1468</v>
      </c>
      <c r="E138" s="20">
        <v>2</v>
      </c>
      <c r="F138" s="20">
        <f t="shared" si="12"/>
        <v>4828.7927272727275</v>
      </c>
      <c r="G138" s="19">
        <f t="shared" si="27"/>
        <v>9657.5854545454549</v>
      </c>
      <c r="H138" s="19">
        <f t="shared" si="24"/>
        <v>39648.251325090903</v>
      </c>
      <c r="I138" s="114" t="s">
        <v>1521</v>
      </c>
      <c r="J138" s="210">
        <f>VLOOKUP(I138,'Reajuste Atual'!$L$19:$M$25,2,FALSE)</f>
        <v>3.1053999999999999</v>
      </c>
      <c r="K138" s="190"/>
      <c r="L138" s="139"/>
      <c r="M138" s="128" t="e">
        <f>ROUND(#REF!,2)</f>
        <v>#REF!</v>
      </c>
      <c r="N138" s="128" t="e">
        <f>ROUND(#REF!,2)</f>
        <v>#REF!</v>
      </c>
      <c r="O138" s="122" t="e">
        <f t="shared" si="28"/>
        <v>#REF!</v>
      </c>
      <c r="Q138" s="765">
        <v>6639.59</v>
      </c>
      <c r="R138" s="765">
        <f t="shared" si="16"/>
        <v>4742.5642857142857</v>
      </c>
      <c r="S138" s="765">
        <f t="shared" si="30"/>
        <v>4828.7927272727275</v>
      </c>
      <c r="T138" s="765">
        <f t="shared" si="29"/>
        <v>4828.7927272727275</v>
      </c>
    </row>
    <row r="139" spans="1:20" s="98" customFormat="1" outlineLevel="1">
      <c r="A139" s="141" t="s">
        <v>3483</v>
      </c>
      <c r="B139" s="175" t="s">
        <v>1025</v>
      </c>
      <c r="C139" s="100" t="s">
        <v>2358</v>
      </c>
      <c r="D139" s="183" t="s">
        <v>1468</v>
      </c>
      <c r="E139" s="20">
        <v>5</v>
      </c>
      <c r="F139" s="20">
        <f t="shared" si="12"/>
        <v>76.916363636363641</v>
      </c>
      <c r="G139" s="19">
        <f t="shared" si="27"/>
        <v>384.58181818181822</v>
      </c>
      <c r="H139" s="19">
        <f t="shared" si="24"/>
        <v>1578.8621963636363</v>
      </c>
      <c r="I139" s="114" t="s">
        <v>1521</v>
      </c>
      <c r="J139" s="210">
        <f>VLOOKUP(I139,'Reajuste Atual'!$L$19:$M$25,2,FALSE)</f>
        <v>3.1053999999999999</v>
      </c>
      <c r="K139" s="190"/>
      <c r="L139" s="177"/>
      <c r="M139" s="128" t="e">
        <f>ROUND(#REF!,2)</f>
        <v>#REF!</v>
      </c>
      <c r="N139" s="128" t="e">
        <f>ROUND(#REF!,2)</f>
        <v>#REF!</v>
      </c>
      <c r="O139" s="122" t="e">
        <f t="shared" si="28"/>
        <v>#REF!</v>
      </c>
      <c r="Q139" s="765">
        <v>105.76</v>
      </c>
      <c r="R139" s="765">
        <f t="shared" si="16"/>
        <v>75.542857142857144</v>
      </c>
      <c r="S139" s="765">
        <f t="shared" si="30"/>
        <v>76.916363636363641</v>
      </c>
      <c r="T139" s="765">
        <f t="shared" si="29"/>
        <v>76.916363636363641</v>
      </c>
    </row>
    <row r="140" spans="1:20" s="98" customFormat="1" outlineLevel="1">
      <c r="A140" s="141" t="s">
        <v>3483</v>
      </c>
      <c r="B140" s="175" t="s">
        <v>1026</v>
      </c>
      <c r="C140" s="100" t="s">
        <v>2372</v>
      </c>
      <c r="D140" s="183" t="s">
        <v>1468</v>
      </c>
      <c r="E140" s="20">
        <v>37</v>
      </c>
      <c r="F140" s="20">
        <f t="shared" ref="F140:F203" si="31">T140</f>
        <v>128.74181818181819</v>
      </c>
      <c r="G140" s="19">
        <f t="shared" si="27"/>
        <v>4763.4472727272732</v>
      </c>
      <c r="H140" s="19">
        <f t="shared" si="24"/>
        <v>19555.856433454544</v>
      </c>
      <c r="I140" s="114" t="s">
        <v>1521</v>
      </c>
      <c r="J140" s="210">
        <f>VLOOKUP(I140,'Reajuste Atual'!$L$19:$M$25,2,FALSE)</f>
        <v>3.1053999999999999</v>
      </c>
      <c r="K140" s="190"/>
      <c r="L140" s="139"/>
      <c r="M140" s="128" t="e">
        <f>ROUND(#REF!,2)</f>
        <v>#REF!</v>
      </c>
      <c r="N140" s="128" t="e">
        <f>ROUND(#REF!,2)</f>
        <v>#REF!</v>
      </c>
      <c r="O140" s="122" t="e">
        <f t="shared" si="28"/>
        <v>#REF!</v>
      </c>
      <c r="Q140" s="765">
        <v>177.02</v>
      </c>
      <c r="R140" s="765">
        <f t="shared" ref="R140:R203" si="32">Q140/($R$23+1)</f>
        <v>126.44285714285716</v>
      </c>
      <c r="S140" s="765">
        <f t="shared" si="30"/>
        <v>128.74181818181819</v>
      </c>
      <c r="T140" s="765">
        <f t="shared" si="29"/>
        <v>128.74181818181819</v>
      </c>
    </row>
    <row r="141" spans="1:20" s="98" customFormat="1" outlineLevel="1">
      <c r="A141" s="141" t="s">
        <v>3483</v>
      </c>
      <c r="B141" s="175" t="s">
        <v>1027</v>
      </c>
      <c r="C141" s="100" t="s">
        <v>2380</v>
      </c>
      <c r="D141" s="183" t="s">
        <v>1468</v>
      </c>
      <c r="E141" s="20">
        <v>12</v>
      </c>
      <c r="F141" s="20">
        <f t="shared" si="31"/>
        <v>200.64</v>
      </c>
      <c r="G141" s="19">
        <f t="shared" si="27"/>
        <v>2407.6799999999998</v>
      </c>
      <c r="H141" s="19">
        <f t="shared" si="24"/>
        <v>9884.4894719999975</v>
      </c>
      <c r="I141" s="114" t="s">
        <v>1521</v>
      </c>
      <c r="J141" s="210">
        <f>VLOOKUP(I141,'Reajuste Atual'!$L$19:$M$25,2,FALSE)</f>
        <v>3.1053999999999999</v>
      </c>
      <c r="K141" s="190"/>
      <c r="L141" s="139"/>
      <c r="M141" s="128" t="e">
        <f>ROUND(#REF!,2)</f>
        <v>#REF!</v>
      </c>
      <c r="N141" s="128" t="e">
        <f>ROUND(#REF!,2)</f>
        <v>#REF!</v>
      </c>
      <c r="O141" s="122" t="e">
        <f t="shared" si="28"/>
        <v>#REF!</v>
      </c>
      <c r="Q141" s="765">
        <v>275.88</v>
      </c>
      <c r="R141" s="765">
        <f t="shared" si="32"/>
        <v>197.05714285714288</v>
      </c>
      <c r="S141" s="765">
        <f t="shared" si="30"/>
        <v>200.64</v>
      </c>
      <c r="T141" s="765">
        <f t="shared" si="29"/>
        <v>200.64</v>
      </c>
    </row>
    <row r="142" spans="1:20" s="98" customFormat="1" outlineLevel="1">
      <c r="A142" s="141" t="s">
        <v>3483</v>
      </c>
      <c r="B142" s="175" t="s">
        <v>1028</v>
      </c>
      <c r="C142" s="100" t="s">
        <v>2405</v>
      </c>
      <c r="D142" s="183" t="s">
        <v>1468</v>
      </c>
      <c r="E142" s="20">
        <v>5</v>
      </c>
      <c r="F142" s="20">
        <f t="shared" si="31"/>
        <v>359.72363636363639</v>
      </c>
      <c r="G142" s="19">
        <f t="shared" si="27"/>
        <v>1798.6181818181819</v>
      </c>
      <c r="H142" s="19">
        <f t="shared" si="24"/>
        <v>7384.0470836363629</v>
      </c>
      <c r="I142" s="114" t="s">
        <v>1521</v>
      </c>
      <c r="J142" s="210">
        <f>VLOOKUP(I142,'Reajuste Atual'!$L$19:$M$25,2,FALSE)</f>
        <v>3.1053999999999999</v>
      </c>
      <c r="K142" s="190"/>
      <c r="L142" s="139"/>
      <c r="M142" s="128" t="e">
        <f>ROUND(#REF!,2)</f>
        <v>#REF!</v>
      </c>
      <c r="N142" s="128" t="e">
        <f>ROUND(#REF!,2)</f>
        <v>#REF!</v>
      </c>
      <c r="O142" s="122" t="e">
        <f t="shared" si="28"/>
        <v>#REF!</v>
      </c>
      <c r="Q142" s="765">
        <v>494.62</v>
      </c>
      <c r="R142" s="765">
        <f t="shared" si="32"/>
        <v>353.3</v>
      </c>
      <c r="S142" s="765">
        <f t="shared" si="30"/>
        <v>359.72363636363639</v>
      </c>
      <c r="T142" s="765">
        <f t="shared" si="29"/>
        <v>359.72363636363639</v>
      </c>
    </row>
    <row r="143" spans="1:20" s="98" customFormat="1" outlineLevel="1">
      <c r="A143" s="141" t="s">
        <v>3483</v>
      </c>
      <c r="B143" s="175" t="s">
        <v>1029</v>
      </c>
      <c r="C143" s="100" t="s">
        <v>2406</v>
      </c>
      <c r="D143" s="183" t="s">
        <v>1468</v>
      </c>
      <c r="E143" s="20">
        <v>2</v>
      </c>
      <c r="F143" s="20">
        <f t="shared" si="31"/>
        <v>991.35272727272718</v>
      </c>
      <c r="G143" s="19">
        <f t="shared" si="27"/>
        <v>1982.7054545454544</v>
      </c>
      <c r="H143" s="19">
        <f t="shared" si="24"/>
        <v>8139.7989730909076</v>
      </c>
      <c r="I143" s="114" t="s">
        <v>1521</v>
      </c>
      <c r="J143" s="210">
        <f>VLOOKUP(I143,'Reajuste Atual'!$L$19:$M$25,2,FALSE)</f>
        <v>3.1053999999999999</v>
      </c>
      <c r="K143" s="190"/>
      <c r="L143" s="139"/>
      <c r="M143" s="128" t="e">
        <f>ROUND(#REF!,2)</f>
        <v>#REF!</v>
      </c>
      <c r="N143" s="128" t="e">
        <f>ROUND(#REF!,2)</f>
        <v>#REF!</v>
      </c>
      <c r="O143" s="122" t="e">
        <f t="shared" si="28"/>
        <v>#REF!</v>
      </c>
      <c r="Q143" s="765">
        <v>1363.11</v>
      </c>
      <c r="R143" s="765">
        <f t="shared" si="32"/>
        <v>973.65</v>
      </c>
      <c r="S143" s="765">
        <f t="shared" si="30"/>
        <v>991.35272727272718</v>
      </c>
      <c r="T143" s="765">
        <f t="shared" si="29"/>
        <v>991.35272727272718</v>
      </c>
    </row>
    <row r="144" spans="1:20" s="98" customFormat="1" outlineLevel="1">
      <c r="A144" s="141" t="s">
        <v>3483</v>
      </c>
      <c r="B144" s="175" t="s">
        <v>1030</v>
      </c>
      <c r="C144" s="100" t="s">
        <v>2407</v>
      </c>
      <c r="D144" s="183" t="s">
        <v>1468</v>
      </c>
      <c r="E144" s="20">
        <v>1</v>
      </c>
      <c r="F144" s="20">
        <f t="shared" si="31"/>
        <v>916.38545454545454</v>
      </c>
      <c r="G144" s="19">
        <f t="shared" si="27"/>
        <v>916.38545454545454</v>
      </c>
      <c r="H144" s="19">
        <f t="shared" si="24"/>
        <v>3762.1288450909087</v>
      </c>
      <c r="I144" s="114" t="s">
        <v>1521</v>
      </c>
      <c r="J144" s="210">
        <f>VLOOKUP(I144,'Reajuste Atual'!$L$19:$M$25,2,FALSE)</f>
        <v>3.1053999999999999</v>
      </c>
      <c r="K144" s="190"/>
      <c r="L144" s="139"/>
      <c r="M144" s="128" t="e">
        <f>ROUND(#REF!,2)</f>
        <v>#REF!</v>
      </c>
      <c r="N144" s="128" t="e">
        <f>ROUND(#REF!,2)</f>
        <v>#REF!</v>
      </c>
      <c r="O144" s="122" t="e">
        <f t="shared" si="28"/>
        <v>#REF!</v>
      </c>
      <c r="Q144" s="765">
        <v>1260.03</v>
      </c>
      <c r="R144" s="765">
        <f t="shared" si="32"/>
        <v>900.0214285714286</v>
      </c>
      <c r="S144" s="765">
        <f t="shared" si="30"/>
        <v>916.38545454545454</v>
      </c>
      <c r="T144" s="765">
        <f t="shared" si="29"/>
        <v>916.38545454545454</v>
      </c>
    </row>
    <row r="145" spans="1:20" s="98" customFormat="1" outlineLevel="1">
      <c r="A145" s="141" t="s">
        <v>3483</v>
      </c>
      <c r="B145" s="175" t="s">
        <v>1031</v>
      </c>
      <c r="C145" s="100" t="s">
        <v>2408</v>
      </c>
      <c r="D145" s="183" t="s">
        <v>1468</v>
      </c>
      <c r="E145" s="20">
        <v>2</v>
      </c>
      <c r="F145" s="20">
        <f t="shared" si="31"/>
        <v>1504.3127272727272</v>
      </c>
      <c r="G145" s="19">
        <f t="shared" si="27"/>
        <v>3008.6254545454544</v>
      </c>
      <c r="H145" s="19">
        <f t="shared" si="24"/>
        <v>12351.610941090907</v>
      </c>
      <c r="I145" s="114" t="s">
        <v>1521</v>
      </c>
      <c r="J145" s="210">
        <f>VLOOKUP(I145,'Reajuste Atual'!$L$19:$M$25,2,FALSE)</f>
        <v>3.1053999999999999</v>
      </c>
      <c r="K145" s="190"/>
      <c r="L145" s="139"/>
      <c r="M145" s="128" t="e">
        <f>ROUND(#REF!,2)</f>
        <v>#REF!</v>
      </c>
      <c r="N145" s="128" t="e">
        <f>ROUND(#REF!,2)</f>
        <v>#REF!</v>
      </c>
      <c r="O145" s="122" t="e">
        <f t="shared" si="28"/>
        <v>#REF!</v>
      </c>
      <c r="Q145" s="765">
        <v>2068.4299999999998</v>
      </c>
      <c r="R145" s="765">
        <f t="shared" si="32"/>
        <v>1477.45</v>
      </c>
      <c r="S145" s="765">
        <f t="shared" si="30"/>
        <v>1504.3127272727272</v>
      </c>
      <c r="T145" s="765">
        <f t="shared" si="29"/>
        <v>1504.3127272727272</v>
      </c>
    </row>
    <row r="146" spans="1:20" s="98" customFormat="1" outlineLevel="1">
      <c r="A146" s="141" t="s">
        <v>3483</v>
      </c>
      <c r="B146" s="175" t="s">
        <v>1032</v>
      </c>
      <c r="C146" s="100" t="s">
        <v>2409</v>
      </c>
      <c r="D146" s="183" t="s">
        <v>1468</v>
      </c>
      <c r="E146" s="20">
        <v>4</v>
      </c>
      <c r="F146" s="20">
        <f t="shared" si="31"/>
        <v>1629.4909090909093</v>
      </c>
      <c r="G146" s="19">
        <f t="shared" si="27"/>
        <v>6517.9636363636373</v>
      </c>
      <c r="H146" s="19">
        <f t="shared" si="24"/>
        <v>26758.847912727273</v>
      </c>
      <c r="I146" s="114" t="s">
        <v>1521</v>
      </c>
      <c r="J146" s="210">
        <f>VLOOKUP(I146,'Reajuste Atual'!$L$19:$M$25,2,FALSE)</f>
        <v>3.1053999999999999</v>
      </c>
      <c r="K146" s="190"/>
      <c r="L146" s="139"/>
      <c r="M146" s="128" t="e">
        <f>ROUND(#REF!,2)</f>
        <v>#REF!</v>
      </c>
      <c r="N146" s="128" t="e">
        <f>ROUND(#REF!,2)</f>
        <v>#REF!</v>
      </c>
      <c r="O146" s="122" t="e">
        <f t="shared" si="28"/>
        <v>#REF!</v>
      </c>
      <c r="Q146" s="765">
        <v>2240.5500000000002</v>
      </c>
      <c r="R146" s="765">
        <f t="shared" si="32"/>
        <v>1600.3928571428573</v>
      </c>
      <c r="S146" s="765">
        <f t="shared" si="30"/>
        <v>1629.4909090909093</v>
      </c>
      <c r="T146" s="765">
        <f t="shared" si="29"/>
        <v>1629.4909090909093</v>
      </c>
    </row>
    <row r="147" spans="1:20" s="98" customFormat="1" outlineLevel="1">
      <c r="A147" s="141" t="s">
        <v>3483</v>
      </c>
      <c r="B147" s="175" t="s">
        <v>1033</v>
      </c>
      <c r="C147" s="100" t="s">
        <v>2410</v>
      </c>
      <c r="D147" s="183" t="s">
        <v>1468</v>
      </c>
      <c r="E147" s="20">
        <v>3</v>
      </c>
      <c r="F147" s="20">
        <f t="shared" si="31"/>
        <v>2209.869090909091</v>
      </c>
      <c r="G147" s="19">
        <f t="shared" si="27"/>
        <v>6629.6072727272731</v>
      </c>
      <c r="H147" s="19">
        <f t="shared" si="24"/>
        <v>27217.189697454545</v>
      </c>
      <c r="I147" s="114" t="s">
        <v>1521</v>
      </c>
      <c r="J147" s="210">
        <f>VLOOKUP(I147,'Reajuste Atual'!$L$19:$M$25,2,FALSE)</f>
        <v>3.1053999999999999</v>
      </c>
      <c r="K147" s="190"/>
      <c r="L147" s="139"/>
      <c r="M147" s="128" t="e">
        <f>ROUND(#REF!,2)</f>
        <v>#REF!</v>
      </c>
      <c r="N147" s="128" t="e">
        <f>ROUND(#REF!,2)</f>
        <v>#REF!</v>
      </c>
      <c r="O147" s="122" t="e">
        <f t="shared" si="28"/>
        <v>#REF!</v>
      </c>
      <c r="Q147" s="765">
        <v>3038.57</v>
      </c>
      <c r="R147" s="765">
        <f t="shared" si="32"/>
        <v>2170.4071428571433</v>
      </c>
      <c r="S147" s="765">
        <f t="shared" si="30"/>
        <v>2209.869090909091</v>
      </c>
      <c r="T147" s="765">
        <f t="shared" si="29"/>
        <v>2209.869090909091</v>
      </c>
    </row>
    <row r="148" spans="1:20" s="98" customFormat="1" outlineLevel="1">
      <c r="A148" s="141" t="s">
        <v>3483</v>
      </c>
      <c r="B148" s="175" t="s">
        <v>1034</v>
      </c>
      <c r="C148" s="100" t="s">
        <v>2411</v>
      </c>
      <c r="D148" s="183" t="s">
        <v>1468</v>
      </c>
      <c r="E148" s="20">
        <v>2</v>
      </c>
      <c r="F148" s="20">
        <f t="shared" si="31"/>
        <v>3549.6872727272726</v>
      </c>
      <c r="G148" s="19">
        <f t="shared" si="27"/>
        <v>7099.3745454545451</v>
      </c>
      <c r="H148" s="19">
        <f t="shared" si="24"/>
        <v>29145.772258909084</v>
      </c>
      <c r="I148" s="114" t="s">
        <v>1521</v>
      </c>
      <c r="J148" s="210">
        <f>VLOOKUP(I148,'Reajuste Atual'!$L$19:$M$25,2,FALSE)</f>
        <v>3.1053999999999999</v>
      </c>
      <c r="K148" s="190"/>
      <c r="L148" s="139"/>
      <c r="M148" s="128" t="e">
        <f>ROUND(#REF!,2)</f>
        <v>#REF!</v>
      </c>
      <c r="N148" s="128" t="e">
        <f>ROUND(#REF!,2)</f>
        <v>#REF!</v>
      </c>
      <c r="O148" s="122" t="e">
        <f t="shared" si="28"/>
        <v>#REF!</v>
      </c>
      <c r="Q148" s="765">
        <v>4880.82</v>
      </c>
      <c r="R148" s="765">
        <f t="shared" si="32"/>
        <v>3486.3</v>
      </c>
      <c r="S148" s="765">
        <f t="shared" si="30"/>
        <v>3549.6872727272726</v>
      </c>
      <c r="T148" s="765">
        <f t="shared" si="29"/>
        <v>3549.6872727272726</v>
      </c>
    </row>
    <row r="149" spans="1:20" s="98" customFormat="1" outlineLevel="1">
      <c r="A149" s="141" t="s">
        <v>3483</v>
      </c>
      <c r="B149" s="175" t="s">
        <v>1035</v>
      </c>
      <c r="C149" s="100" t="s">
        <v>2412</v>
      </c>
      <c r="D149" s="183" t="s">
        <v>1468</v>
      </c>
      <c r="E149" s="20">
        <v>2</v>
      </c>
      <c r="F149" s="20">
        <f t="shared" si="31"/>
        <v>5974.3418181818179</v>
      </c>
      <c r="G149" s="19">
        <f t="shared" si="27"/>
        <v>11948.683636363636</v>
      </c>
      <c r="H149" s="19">
        <f t="shared" si="24"/>
        <v>49054.125800727263</v>
      </c>
      <c r="I149" s="114" t="s">
        <v>1521</v>
      </c>
      <c r="J149" s="210">
        <f>VLOOKUP(I149,'Reajuste Atual'!$L$19:$M$25,2,FALSE)</f>
        <v>3.1053999999999999</v>
      </c>
      <c r="K149" s="190"/>
      <c r="L149" s="139"/>
      <c r="M149" s="128" t="e">
        <f>ROUND(#REF!,2)</f>
        <v>#REF!</v>
      </c>
      <c r="N149" s="128" t="e">
        <f>ROUND(#REF!,2)</f>
        <v>#REF!</v>
      </c>
      <c r="O149" s="122" t="e">
        <f t="shared" si="28"/>
        <v>#REF!</v>
      </c>
      <c r="Q149" s="765">
        <v>8214.7199999999993</v>
      </c>
      <c r="R149" s="765">
        <f t="shared" si="32"/>
        <v>5867.6571428571424</v>
      </c>
      <c r="S149" s="765">
        <f t="shared" si="30"/>
        <v>5974.3418181818179</v>
      </c>
      <c r="T149" s="765">
        <f t="shared" si="29"/>
        <v>5974.3418181818179</v>
      </c>
    </row>
    <row r="150" spans="1:20" s="98" customFormat="1" outlineLevel="1">
      <c r="A150" s="141" t="s">
        <v>3483</v>
      </c>
      <c r="B150" s="175" t="s">
        <v>1036</v>
      </c>
      <c r="C150" s="100" t="s">
        <v>2413</v>
      </c>
      <c r="D150" s="183" t="s">
        <v>1468</v>
      </c>
      <c r="E150" s="20">
        <v>1</v>
      </c>
      <c r="F150" s="20">
        <f t="shared" si="31"/>
        <v>7283.3236363636361</v>
      </c>
      <c r="G150" s="19">
        <f t="shared" si="27"/>
        <v>7283.3236363636361</v>
      </c>
      <c r="H150" s="19">
        <f t="shared" si="24"/>
        <v>29900.956856727269</v>
      </c>
      <c r="I150" s="114" t="s">
        <v>1521</v>
      </c>
      <c r="J150" s="210">
        <f>VLOOKUP(I150,'Reajuste Atual'!$L$19:$M$25,2,FALSE)</f>
        <v>3.1053999999999999</v>
      </c>
      <c r="K150" s="190"/>
      <c r="L150" s="139"/>
      <c r="M150" s="128" t="e">
        <f>ROUND(#REF!,2)</f>
        <v>#REF!</v>
      </c>
      <c r="N150" s="128" t="e">
        <f>ROUND(#REF!,2)</f>
        <v>#REF!</v>
      </c>
      <c r="O150" s="122" t="e">
        <f t="shared" si="28"/>
        <v>#REF!</v>
      </c>
      <c r="Q150" s="765">
        <v>10014.57</v>
      </c>
      <c r="R150" s="765">
        <f t="shared" si="32"/>
        <v>7153.2642857142855</v>
      </c>
      <c r="S150" s="765">
        <f t="shared" si="30"/>
        <v>7283.3236363636361</v>
      </c>
      <c r="T150" s="765">
        <f t="shared" si="29"/>
        <v>7283.3236363636361</v>
      </c>
    </row>
    <row r="151" spans="1:20" s="98" customFormat="1" outlineLevel="1">
      <c r="A151" s="141" t="s">
        <v>3483</v>
      </c>
      <c r="B151" s="175" t="s">
        <v>1037</v>
      </c>
      <c r="C151" s="100" t="s">
        <v>2414</v>
      </c>
      <c r="D151" s="183" t="s">
        <v>1468</v>
      </c>
      <c r="E151" s="20">
        <v>202</v>
      </c>
      <c r="F151" s="20">
        <f t="shared" si="31"/>
        <v>66.872727272727275</v>
      </c>
      <c r="G151" s="19">
        <f t="shared" si="27"/>
        <v>13508.290909090909</v>
      </c>
      <c r="H151" s="19">
        <f t="shared" si="24"/>
        <v>55456.937498181811</v>
      </c>
      <c r="I151" s="114" t="s">
        <v>1521</v>
      </c>
      <c r="J151" s="210">
        <f>VLOOKUP(I151,'Reajuste Atual'!$L$19:$M$25,2,FALSE)</f>
        <v>3.1053999999999999</v>
      </c>
      <c r="K151" s="190"/>
      <c r="L151" s="139"/>
      <c r="M151" s="128" t="e">
        <f>ROUND(#REF!,2)</f>
        <v>#REF!</v>
      </c>
      <c r="N151" s="128" t="e">
        <f>ROUND(#REF!,2)</f>
        <v>#REF!</v>
      </c>
      <c r="O151" s="122" t="e">
        <f t="shared" si="28"/>
        <v>#REF!</v>
      </c>
      <c r="Q151" s="765">
        <v>91.95</v>
      </c>
      <c r="R151" s="765">
        <f t="shared" si="32"/>
        <v>65.678571428571431</v>
      </c>
      <c r="S151" s="765">
        <f t="shared" si="30"/>
        <v>66.872727272727275</v>
      </c>
      <c r="T151" s="765">
        <f t="shared" si="29"/>
        <v>66.872727272727275</v>
      </c>
    </row>
    <row r="152" spans="1:20" s="98" customFormat="1" outlineLevel="1">
      <c r="A152" s="141" t="s">
        <v>3483</v>
      </c>
      <c r="B152" s="175" t="s">
        <v>1038</v>
      </c>
      <c r="C152" s="100" t="s">
        <v>2415</v>
      </c>
      <c r="D152" s="183" t="s">
        <v>1468</v>
      </c>
      <c r="E152" s="20">
        <v>27</v>
      </c>
      <c r="F152" s="20">
        <f t="shared" si="31"/>
        <v>149.16363636363636</v>
      </c>
      <c r="G152" s="19">
        <f t="shared" si="27"/>
        <v>4027.4181818181814</v>
      </c>
      <c r="H152" s="19">
        <f t="shared" si="24"/>
        <v>16534.16260363636</v>
      </c>
      <c r="I152" s="114" t="s">
        <v>1521</v>
      </c>
      <c r="J152" s="210">
        <f>VLOOKUP(I152,'Reajuste Atual'!$L$19:$M$25,2,FALSE)</f>
        <v>3.1053999999999999</v>
      </c>
      <c r="K152" s="190"/>
      <c r="L152" s="139"/>
      <c r="M152" s="128" t="e">
        <f>ROUND(#REF!,2)</f>
        <v>#REF!</v>
      </c>
      <c r="N152" s="128" t="e">
        <f>ROUND(#REF!,2)</f>
        <v>#REF!</v>
      </c>
      <c r="O152" s="122" t="e">
        <f t="shared" si="28"/>
        <v>#REF!</v>
      </c>
      <c r="Q152" s="765">
        <v>205.1</v>
      </c>
      <c r="R152" s="765">
        <f t="shared" si="32"/>
        <v>146.5</v>
      </c>
      <c r="S152" s="765">
        <f t="shared" si="30"/>
        <v>149.16363636363636</v>
      </c>
      <c r="T152" s="765">
        <f t="shared" si="29"/>
        <v>149.16363636363636</v>
      </c>
    </row>
    <row r="153" spans="1:20" s="98" customFormat="1" outlineLevel="1">
      <c r="A153" s="141" t="s">
        <v>3483</v>
      </c>
      <c r="B153" s="175" t="s">
        <v>1039</v>
      </c>
      <c r="C153" s="100" t="s">
        <v>2416</v>
      </c>
      <c r="D153" s="183" t="s">
        <v>1468</v>
      </c>
      <c r="E153" s="20">
        <v>4</v>
      </c>
      <c r="F153" s="20">
        <f t="shared" si="31"/>
        <v>404.63272727272727</v>
      </c>
      <c r="G153" s="19">
        <f t="shared" si="27"/>
        <v>1618.5309090909091</v>
      </c>
      <c r="H153" s="19">
        <f t="shared" si="24"/>
        <v>6644.716794181817</v>
      </c>
      <c r="I153" s="114" t="s">
        <v>1521</v>
      </c>
      <c r="J153" s="210">
        <f>VLOOKUP(I153,'Reajuste Atual'!$L$19:$M$25,2,FALSE)</f>
        <v>3.1053999999999999</v>
      </c>
      <c r="K153" s="190"/>
      <c r="L153" s="139"/>
      <c r="M153" s="128" t="e">
        <f>ROUND(#REF!,2)</f>
        <v>#REF!</v>
      </c>
      <c r="N153" s="128" t="e">
        <f>ROUND(#REF!,2)</f>
        <v>#REF!</v>
      </c>
      <c r="O153" s="122" t="e">
        <f t="shared" si="28"/>
        <v>#REF!</v>
      </c>
      <c r="Q153" s="765">
        <v>556.37</v>
      </c>
      <c r="R153" s="765">
        <f t="shared" si="32"/>
        <v>397.4071428571429</v>
      </c>
      <c r="S153" s="765">
        <f t="shared" si="30"/>
        <v>404.63272727272727</v>
      </c>
      <c r="T153" s="765">
        <f t="shared" si="29"/>
        <v>404.63272727272727</v>
      </c>
    </row>
    <row r="154" spans="1:20" s="98" customFormat="1" outlineLevel="1">
      <c r="A154" s="141" t="s">
        <v>3483</v>
      </c>
      <c r="B154" s="175" t="s">
        <v>1040</v>
      </c>
      <c r="C154" s="100" t="s">
        <v>2417</v>
      </c>
      <c r="D154" s="183" t="s">
        <v>1468</v>
      </c>
      <c r="E154" s="20">
        <v>6</v>
      </c>
      <c r="F154" s="20">
        <f t="shared" si="31"/>
        <v>1150.3490909090908</v>
      </c>
      <c r="G154" s="19">
        <f t="shared" si="27"/>
        <v>6902.0945454545454</v>
      </c>
      <c r="H154" s="19">
        <f t="shared" si="24"/>
        <v>28335.858946909088</v>
      </c>
      <c r="I154" s="114" t="s">
        <v>1521</v>
      </c>
      <c r="J154" s="210">
        <f>VLOOKUP(I154,'Reajuste Atual'!$L$19:$M$25,2,FALSE)</f>
        <v>3.1053999999999999</v>
      </c>
      <c r="K154" s="190"/>
      <c r="L154" s="139"/>
      <c r="M154" s="128" t="e">
        <f>ROUND(#REF!,2)</f>
        <v>#REF!</v>
      </c>
      <c r="N154" s="128" t="e">
        <f>ROUND(#REF!,2)</f>
        <v>#REF!</v>
      </c>
      <c r="O154" s="122" t="e">
        <f t="shared" si="28"/>
        <v>#REF!</v>
      </c>
      <c r="Q154" s="765">
        <v>1581.73</v>
      </c>
      <c r="R154" s="765">
        <f t="shared" si="32"/>
        <v>1129.8071428571429</v>
      </c>
      <c r="S154" s="765">
        <f t="shared" si="30"/>
        <v>1150.3490909090908</v>
      </c>
      <c r="T154" s="765">
        <f t="shared" si="29"/>
        <v>1150.3490909090908</v>
      </c>
    </row>
    <row r="155" spans="1:20" s="98" customFormat="1" outlineLevel="1">
      <c r="A155" s="141" t="s">
        <v>3483</v>
      </c>
      <c r="B155" s="175" t="s">
        <v>1041</v>
      </c>
      <c r="C155" s="100" t="s">
        <v>2418</v>
      </c>
      <c r="D155" s="183" t="s">
        <v>1468</v>
      </c>
      <c r="E155" s="20">
        <v>5</v>
      </c>
      <c r="F155" s="20">
        <f t="shared" si="31"/>
        <v>2245.52</v>
      </c>
      <c r="G155" s="19">
        <f t="shared" si="27"/>
        <v>11227.6</v>
      </c>
      <c r="H155" s="19">
        <f t="shared" si="24"/>
        <v>46093.789039999996</v>
      </c>
      <c r="I155" s="114" t="s">
        <v>1521</v>
      </c>
      <c r="J155" s="210">
        <f>VLOOKUP(I155,'Reajuste Atual'!$L$19:$M$25,2,FALSE)</f>
        <v>3.1053999999999999</v>
      </c>
      <c r="K155" s="190"/>
      <c r="L155" s="139"/>
      <c r="M155" s="128" t="e">
        <f>ROUND(#REF!,2)</f>
        <v>#REF!</v>
      </c>
      <c r="N155" s="128" t="e">
        <f>ROUND(#REF!,2)</f>
        <v>#REF!</v>
      </c>
      <c r="O155" s="122" t="e">
        <f t="shared" si="28"/>
        <v>#REF!</v>
      </c>
      <c r="Q155" s="765">
        <v>3087.59</v>
      </c>
      <c r="R155" s="765">
        <f t="shared" si="32"/>
        <v>2205.4214285714288</v>
      </c>
      <c r="S155" s="765">
        <f t="shared" si="30"/>
        <v>2245.52</v>
      </c>
      <c r="T155" s="765">
        <f t="shared" si="29"/>
        <v>2245.52</v>
      </c>
    </row>
    <row r="156" spans="1:20" s="98" customFormat="1" outlineLevel="1">
      <c r="A156" s="141" t="s">
        <v>3483</v>
      </c>
      <c r="B156" s="175" t="s">
        <v>1042</v>
      </c>
      <c r="C156" s="100" t="s">
        <v>2419</v>
      </c>
      <c r="D156" s="183" t="s">
        <v>1468</v>
      </c>
      <c r="E156" s="20">
        <v>3</v>
      </c>
      <c r="F156" s="20">
        <f t="shared" si="31"/>
        <v>1944.5527272727275</v>
      </c>
      <c r="G156" s="19">
        <f t="shared" si="27"/>
        <v>5833.6581818181821</v>
      </c>
      <c r="H156" s="19">
        <f t="shared" si="24"/>
        <v>23949.500299636362</v>
      </c>
      <c r="I156" s="114" t="s">
        <v>1521</v>
      </c>
      <c r="J156" s="210">
        <f>VLOOKUP(I156,'Reajuste Atual'!$L$19:$M$25,2,FALSE)</f>
        <v>3.1053999999999999</v>
      </c>
      <c r="K156" s="190"/>
      <c r="L156" s="139"/>
      <c r="M156" s="128" t="e">
        <f>ROUND(#REF!,2)</f>
        <v>#REF!</v>
      </c>
      <c r="N156" s="128" t="e">
        <f>ROUND(#REF!,2)</f>
        <v>#REF!</v>
      </c>
      <c r="O156" s="122" t="e">
        <f t="shared" si="28"/>
        <v>#REF!</v>
      </c>
      <c r="Q156" s="765">
        <v>2673.76</v>
      </c>
      <c r="R156" s="765">
        <f t="shared" si="32"/>
        <v>1909.8285714285716</v>
      </c>
      <c r="S156" s="765">
        <f t="shared" si="30"/>
        <v>1944.5527272727275</v>
      </c>
      <c r="T156" s="765">
        <f t="shared" si="29"/>
        <v>1944.5527272727275</v>
      </c>
    </row>
    <row r="157" spans="1:20" s="98" customFormat="1" outlineLevel="1">
      <c r="A157" s="141" t="s">
        <v>3483</v>
      </c>
      <c r="B157" s="175" t="s">
        <v>1043</v>
      </c>
      <c r="C157" s="100" t="s">
        <v>1620</v>
      </c>
      <c r="D157" s="183" t="s">
        <v>1468</v>
      </c>
      <c r="E157" s="20">
        <v>6</v>
      </c>
      <c r="F157" s="20">
        <f t="shared" si="31"/>
        <v>759.30909090909086</v>
      </c>
      <c r="G157" s="19">
        <f t="shared" si="27"/>
        <v>4555.8545454545456</v>
      </c>
      <c r="H157" s="19">
        <f t="shared" si="24"/>
        <v>18703.605250909088</v>
      </c>
      <c r="I157" s="114" t="s">
        <v>1521</v>
      </c>
      <c r="J157" s="210">
        <f>VLOOKUP(I157,'Reajuste Atual'!$L$19:$M$25,2,FALSE)</f>
        <v>3.1053999999999999</v>
      </c>
      <c r="K157" s="190"/>
      <c r="L157" s="139"/>
      <c r="M157" s="128" t="e">
        <f>ROUND(#REF!,2)</f>
        <v>#REF!</v>
      </c>
      <c r="N157" s="128" t="e">
        <f>ROUND(#REF!,2)</f>
        <v>#REF!</v>
      </c>
      <c r="O157" s="122" t="e">
        <f t="shared" si="28"/>
        <v>#REF!</v>
      </c>
      <c r="Q157" s="765">
        <v>1044.05</v>
      </c>
      <c r="R157" s="765">
        <f t="shared" si="32"/>
        <v>745.75</v>
      </c>
      <c r="S157" s="765">
        <f t="shared" si="30"/>
        <v>759.30909090909086</v>
      </c>
      <c r="T157" s="765">
        <f t="shared" si="29"/>
        <v>759.30909090909086</v>
      </c>
    </row>
    <row r="158" spans="1:20" s="98" customFormat="1" outlineLevel="1">
      <c r="A158" s="141" t="s">
        <v>3483</v>
      </c>
      <c r="B158" s="175" t="s">
        <v>1044</v>
      </c>
      <c r="C158" s="100" t="s">
        <v>1619</v>
      </c>
      <c r="D158" s="183" t="s">
        <v>1468</v>
      </c>
      <c r="E158" s="20">
        <v>9</v>
      </c>
      <c r="F158" s="20">
        <f t="shared" si="31"/>
        <v>1095.1636363636362</v>
      </c>
      <c r="G158" s="19">
        <f t="shared" si="27"/>
        <v>9856.472727272725</v>
      </c>
      <c r="H158" s="19">
        <f t="shared" si="24"/>
        <v>40464.763134545443</v>
      </c>
      <c r="I158" s="114" t="s">
        <v>1521</v>
      </c>
      <c r="J158" s="210">
        <f>VLOOKUP(I158,'Reajuste Atual'!$L$19:$M$25,2,FALSE)</f>
        <v>3.1053999999999999</v>
      </c>
      <c r="K158" s="190"/>
      <c r="L158" s="139"/>
      <c r="M158" s="128" t="e">
        <f>ROUND(#REF!,2)</f>
        <v>#REF!</v>
      </c>
      <c r="N158" s="128" t="e">
        <f>ROUND(#REF!,2)</f>
        <v>#REF!</v>
      </c>
      <c r="O158" s="122" t="e">
        <f t="shared" si="28"/>
        <v>#REF!</v>
      </c>
      <c r="Q158" s="765">
        <v>1505.85</v>
      </c>
      <c r="R158" s="765">
        <f t="shared" si="32"/>
        <v>1075.6071428571429</v>
      </c>
      <c r="S158" s="765">
        <f t="shared" si="30"/>
        <v>1095.1636363636362</v>
      </c>
      <c r="T158" s="765">
        <f t="shared" si="29"/>
        <v>1095.1636363636362</v>
      </c>
    </row>
    <row r="159" spans="1:20" s="98" customFormat="1" outlineLevel="1">
      <c r="A159" s="141" t="s">
        <v>3483</v>
      </c>
      <c r="B159" s="175" t="s">
        <v>1045</v>
      </c>
      <c r="C159" s="100" t="s">
        <v>2420</v>
      </c>
      <c r="D159" s="183" t="s">
        <v>1468</v>
      </c>
      <c r="E159" s="20">
        <v>3</v>
      </c>
      <c r="F159" s="20">
        <f t="shared" si="31"/>
        <v>580.18909090909085</v>
      </c>
      <c r="G159" s="19">
        <f t="shared" si="27"/>
        <v>1740.5672727272727</v>
      </c>
      <c r="H159" s="19">
        <f t="shared" si="24"/>
        <v>7145.7248814545446</v>
      </c>
      <c r="I159" s="114" t="s">
        <v>1521</v>
      </c>
      <c r="J159" s="210">
        <f>VLOOKUP(I159,'Reajuste Atual'!$L$19:$M$25,2,FALSE)</f>
        <v>3.1053999999999999</v>
      </c>
      <c r="K159" s="190"/>
      <c r="L159" s="139"/>
      <c r="M159" s="128" t="e">
        <f>ROUND(#REF!,2)</f>
        <v>#REF!</v>
      </c>
      <c r="N159" s="128" t="e">
        <f>ROUND(#REF!,2)</f>
        <v>#REF!</v>
      </c>
      <c r="O159" s="122" t="e">
        <f t="shared" si="28"/>
        <v>#REF!</v>
      </c>
      <c r="Q159" s="765">
        <v>797.76</v>
      </c>
      <c r="R159" s="765">
        <f t="shared" si="32"/>
        <v>569.82857142857142</v>
      </c>
      <c r="S159" s="765">
        <f t="shared" si="30"/>
        <v>580.18909090909085</v>
      </c>
      <c r="T159" s="765">
        <f t="shared" si="29"/>
        <v>580.18909090909085</v>
      </c>
    </row>
    <row r="160" spans="1:20" s="98" customFormat="1" outlineLevel="1">
      <c r="A160" s="141" t="s">
        <v>3483</v>
      </c>
      <c r="B160" s="175" t="s">
        <v>1046</v>
      </c>
      <c r="C160" s="100" t="s">
        <v>2421</v>
      </c>
      <c r="D160" s="183" t="s">
        <v>1468</v>
      </c>
      <c r="E160" s="20">
        <v>7</v>
      </c>
      <c r="F160" s="20">
        <f t="shared" si="31"/>
        <v>1250.669090909091</v>
      </c>
      <c r="G160" s="19">
        <f t="shared" si="27"/>
        <v>8754.6836363636376</v>
      </c>
      <c r="H160" s="19">
        <f t="shared" si="24"/>
        <v>35941.478200727273</v>
      </c>
      <c r="I160" s="114" t="s">
        <v>1521</v>
      </c>
      <c r="J160" s="210">
        <f>VLOOKUP(I160,'Reajuste Atual'!$L$19:$M$25,2,FALSE)</f>
        <v>3.1053999999999999</v>
      </c>
      <c r="K160" s="190"/>
      <c r="L160" s="139"/>
      <c r="M160" s="128" t="e">
        <f>ROUND(#REF!,2)</f>
        <v>#REF!</v>
      </c>
      <c r="N160" s="128" t="e">
        <f>ROUND(#REF!,2)</f>
        <v>#REF!</v>
      </c>
      <c r="O160" s="122" t="e">
        <f t="shared" si="28"/>
        <v>#REF!</v>
      </c>
      <c r="Q160" s="765">
        <v>1719.67</v>
      </c>
      <c r="R160" s="765">
        <f t="shared" si="32"/>
        <v>1228.3357142857144</v>
      </c>
      <c r="S160" s="765">
        <f t="shared" si="30"/>
        <v>1250.669090909091</v>
      </c>
      <c r="T160" s="765">
        <f t="shared" si="29"/>
        <v>1250.669090909091</v>
      </c>
    </row>
    <row r="161" spans="1:20" s="98" customFormat="1" outlineLevel="1">
      <c r="A161" s="141" t="s">
        <v>3483</v>
      </c>
      <c r="B161" s="175" t="s">
        <v>1047</v>
      </c>
      <c r="C161" s="100" t="s">
        <v>2422</v>
      </c>
      <c r="D161" s="183" t="s">
        <v>1468</v>
      </c>
      <c r="E161" s="20">
        <v>2</v>
      </c>
      <c r="F161" s="20">
        <f t="shared" si="31"/>
        <v>10013.621818181819</v>
      </c>
      <c r="G161" s="19">
        <f t="shared" si="27"/>
        <v>20027.243636363637</v>
      </c>
      <c r="H161" s="19">
        <f t="shared" si="24"/>
        <v>82219.84602472726</v>
      </c>
      <c r="I161" s="114" t="s">
        <v>1521</v>
      </c>
      <c r="J161" s="210">
        <f>VLOOKUP(I161,'Reajuste Atual'!$L$19:$M$25,2,FALSE)</f>
        <v>3.1053999999999999</v>
      </c>
      <c r="K161" s="190"/>
      <c r="L161" s="139"/>
      <c r="M161" s="128" t="e">
        <f>ROUND(#REF!,2)</f>
        <v>#REF!</v>
      </c>
      <c r="N161" s="128" t="e">
        <f>ROUND(#REF!,2)</f>
        <v>#REF!</v>
      </c>
      <c r="O161" s="122" t="e">
        <f t="shared" si="28"/>
        <v>#REF!</v>
      </c>
      <c r="Q161" s="765">
        <v>13768.73</v>
      </c>
      <c r="R161" s="765">
        <f t="shared" si="32"/>
        <v>9834.8071428571438</v>
      </c>
      <c r="S161" s="765">
        <f t="shared" si="30"/>
        <v>10013.621818181819</v>
      </c>
      <c r="T161" s="765">
        <f t="shared" si="29"/>
        <v>10013.621818181819</v>
      </c>
    </row>
    <row r="162" spans="1:20" s="98" customFormat="1" outlineLevel="1">
      <c r="A162" s="141" t="s">
        <v>3483</v>
      </c>
      <c r="B162" s="175" t="s">
        <v>1048</v>
      </c>
      <c r="C162" s="100" t="s">
        <v>2423</v>
      </c>
      <c r="D162" s="183" t="s">
        <v>1468</v>
      </c>
      <c r="E162" s="20">
        <v>3</v>
      </c>
      <c r="F162" s="20">
        <f t="shared" si="31"/>
        <v>10134.58909090909</v>
      </c>
      <c r="G162" s="19">
        <f t="shared" si="27"/>
        <v>30403.767272727273</v>
      </c>
      <c r="H162" s="19">
        <f t="shared" si="24"/>
        <v>124819.62616145454</v>
      </c>
      <c r="I162" s="114" t="s">
        <v>1521</v>
      </c>
      <c r="J162" s="210">
        <f>VLOOKUP(I162,'Reajuste Atual'!$L$19:$M$25,2,FALSE)</f>
        <v>3.1053999999999999</v>
      </c>
      <c r="K162" s="190"/>
      <c r="L162" s="139"/>
      <c r="M162" s="128" t="e">
        <f>ROUND(#REF!,2)</f>
        <v>#REF!</v>
      </c>
      <c r="N162" s="128" t="e">
        <f>ROUND(#REF!,2)</f>
        <v>#REF!</v>
      </c>
      <c r="O162" s="122" t="e">
        <f t="shared" si="28"/>
        <v>#REF!</v>
      </c>
      <c r="Q162" s="765">
        <v>13935.06</v>
      </c>
      <c r="R162" s="765">
        <f t="shared" si="32"/>
        <v>9953.6142857142859</v>
      </c>
      <c r="S162" s="765">
        <f t="shared" si="30"/>
        <v>10134.58909090909</v>
      </c>
      <c r="T162" s="765">
        <f t="shared" si="29"/>
        <v>10134.58909090909</v>
      </c>
    </row>
    <row r="163" spans="1:20" s="98" customFormat="1" outlineLevel="1">
      <c r="A163" s="141" t="s">
        <v>3483</v>
      </c>
      <c r="B163" s="175" t="s">
        <v>1049</v>
      </c>
      <c r="C163" s="100" t="s">
        <v>2424</v>
      </c>
      <c r="D163" s="183" t="s">
        <v>1468</v>
      </c>
      <c r="E163" s="20">
        <v>2</v>
      </c>
      <c r="F163" s="20">
        <f t="shared" si="31"/>
        <v>11155.250909090908</v>
      </c>
      <c r="G163" s="19">
        <f t="shared" si="27"/>
        <v>22310.501818181816</v>
      </c>
      <c r="H163" s="19">
        <f t="shared" si="24"/>
        <v>91593.53416436362</v>
      </c>
      <c r="I163" s="114" t="s">
        <v>1521</v>
      </c>
      <c r="J163" s="210">
        <f>VLOOKUP(I163,'Reajuste Atual'!$L$19:$M$25,2,FALSE)</f>
        <v>3.1053999999999999</v>
      </c>
      <c r="K163" s="190"/>
      <c r="L163" s="139"/>
      <c r="M163" s="128" t="e">
        <f>ROUND(#REF!,2)</f>
        <v>#REF!</v>
      </c>
      <c r="N163" s="128" t="e">
        <f>ROUND(#REF!,2)</f>
        <v>#REF!</v>
      </c>
      <c r="O163" s="122" t="e">
        <f t="shared" si="28"/>
        <v>#REF!</v>
      </c>
      <c r="Q163" s="765">
        <v>15338.47</v>
      </c>
      <c r="R163" s="765">
        <f t="shared" si="32"/>
        <v>10956.050000000001</v>
      </c>
      <c r="S163" s="765">
        <f t="shared" si="30"/>
        <v>11155.250909090908</v>
      </c>
      <c r="T163" s="765">
        <f t="shared" si="29"/>
        <v>11155.250909090908</v>
      </c>
    </row>
    <row r="164" spans="1:20" s="98" customFormat="1" outlineLevel="1">
      <c r="A164" s="141" t="s">
        <v>3483</v>
      </c>
      <c r="B164" s="175" t="s">
        <v>1050</v>
      </c>
      <c r="C164" s="100" t="s">
        <v>2425</v>
      </c>
      <c r="D164" s="183" t="s">
        <v>1468</v>
      </c>
      <c r="E164" s="20">
        <v>2</v>
      </c>
      <c r="F164" s="20">
        <f t="shared" si="31"/>
        <v>11204.974545454546</v>
      </c>
      <c r="G164" s="19">
        <f t="shared" si="27"/>
        <v>22409.949090909093</v>
      </c>
      <c r="H164" s="19">
        <f t="shared" si="24"/>
        <v>92001.804997818181</v>
      </c>
      <c r="I164" s="114" t="s">
        <v>1521</v>
      </c>
      <c r="J164" s="210">
        <f>VLOOKUP(I164,'Reajuste Atual'!$L$19:$M$25,2,FALSE)</f>
        <v>3.1053999999999999</v>
      </c>
      <c r="K164" s="190"/>
      <c r="L164" s="139"/>
      <c r="M164" s="128" t="e">
        <f>ROUND(#REF!,2)</f>
        <v>#REF!</v>
      </c>
      <c r="N164" s="128" t="e">
        <f>ROUND(#REF!,2)</f>
        <v>#REF!</v>
      </c>
      <c r="O164" s="122" t="e">
        <f t="shared" si="28"/>
        <v>#REF!</v>
      </c>
      <c r="Q164" s="765">
        <v>15406.84</v>
      </c>
      <c r="R164" s="765">
        <f t="shared" si="32"/>
        <v>11004.885714285716</v>
      </c>
      <c r="S164" s="765">
        <f t="shared" si="30"/>
        <v>11204.974545454546</v>
      </c>
      <c r="T164" s="765">
        <f t="shared" si="29"/>
        <v>11204.974545454546</v>
      </c>
    </row>
    <row r="165" spans="1:20" s="98" customFormat="1" outlineLevel="1">
      <c r="A165" s="141" t="s">
        <v>3483</v>
      </c>
      <c r="B165" s="175" t="s">
        <v>1051</v>
      </c>
      <c r="C165" s="100" t="s">
        <v>2426</v>
      </c>
      <c r="D165" s="183" t="s">
        <v>1468</v>
      </c>
      <c r="E165" s="20">
        <v>3</v>
      </c>
      <c r="F165" s="20">
        <f t="shared" si="31"/>
        <v>13605.869090909091</v>
      </c>
      <c r="G165" s="19">
        <f t="shared" si="27"/>
        <v>40817.607272727269</v>
      </c>
      <c r="H165" s="19">
        <f t="shared" si="24"/>
        <v>167572.6048974545</v>
      </c>
      <c r="I165" s="114" t="s">
        <v>1521</v>
      </c>
      <c r="J165" s="210">
        <f>VLOOKUP(I165,'Reajuste Atual'!$L$19:$M$25,2,FALSE)</f>
        <v>3.1053999999999999</v>
      </c>
      <c r="K165" s="190"/>
      <c r="L165" s="139"/>
      <c r="M165" s="128" t="e">
        <f>ROUND(#REF!,2)</f>
        <v>#REF!</v>
      </c>
      <c r="N165" s="128" t="e">
        <f>ROUND(#REF!,2)</f>
        <v>#REF!</v>
      </c>
      <c r="O165" s="122" t="e">
        <f t="shared" si="28"/>
        <v>#REF!</v>
      </c>
      <c r="Q165" s="765">
        <v>18708.07</v>
      </c>
      <c r="R165" s="765">
        <f t="shared" si="32"/>
        <v>13362.907142857144</v>
      </c>
      <c r="S165" s="765">
        <f t="shared" si="30"/>
        <v>13605.869090909091</v>
      </c>
      <c r="T165" s="765">
        <f t="shared" si="29"/>
        <v>13605.869090909091</v>
      </c>
    </row>
    <row r="166" spans="1:20" s="98" customFormat="1" outlineLevel="1">
      <c r="A166" s="141" t="s">
        <v>3483</v>
      </c>
      <c r="B166" s="175" t="s">
        <v>1052</v>
      </c>
      <c r="C166" s="100" t="s">
        <v>2427</v>
      </c>
      <c r="D166" s="183" t="s">
        <v>1468</v>
      </c>
      <c r="E166" s="20">
        <v>2</v>
      </c>
      <c r="F166" s="20">
        <f t="shared" si="31"/>
        <v>13645.650909090909</v>
      </c>
      <c r="G166" s="19">
        <f t="shared" si="27"/>
        <v>27291.301818181819</v>
      </c>
      <c r="H166" s="19">
        <f t="shared" si="24"/>
        <v>112041.71048436362</v>
      </c>
      <c r="I166" s="114" t="s">
        <v>1521</v>
      </c>
      <c r="J166" s="210">
        <f>VLOOKUP(I166,'Reajuste Atual'!$L$19:$M$25,2,FALSE)</f>
        <v>3.1053999999999999</v>
      </c>
      <c r="K166" s="190"/>
      <c r="L166" s="139"/>
      <c r="M166" s="128" t="e">
        <f>ROUND(#REF!,2)</f>
        <v>#REF!</v>
      </c>
      <c r="N166" s="128" t="e">
        <f>ROUND(#REF!,2)</f>
        <v>#REF!</v>
      </c>
      <c r="O166" s="122" t="e">
        <f t="shared" si="28"/>
        <v>#REF!</v>
      </c>
      <c r="Q166" s="765">
        <v>18762.77</v>
      </c>
      <c r="R166" s="765">
        <f t="shared" si="32"/>
        <v>13401.978571428572</v>
      </c>
      <c r="S166" s="765">
        <f t="shared" si="30"/>
        <v>13645.650909090909</v>
      </c>
      <c r="T166" s="765">
        <f t="shared" si="29"/>
        <v>13645.650909090909</v>
      </c>
    </row>
    <row r="167" spans="1:20" s="98" customFormat="1" outlineLevel="1">
      <c r="A167" s="141" t="s">
        <v>3483</v>
      </c>
      <c r="B167" s="175" t="s">
        <v>1053</v>
      </c>
      <c r="C167" s="100" t="s">
        <v>2428</v>
      </c>
      <c r="D167" s="183" t="s">
        <v>1468</v>
      </c>
      <c r="E167" s="20">
        <v>6</v>
      </c>
      <c r="F167" s="20">
        <f t="shared" si="31"/>
        <v>1763.9781818181816</v>
      </c>
      <c r="G167" s="19">
        <f t="shared" si="27"/>
        <v>10583.869090909089</v>
      </c>
      <c r="H167" s="19">
        <f t="shared" si="24"/>
        <v>43451.016165818168</v>
      </c>
      <c r="I167" s="114" t="s">
        <v>1521</v>
      </c>
      <c r="J167" s="210">
        <f>VLOOKUP(I167,'Reajuste Atual'!$L$19:$M$25,2,FALSE)</f>
        <v>3.1053999999999999</v>
      </c>
      <c r="K167" s="190"/>
      <c r="L167" s="139"/>
      <c r="M167" s="128" t="e">
        <f>ROUND(#REF!,2)</f>
        <v>#REF!</v>
      </c>
      <c r="N167" s="128" t="e">
        <f>ROUND(#REF!,2)</f>
        <v>#REF!</v>
      </c>
      <c r="O167" s="122" t="e">
        <f t="shared" si="28"/>
        <v>#REF!</v>
      </c>
      <c r="Q167" s="765">
        <v>2425.4699999999998</v>
      </c>
      <c r="R167" s="765">
        <f t="shared" si="32"/>
        <v>1732.4785714285713</v>
      </c>
      <c r="S167" s="765">
        <f t="shared" si="30"/>
        <v>1763.9781818181816</v>
      </c>
      <c r="T167" s="765">
        <f t="shared" si="29"/>
        <v>1763.9781818181816</v>
      </c>
    </row>
    <row r="168" spans="1:20" s="98" customFormat="1" outlineLevel="1">
      <c r="A168" s="141" t="s">
        <v>3483</v>
      </c>
      <c r="B168" s="175" t="s">
        <v>1054</v>
      </c>
      <c r="C168" s="100" t="s">
        <v>2429</v>
      </c>
      <c r="D168" s="183" t="s">
        <v>1468</v>
      </c>
      <c r="E168" s="20">
        <v>6</v>
      </c>
      <c r="F168" s="20">
        <f t="shared" si="31"/>
        <v>2591.6363636363635</v>
      </c>
      <c r="G168" s="19">
        <f t="shared" si="27"/>
        <v>15549.81818181818</v>
      </c>
      <c r="H168" s="19">
        <f t="shared" si="24"/>
        <v>63838.223563636348</v>
      </c>
      <c r="I168" s="114" t="s">
        <v>1521</v>
      </c>
      <c r="J168" s="210">
        <f>VLOOKUP(I168,'Reajuste Atual'!$L$19:$M$25,2,FALSE)</f>
        <v>3.1053999999999999</v>
      </c>
      <c r="K168" s="190"/>
      <c r="L168" s="139"/>
      <c r="M168" s="128" t="e">
        <f>ROUND(#REF!,2)</f>
        <v>#REF!</v>
      </c>
      <c r="N168" s="128" t="e">
        <f>ROUND(#REF!,2)</f>
        <v>#REF!</v>
      </c>
      <c r="O168" s="122" t="e">
        <f t="shared" si="28"/>
        <v>#REF!</v>
      </c>
      <c r="Q168" s="765">
        <v>3563.5</v>
      </c>
      <c r="R168" s="765">
        <f t="shared" si="32"/>
        <v>2545.3571428571431</v>
      </c>
      <c r="S168" s="765">
        <f t="shared" si="30"/>
        <v>2591.6363636363635</v>
      </c>
      <c r="T168" s="765">
        <f t="shared" si="29"/>
        <v>2591.6363636363635</v>
      </c>
    </row>
    <row r="169" spans="1:20" s="98" customFormat="1" outlineLevel="1">
      <c r="A169" s="141" t="s">
        <v>3483</v>
      </c>
      <c r="B169" s="175" t="s">
        <v>1055</v>
      </c>
      <c r="C169" s="100" t="s">
        <v>2430</v>
      </c>
      <c r="D169" s="183" t="s">
        <v>1468</v>
      </c>
      <c r="E169" s="20">
        <v>9</v>
      </c>
      <c r="F169" s="20">
        <f t="shared" si="31"/>
        <v>3288.8654545454542</v>
      </c>
      <c r="G169" s="19">
        <f t="shared" si="27"/>
        <v>29599.789090909089</v>
      </c>
      <c r="H169" s="19">
        <f t="shared" si="24"/>
        <v>121518.97413381816</v>
      </c>
      <c r="I169" s="114" t="s">
        <v>1521</v>
      </c>
      <c r="J169" s="210">
        <f>VLOOKUP(I169,'Reajuste Atual'!$L$19:$M$25,2,FALSE)</f>
        <v>3.1053999999999999</v>
      </c>
      <c r="K169" s="190"/>
      <c r="L169" s="139"/>
      <c r="M169" s="128" t="e">
        <f>ROUND(#REF!,2)</f>
        <v>#REF!</v>
      </c>
      <c r="N169" s="128" t="e">
        <f>ROUND(#REF!,2)</f>
        <v>#REF!</v>
      </c>
      <c r="O169" s="122" t="e">
        <f t="shared" si="28"/>
        <v>#REF!</v>
      </c>
      <c r="Q169" s="765">
        <v>4522.1899999999996</v>
      </c>
      <c r="R169" s="765">
        <f t="shared" si="32"/>
        <v>3230.1357142857141</v>
      </c>
      <c r="S169" s="765">
        <f t="shared" si="30"/>
        <v>3288.8654545454542</v>
      </c>
      <c r="T169" s="765">
        <f t="shared" si="29"/>
        <v>3288.8654545454542</v>
      </c>
    </row>
    <row r="170" spans="1:20" s="98" customFormat="1" outlineLevel="1">
      <c r="A170" s="141" t="s">
        <v>3483</v>
      </c>
      <c r="B170" s="175" t="s">
        <v>1056</v>
      </c>
      <c r="C170" s="100" t="s">
        <v>2431</v>
      </c>
      <c r="D170" s="183" t="s">
        <v>1468</v>
      </c>
      <c r="E170" s="20">
        <v>4</v>
      </c>
      <c r="F170" s="20">
        <f t="shared" si="31"/>
        <v>3942.6327272727272</v>
      </c>
      <c r="G170" s="19">
        <f t="shared" si="27"/>
        <v>15770.530909090909</v>
      </c>
      <c r="H170" s="19">
        <f t="shared" si="24"/>
        <v>64744.337594181809</v>
      </c>
      <c r="I170" s="114" t="s">
        <v>1521</v>
      </c>
      <c r="J170" s="210">
        <f>VLOOKUP(I170,'Reajuste Atual'!$L$19:$M$25,2,FALSE)</f>
        <v>3.1053999999999999</v>
      </c>
      <c r="K170" s="190"/>
      <c r="L170" s="139"/>
      <c r="M170" s="128" t="e">
        <f>ROUND(#REF!,2)</f>
        <v>#REF!</v>
      </c>
      <c r="N170" s="128" t="e">
        <f>ROUND(#REF!,2)</f>
        <v>#REF!</v>
      </c>
      <c r="O170" s="122" t="e">
        <f t="shared" si="28"/>
        <v>#REF!</v>
      </c>
      <c r="Q170" s="765">
        <v>5421.12</v>
      </c>
      <c r="R170" s="765">
        <f t="shared" si="32"/>
        <v>3872.2285714285717</v>
      </c>
      <c r="S170" s="765">
        <f t="shared" si="30"/>
        <v>3942.6327272727272</v>
      </c>
      <c r="T170" s="765">
        <f t="shared" si="29"/>
        <v>3942.6327272727272</v>
      </c>
    </row>
    <row r="171" spans="1:20" s="98" customFormat="1" outlineLevel="1">
      <c r="A171" s="141" t="s">
        <v>3483</v>
      </c>
      <c r="B171" s="175" t="s">
        <v>1057</v>
      </c>
      <c r="C171" s="100" t="s">
        <v>2432</v>
      </c>
      <c r="D171" s="183" t="s">
        <v>1468</v>
      </c>
      <c r="E171" s="20">
        <v>2</v>
      </c>
      <c r="F171" s="20">
        <f t="shared" si="31"/>
        <v>13267.112727272726</v>
      </c>
      <c r="G171" s="19">
        <f t="shared" si="27"/>
        <v>26534.225454545453</v>
      </c>
      <c r="H171" s="19">
        <f t="shared" ref="H171:H234" si="33">G171*(1+J171)</f>
        <v>108933.60918109088</v>
      </c>
      <c r="I171" s="114" t="s">
        <v>1521</v>
      </c>
      <c r="J171" s="210">
        <f>VLOOKUP(I171,'Reajuste Atual'!$L$19:$M$25,2,FALSE)</f>
        <v>3.1053999999999999</v>
      </c>
      <c r="K171" s="190"/>
      <c r="L171" s="139"/>
      <c r="M171" s="128" t="e">
        <f>ROUND(#REF!,2)</f>
        <v>#REF!</v>
      </c>
      <c r="N171" s="128" t="e">
        <f>ROUND(#REF!,2)</f>
        <v>#REF!</v>
      </c>
      <c r="O171" s="122" t="e">
        <f t="shared" si="28"/>
        <v>#REF!</v>
      </c>
      <c r="Q171" s="765">
        <v>18242.28</v>
      </c>
      <c r="R171" s="765">
        <f t="shared" si="32"/>
        <v>13030.2</v>
      </c>
      <c r="S171" s="765">
        <f t="shared" si="30"/>
        <v>13267.112727272726</v>
      </c>
      <c r="T171" s="765">
        <f t="shared" si="29"/>
        <v>13267.112727272726</v>
      </c>
    </row>
    <row r="172" spans="1:20" s="98" customFormat="1" outlineLevel="1">
      <c r="A172" s="141" t="s">
        <v>3483</v>
      </c>
      <c r="B172" s="175" t="s">
        <v>1058</v>
      </c>
      <c r="C172" s="100" t="s">
        <v>2433</v>
      </c>
      <c r="D172" s="183" t="s">
        <v>1468</v>
      </c>
      <c r="E172" s="20">
        <v>3</v>
      </c>
      <c r="F172" s="20">
        <f t="shared" si="31"/>
        <v>9010.5236363636359</v>
      </c>
      <c r="G172" s="19">
        <f t="shared" si="27"/>
        <v>27031.570909090908</v>
      </c>
      <c r="H172" s="19">
        <f t="shared" si="33"/>
        <v>110975.4112101818</v>
      </c>
      <c r="I172" s="114" t="s">
        <v>1521</v>
      </c>
      <c r="J172" s="210">
        <f>VLOOKUP(I172,'Reajuste Atual'!$L$19:$M$25,2,FALSE)</f>
        <v>3.1053999999999999</v>
      </c>
      <c r="K172" s="190"/>
      <c r="L172" s="139"/>
      <c r="M172" s="128" t="e">
        <f>ROUND(#REF!,2)</f>
        <v>#REF!</v>
      </c>
      <c r="N172" s="128" t="e">
        <f>ROUND(#REF!,2)</f>
        <v>#REF!</v>
      </c>
      <c r="O172" s="122" t="e">
        <f t="shared" si="28"/>
        <v>#REF!</v>
      </c>
      <c r="Q172" s="765">
        <v>12389.47</v>
      </c>
      <c r="R172" s="765">
        <f t="shared" si="32"/>
        <v>8849.6214285714286</v>
      </c>
      <c r="S172" s="765">
        <f t="shared" si="30"/>
        <v>9010.5236363636359</v>
      </c>
      <c r="T172" s="765">
        <f t="shared" si="29"/>
        <v>9010.5236363636359</v>
      </c>
    </row>
    <row r="173" spans="1:20" s="98" customFormat="1" outlineLevel="1">
      <c r="A173" s="141" t="s">
        <v>3483</v>
      </c>
      <c r="B173" s="175" t="s">
        <v>1059</v>
      </c>
      <c r="C173" s="100" t="s">
        <v>2434</v>
      </c>
      <c r="D173" s="183" t="s">
        <v>1468</v>
      </c>
      <c r="E173" s="20">
        <v>3</v>
      </c>
      <c r="F173" s="20">
        <f t="shared" si="31"/>
        <v>10814.632727272729</v>
      </c>
      <c r="G173" s="19">
        <f t="shared" si="27"/>
        <v>32443.898181818186</v>
      </c>
      <c r="H173" s="19">
        <f t="shared" si="33"/>
        <v>133195.17959563635</v>
      </c>
      <c r="I173" s="114" t="s">
        <v>1521</v>
      </c>
      <c r="J173" s="210">
        <f>VLOOKUP(I173,'Reajuste Atual'!$L$19:$M$25,2,FALSE)</f>
        <v>3.1053999999999999</v>
      </c>
      <c r="K173" s="190"/>
      <c r="L173" s="139"/>
      <c r="M173" s="128" t="e">
        <f>ROUND(#REF!,2)</f>
        <v>#REF!</v>
      </c>
      <c r="N173" s="128" t="e">
        <f>ROUND(#REF!,2)</f>
        <v>#REF!</v>
      </c>
      <c r="O173" s="122" t="e">
        <f t="shared" si="28"/>
        <v>#REF!</v>
      </c>
      <c r="Q173" s="765">
        <v>14870.12</v>
      </c>
      <c r="R173" s="765">
        <f t="shared" si="32"/>
        <v>10621.514285714287</v>
      </c>
      <c r="S173" s="765">
        <f t="shared" si="30"/>
        <v>10814.632727272729</v>
      </c>
      <c r="T173" s="765">
        <f t="shared" si="29"/>
        <v>10814.632727272729</v>
      </c>
    </row>
    <row r="174" spans="1:20" s="98" customFormat="1" outlineLevel="1">
      <c r="A174" s="141" t="s">
        <v>3483</v>
      </c>
      <c r="B174" s="175" t="s">
        <v>1060</v>
      </c>
      <c r="C174" s="100" t="s">
        <v>2435</v>
      </c>
      <c r="D174" s="183" t="s">
        <v>1468</v>
      </c>
      <c r="E174" s="20">
        <v>4</v>
      </c>
      <c r="F174" s="20">
        <f t="shared" si="31"/>
        <v>84850.036363636362</v>
      </c>
      <c r="G174" s="19">
        <f t="shared" si="27"/>
        <v>339400.14545454545</v>
      </c>
      <c r="H174" s="19">
        <f t="shared" si="33"/>
        <v>1393373.3571490906</v>
      </c>
      <c r="I174" s="114" t="s">
        <v>1521</v>
      </c>
      <c r="J174" s="210">
        <f>VLOOKUP(I174,'Reajuste Atual'!$L$19:$M$25,2,FALSE)</f>
        <v>3.1053999999999999</v>
      </c>
      <c r="K174" s="190"/>
      <c r="L174" s="139"/>
      <c r="M174" s="128" t="e">
        <f>ROUND(#REF!,2)</f>
        <v>#REF!</v>
      </c>
      <c r="N174" s="128" t="e">
        <f>ROUND(#REF!,2)</f>
        <v>#REF!</v>
      </c>
      <c r="O174" s="122" t="e">
        <f t="shared" si="28"/>
        <v>#REF!</v>
      </c>
      <c r="Q174" s="765">
        <v>116668.8</v>
      </c>
      <c r="R174" s="765">
        <f t="shared" si="32"/>
        <v>83334.857142857145</v>
      </c>
      <c r="S174" s="765">
        <f t="shared" si="30"/>
        <v>84850.036363636362</v>
      </c>
      <c r="T174" s="765">
        <f t="shared" si="29"/>
        <v>84850.036363636362</v>
      </c>
    </row>
    <row r="175" spans="1:20" s="98" customFormat="1" outlineLevel="1">
      <c r="A175" s="141" t="s">
        <v>3483</v>
      </c>
      <c r="B175" s="175" t="s">
        <v>1061</v>
      </c>
      <c r="C175" s="100" t="s">
        <v>2436</v>
      </c>
      <c r="D175" s="183" t="s">
        <v>1468</v>
      </c>
      <c r="E175" s="20">
        <v>58</v>
      </c>
      <c r="F175" s="20">
        <f t="shared" si="31"/>
        <v>86.945454545454538</v>
      </c>
      <c r="G175" s="19">
        <f t="shared" si="27"/>
        <v>5042.8363636363629</v>
      </c>
      <c r="H175" s="19">
        <f t="shared" si="33"/>
        <v>20702.860407272721</v>
      </c>
      <c r="I175" s="114" t="s">
        <v>1521</v>
      </c>
      <c r="J175" s="210">
        <f>VLOOKUP(I175,'Reajuste Atual'!$L$19:$M$25,2,FALSE)</f>
        <v>3.1053999999999999</v>
      </c>
      <c r="K175" s="190"/>
      <c r="L175" s="139"/>
      <c r="M175" s="128" t="e">
        <f>ROUND(#REF!,2)</f>
        <v>#REF!</v>
      </c>
      <c r="N175" s="128" t="e">
        <f>ROUND(#REF!,2)</f>
        <v>#REF!</v>
      </c>
      <c r="O175" s="122" t="e">
        <f t="shared" si="28"/>
        <v>#REF!</v>
      </c>
      <c r="Q175" s="765">
        <v>119.55</v>
      </c>
      <c r="R175" s="765">
        <f t="shared" si="32"/>
        <v>85.392857142857153</v>
      </c>
      <c r="S175" s="765">
        <f t="shared" si="30"/>
        <v>86.945454545454538</v>
      </c>
      <c r="T175" s="765">
        <f t="shared" si="29"/>
        <v>86.945454545454538</v>
      </c>
    </row>
    <row r="176" spans="1:20" s="98" customFormat="1" outlineLevel="1">
      <c r="A176" s="141" t="s">
        <v>3483</v>
      </c>
      <c r="B176" s="175" t="s">
        <v>1062</v>
      </c>
      <c r="C176" s="100" t="s">
        <v>2437</v>
      </c>
      <c r="D176" s="183" t="s">
        <v>1468</v>
      </c>
      <c r="E176" s="20">
        <v>22</v>
      </c>
      <c r="F176" s="20">
        <f t="shared" si="31"/>
        <v>123.73090909090909</v>
      </c>
      <c r="G176" s="19">
        <f t="shared" si="27"/>
        <v>2722.08</v>
      </c>
      <c r="H176" s="19">
        <f t="shared" si="33"/>
        <v>11175.227231999997</v>
      </c>
      <c r="I176" s="114" t="s">
        <v>1521</v>
      </c>
      <c r="J176" s="210">
        <f>VLOOKUP(I176,'Reajuste Atual'!$L$19:$M$25,2,FALSE)</f>
        <v>3.1053999999999999</v>
      </c>
      <c r="K176" s="190"/>
      <c r="L176" s="139"/>
      <c r="M176" s="128" t="e">
        <f>ROUND(#REF!,2)</f>
        <v>#REF!</v>
      </c>
      <c r="N176" s="128" t="e">
        <f>ROUND(#REF!,2)</f>
        <v>#REF!</v>
      </c>
      <c r="O176" s="122" t="e">
        <f t="shared" si="28"/>
        <v>#REF!</v>
      </c>
      <c r="Q176" s="765">
        <v>170.13</v>
      </c>
      <c r="R176" s="765">
        <f t="shared" si="32"/>
        <v>121.52142857142857</v>
      </c>
      <c r="S176" s="765">
        <f t="shared" si="30"/>
        <v>123.73090909090909</v>
      </c>
      <c r="T176" s="765">
        <f t="shared" si="29"/>
        <v>123.73090909090909</v>
      </c>
    </row>
    <row r="177" spans="1:20" s="98" customFormat="1" outlineLevel="1">
      <c r="A177" s="141" t="s">
        <v>3483</v>
      </c>
      <c r="B177" s="175" t="s">
        <v>1063</v>
      </c>
      <c r="C177" s="100" t="s">
        <v>2438</v>
      </c>
      <c r="D177" s="183" t="s">
        <v>1468</v>
      </c>
      <c r="E177" s="20">
        <v>96</v>
      </c>
      <c r="F177" s="20">
        <f t="shared" si="31"/>
        <v>120.37818181818183</v>
      </c>
      <c r="G177" s="19">
        <f t="shared" si="27"/>
        <v>11556.305454545456</v>
      </c>
      <c r="H177" s="19">
        <f t="shared" si="33"/>
        <v>47443.256413090909</v>
      </c>
      <c r="I177" s="114" t="s">
        <v>1521</v>
      </c>
      <c r="J177" s="210">
        <f>VLOOKUP(I177,'Reajuste Atual'!$L$19:$M$25,2,FALSE)</f>
        <v>3.1053999999999999</v>
      </c>
      <c r="K177" s="190"/>
      <c r="L177" s="139"/>
      <c r="M177" s="128" t="e">
        <f>ROUND(#REF!,2)</f>
        <v>#REF!</v>
      </c>
      <c r="N177" s="128" t="e">
        <f>ROUND(#REF!,2)</f>
        <v>#REF!</v>
      </c>
      <c r="O177" s="122" t="e">
        <f t="shared" si="28"/>
        <v>#REF!</v>
      </c>
      <c r="Q177" s="765">
        <v>165.52</v>
      </c>
      <c r="R177" s="765">
        <f t="shared" si="32"/>
        <v>118.22857142857144</v>
      </c>
      <c r="S177" s="765">
        <f t="shared" si="30"/>
        <v>120.37818181818183</v>
      </c>
      <c r="T177" s="765">
        <f t="shared" si="29"/>
        <v>120.37818181818183</v>
      </c>
    </row>
    <row r="178" spans="1:20" s="98" customFormat="1" outlineLevel="1">
      <c r="A178" s="141" t="s">
        <v>3483</v>
      </c>
      <c r="B178" s="175" t="s">
        <v>1064</v>
      </c>
      <c r="C178" s="100" t="s">
        <v>2439</v>
      </c>
      <c r="D178" s="183" t="s">
        <v>1468</v>
      </c>
      <c r="E178" s="20">
        <v>21</v>
      </c>
      <c r="F178" s="20">
        <f t="shared" si="31"/>
        <v>168.87272727272727</v>
      </c>
      <c r="G178" s="19">
        <f t="shared" si="27"/>
        <v>3546.3272727272729</v>
      </c>
      <c r="H178" s="19">
        <f t="shared" si="33"/>
        <v>14559.091985454545</v>
      </c>
      <c r="I178" s="114" t="s">
        <v>1521</v>
      </c>
      <c r="J178" s="210">
        <f>VLOOKUP(I178,'Reajuste Atual'!$L$19:$M$25,2,FALSE)</f>
        <v>3.1053999999999999</v>
      </c>
      <c r="K178" s="190"/>
      <c r="L178" s="139"/>
      <c r="M178" s="128" t="e">
        <f>ROUND(#REF!,2)</f>
        <v>#REF!</v>
      </c>
      <c r="N178" s="128" t="e">
        <f>ROUND(#REF!,2)</f>
        <v>#REF!</v>
      </c>
      <c r="O178" s="122" t="e">
        <f t="shared" si="28"/>
        <v>#REF!</v>
      </c>
      <c r="Q178" s="765">
        <v>232.2</v>
      </c>
      <c r="R178" s="765">
        <f t="shared" si="32"/>
        <v>165.85714285714286</v>
      </c>
      <c r="S178" s="765">
        <f t="shared" si="30"/>
        <v>168.87272727272727</v>
      </c>
      <c r="T178" s="765">
        <f t="shared" si="29"/>
        <v>168.87272727272727</v>
      </c>
    </row>
    <row r="179" spans="1:20" s="98" customFormat="1" outlineLevel="1">
      <c r="A179" s="141" t="s">
        <v>3483</v>
      </c>
      <c r="B179" s="175" t="s">
        <v>1065</v>
      </c>
      <c r="C179" s="100" t="s">
        <v>2440</v>
      </c>
      <c r="D179" s="183" t="s">
        <v>1468</v>
      </c>
      <c r="E179" s="20">
        <v>30</v>
      </c>
      <c r="F179" s="20">
        <f t="shared" si="31"/>
        <v>181.41090909090909</v>
      </c>
      <c r="G179" s="19">
        <f t="shared" si="27"/>
        <v>5442.3272727272724</v>
      </c>
      <c r="H179" s="19">
        <f t="shared" si="33"/>
        <v>22342.930385454543</v>
      </c>
      <c r="I179" s="114" t="s">
        <v>1521</v>
      </c>
      <c r="J179" s="210">
        <f>VLOOKUP(I179,'Reajuste Atual'!$L$19:$M$25,2,FALSE)</f>
        <v>3.1053999999999999</v>
      </c>
      <c r="K179" s="190"/>
      <c r="L179" s="139"/>
      <c r="M179" s="128" t="e">
        <f>ROUND(#REF!,2)</f>
        <v>#REF!</v>
      </c>
      <c r="N179" s="128" t="e">
        <f>ROUND(#REF!,2)</f>
        <v>#REF!</v>
      </c>
      <c r="O179" s="122" t="e">
        <f t="shared" si="28"/>
        <v>#REF!</v>
      </c>
      <c r="Q179" s="765">
        <v>249.44</v>
      </c>
      <c r="R179" s="765">
        <f t="shared" si="32"/>
        <v>178.17142857142858</v>
      </c>
      <c r="S179" s="765">
        <f t="shared" si="30"/>
        <v>181.41090909090909</v>
      </c>
      <c r="T179" s="765">
        <f t="shared" si="29"/>
        <v>181.41090909090909</v>
      </c>
    </row>
    <row r="180" spans="1:20" s="98" customFormat="1" outlineLevel="1">
      <c r="A180" s="141" t="s">
        <v>3483</v>
      </c>
      <c r="B180" s="175" t="s">
        <v>1066</v>
      </c>
      <c r="C180" s="100" t="s">
        <v>2441</v>
      </c>
      <c r="D180" s="183" t="s">
        <v>1468</v>
      </c>
      <c r="E180" s="20">
        <v>4</v>
      </c>
      <c r="F180" s="20">
        <f t="shared" si="31"/>
        <v>224.49454545454546</v>
      </c>
      <c r="G180" s="19">
        <f t="shared" si="27"/>
        <v>897.97818181818184</v>
      </c>
      <c r="H180" s="19">
        <f t="shared" si="33"/>
        <v>3686.5596276363631</v>
      </c>
      <c r="I180" s="114" t="s">
        <v>1521</v>
      </c>
      <c r="J180" s="210">
        <f>VLOOKUP(I180,'Reajuste Atual'!$L$19:$M$25,2,FALSE)</f>
        <v>3.1053999999999999</v>
      </c>
      <c r="K180" s="190"/>
      <c r="L180" s="139"/>
      <c r="M180" s="128" t="e">
        <f>ROUND(#REF!,2)</f>
        <v>#REF!</v>
      </c>
      <c r="N180" s="128" t="e">
        <f>ROUND(#REF!,2)</f>
        <v>#REF!</v>
      </c>
      <c r="O180" s="122" t="e">
        <f t="shared" si="28"/>
        <v>#REF!</v>
      </c>
      <c r="Q180" s="765">
        <v>308.68</v>
      </c>
      <c r="R180" s="765">
        <f t="shared" si="32"/>
        <v>220.48571428571429</v>
      </c>
      <c r="S180" s="765">
        <f t="shared" si="30"/>
        <v>224.49454545454546</v>
      </c>
      <c r="T180" s="765">
        <f t="shared" si="29"/>
        <v>224.49454545454546</v>
      </c>
    </row>
    <row r="181" spans="1:20" s="98" customFormat="1" outlineLevel="1">
      <c r="A181" s="141" t="s">
        <v>3483</v>
      </c>
      <c r="B181" s="175" t="s">
        <v>1067</v>
      </c>
      <c r="C181" s="100" t="s">
        <v>2442</v>
      </c>
      <c r="D181" s="183" t="s">
        <v>1468</v>
      </c>
      <c r="E181" s="20">
        <v>25</v>
      </c>
      <c r="F181" s="20">
        <f t="shared" si="31"/>
        <v>239.85454545454547</v>
      </c>
      <c r="G181" s="19">
        <f t="shared" si="27"/>
        <v>5996.3636363636369</v>
      </c>
      <c r="H181" s="19">
        <f t="shared" si="33"/>
        <v>24617.471272727271</v>
      </c>
      <c r="I181" s="114" t="s">
        <v>1521</v>
      </c>
      <c r="J181" s="210">
        <f>VLOOKUP(I181,'Reajuste Atual'!$L$19:$M$25,2,FALSE)</f>
        <v>3.1053999999999999</v>
      </c>
      <c r="K181" s="190"/>
      <c r="L181" s="139"/>
      <c r="M181" s="128" t="e">
        <f>ROUND(#REF!,2)</f>
        <v>#REF!</v>
      </c>
      <c r="N181" s="128" t="e">
        <f>ROUND(#REF!,2)</f>
        <v>#REF!</v>
      </c>
      <c r="O181" s="122" t="e">
        <f t="shared" si="28"/>
        <v>#REF!</v>
      </c>
      <c r="Q181" s="765">
        <v>329.8</v>
      </c>
      <c r="R181" s="765">
        <f t="shared" si="32"/>
        <v>235.57142857142858</v>
      </c>
      <c r="S181" s="765">
        <f t="shared" si="30"/>
        <v>239.85454545454547</v>
      </c>
      <c r="T181" s="765">
        <f t="shared" si="29"/>
        <v>239.85454545454547</v>
      </c>
    </row>
    <row r="182" spans="1:20" s="98" customFormat="1" outlineLevel="1">
      <c r="A182" s="141" t="s">
        <v>3483</v>
      </c>
      <c r="B182" s="175" t="s">
        <v>1068</v>
      </c>
      <c r="C182" s="100" t="s">
        <v>2443</v>
      </c>
      <c r="D182" s="183" t="s">
        <v>1468</v>
      </c>
      <c r="E182" s="20">
        <v>2</v>
      </c>
      <c r="F182" s="20">
        <f t="shared" si="31"/>
        <v>331.05454545454546</v>
      </c>
      <c r="G182" s="19">
        <f t="shared" si="27"/>
        <v>662.10909090909092</v>
      </c>
      <c r="H182" s="19">
        <f t="shared" si="33"/>
        <v>2718.2226618181817</v>
      </c>
      <c r="I182" s="114" t="s">
        <v>1521</v>
      </c>
      <c r="J182" s="210">
        <f>VLOOKUP(I182,'Reajuste Atual'!$L$19:$M$25,2,FALSE)</f>
        <v>3.1053999999999999</v>
      </c>
      <c r="K182" s="190"/>
      <c r="L182" s="139"/>
      <c r="M182" s="128" t="e">
        <f>ROUND(#REF!,2)</f>
        <v>#REF!</v>
      </c>
      <c r="N182" s="128" t="e">
        <f>ROUND(#REF!,2)</f>
        <v>#REF!</v>
      </c>
      <c r="O182" s="122" t="e">
        <f t="shared" si="28"/>
        <v>#REF!</v>
      </c>
      <c r="Q182" s="765">
        <v>455.2</v>
      </c>
      <c r="R182" s="765">
        <f t="shared" si="32"/>
        <v>325.14285714285717</v>
      </c>
      <c r="S182" s="765">
        <f t="shared" si="30"/>
        <v>331.05454545454546</v>
      </c>
      <c r="T182" s="765">
        <f t="shared" si="29"/>
        <v>331.05454545454546</v>
      </c>
    </row>
    <row r="183" spans="1:20" s="98" customFormat="1" outlineLevel="1">
      <c r="A183" s="141" t="s">
        <v>3483</v>
      </c>
      <c r="B183" s="175" t="s">
        <v>1069</v>
      </c>
      <c r="C183" s="100" t="s">
        <v>2444</v>
      </c>
      <c r="D183" s="183" t="s">
        <v>1468</v>
      </c>
      <c r="E183" s="20">
        <v>4</v>
      </c>
      <c r="F183" s="20">
        <f t="shared" si="31"/>
        <v>349.44727272727272</v>
      </c>
      <c r="G183" s="19">
        <f t="shared" si="27"/>
        <v>1397.7890909090909</v>
      </c>
      <c r="H183" s="19">
        <f t="shared" si="33"/>
        <v>5738.4833338181807</v>
      </c>
      <c r="I183" s="114" t="s">
        <v>1521</v>
      </c>
      <c r="J183" s="210">
        <f>VLOOKUP(I183,'Reajuste Atual'!$L$19:$M$25,2,FALSE)</f>
        <v>3.1053999999999999</v>
      </c>
      <c r="K183" s="190"/>
      <c r="L183" s="139"/>
      <c r="M183" s="128" t="e">
        <f>ROUND(#REF!,2)</f>
        <v>#REF!</v>
      </c>
      <c r="N183" s="128" t="e">
        <f>ROUND(#REF!,2)</f>
        <v>#REF!</v>
      </c>
      <c r="O183" s="122" t="e">
        <f t="shared" si="28"/>
        <v>#REF!</v>
      </c>
      <c r="Q183" s="765">
        <v>480.49</v>
      </c>
      <c r="R183" s="765">
        <f t="shared" si="32"/>
        <v>343.20714285714291</v>
      </c>
      <c r="S183" s="765">
        <f t="shared" si="30"/>
        <v>349.44727272727272</v>
      </c>
      <c r="T183" s="765">
        <f t="shared" si="29"/>
        <v>349.44727272727272</v>
      </c>
    </row>
    <row r="184" spans="1:20" s="98" customFormat="1" outlineLevel="1">
      <c r="A184" s="141" t="s">
        <v>3483</v>
      </c>
      <c r="B184" s="175" t="s">
        <v>1070</v>
      </c>
      <c r="C184" s="100" t="s">
        <v>2445</v>
      </c>
      <c r="D184" s="183" t="s">
        <v>1468</v>
      </c>
      <c r="E184" s="20">
        <v>15</v>
      </c>
      <c r="F184" s="20">
        <f t="shared" si="31"/>
        <v>367.84</v>
      </c>
      <c r="G184" s="19">
        <f t="shared" si="27"/>
        <v>5517.5999999999995</v>
      </c>
      <c r="H184" s="19">
        <f t="shared" si="33"/>
        <v>22651.955039999993</v>
      </c>
      <c r="I184" s="114" t="s">
        <v>1521</v>
      </c>
      <c r="J184" s="210">
        <f>VLOOKUP(I184,'Reajuste Atual'!$L$19:$M$25,2,FALSE)</f>
        <v>3.1053999999999999</v>
      </c>
      <c r="K184" s="190"/>
      <c r="L184" s="139"/>
      <c r="M184" s="128" t="e">
        <f>ROUND(#REF!,2)</f>
        <v>#REF!</v>
      </c>
      <c r="N184" s="128" t="e">
        <f>ROUND(#REF!,2)</f>
        <v>#REF!</v>
      </c>
      <c r="O184" s="122" t="e">
        <f t="shared" si="28"/>
        <v>#REF!</v>
      </c>
      <c r="Q184" s="765">
        <v>505.78</v>
      </c>
      <c r="R184" s="765">
        <f t="shared" si="32"/>
        <v>361.2714285714286</v>
      </c>
      <c r="S184" s="765">
        <f t="shared" si="30"/>
        <v>367.84</v>
      </c>
      <c r="T184" s="765">
        <f t="shared" si="29"/>
        <v>367.84</v>
      </c>
    </row>
    <row r="185" spans="1:20" s="98" customFormat="1" outlineLevel="1">
      <c r="A185" s="141" t="s">
        <v>3483</v>
      </c>
      <c r="B185" s="175" t="s">
        <v>1071</v>
      </c>
      <c r="C185" s="100" t="s">
        <v>2446</v>
      </c>
      <c r="D185" s="183" t="s">
        <v>1468</v>
      </c>
      <c r="E185" s="20">
        <v>7</v>
      </c>
      <c r="F185" s="20">
        <f t="shared" si="31"/>
        <v>414.66181818181815</v>
      </c>
      <c r="G185" s="19">
        <f t="shared" ref="G185:G248" si="34">E185*F185</f>
        <v>2902.6327272727272</v>
      </c>
      <c r="H185" s="19">
        <f t="shared" si="33"/>
        <v>11916.468398545452</v>
      </c>
      <c r="I185" s="114" t="s">
        <v>1521</v>
      </c>
      <c r="J185" s="210">
        <f>VLOOKUP(I185,'Reajuste Atual'!$L$19:$M$25,2,FALSE)</f>
        <v>3.1053999999999999</v>
      </c>
      <c r="K185" s="190"/>
      <c r="L185" s="139"/>
      <c r="M185" s="128" t="e">
        <f>ROUND(#REF!,2)</f>
        <v>#REF!</v>
      </c>
      <c r="N185" s="128" t="e">
        <f>ROUND(#REF!,2)</f>
        <v>#REF!</v>
      </c>
      <c r="O185" s="122" t="e">
        <f t="shared" ref="O185:O248" si="35">N185*(1+J185)</f>
        <v>#REF!</v>
      </c>
      <c r="Q185" s="765">
        <v>570.16</v>
      </c>
      <c r="R185" s="765">
        <f t="shared" si="32"/>
        <v>407.25714285714287</v>
      </c>
      <c r="S185" s="765">
        <f t="shared" si="30"/>
        <v>414.66181818181815</v>
      </c>
      <c r="T185" s="765">
        <f t="shared" ref="T185:T248" si="36">IF(A185="S",R185,S185)</f>
        <v>414.66181818181815</v>
      </c>
    </row>
    <row r="186" spans="1:20" s="98" customFormat="1" outlineLevel="1">
      <c r="A186" s="141" t="s">
        <v>3483</v>
      </c>
      <c r="B186" s="175" t="s">
        <v>1072</v>
      </c>
      <c r="C186" s="100" t="s">
        <v>2447</v>
      </c>
      <c r="D186" s="183" t="s">
        <v>1468</v>
      </c>
      <c r="E186" s="20">
        <v>5</v>
      </c>
      <c r="F186" s="20">
        <f t="shared" si="31"/>
        <v>373.90545454545457</v>
      </c>
      <c r="G186" s="19">
        <f t="shared" si="34"/>
        <v>1869.5272727272729</v>
      </c>
      <c r="H186" s="19">
        <f t="shared" si="33"/>
        <v>7675.1572654545453</v>
      </c>
      <c r="I186" s="114" t="s">
        <v>1521</v>
      </c>
      <c r="J186" s="210">
        <f>VLOOKUP(I186,'Reajuste Atual'!$L$19:$M$25,2,FALSE)</f>
        <v>3.1053999999999999</v>
      </c>
      <c r="K186" s="190"/>
      <c r="L186" s="139"/>
      <c r="M186" s="128" t="e">
        <f>ROUND(#REF!,2)</f>
        <v>#REF!</v>
      </c>
      <c r="N186" s="128" t="e">
        <f>ROUND(#REF!,2)</f>
        <v>#REF!</v>
      </c>
      <c r="O186" s="122" t="e">
        <f t="shared" si="35"/>
        <v>#REF!</v>
      </c>
      <c r="Q186" s="765">
        <v>514.12</v>
      </c>
      <c r="R186" s="765">
        <f t="shared" si="32"/>
        <v>367.22857142857146</v>
      </c>
      <c r="S186" s="765">
        <f t="shared" ref="S186:S249" si="37">Q186/($S$23+1)</f>
        <v>373.90545454545457</v>
      </c>
      <c r="T186" s="765">
        <f t="shared" si="36"/>
        <v>373.90545454545457</v>
      </c>
    </row>
    <row r="187" spans="1:20" s="98" customFormat="1" outlineLevel="1">
      <c r="A187" s="141" t="s">
        <v>3483</v>
      </c>
      <c r="B187" s="175" t="s">
        <v>1073</v>
      </c>
      <c r="C187" s="100" t="s">
        <v>2448</v>
      </c>
      <c r="D187" s="183" t="s">
        <v>1468</v>
      </c>
      <c r="E187" s="20">
        <v>10</v>
      </c>
      <c r="F187" s="20">
        <f t="shared" si="31"/>
        <v>459.79636363636365</v>
      </c>
      <c r="G187" s="19">
        <f t="shared" si="34"/>
        <v>4597.9636363636364</v>
      </c>
      <c r="H187" s="19">
        <f t="shared" si="33"/>
        <v>18876.479912727271</v>
      </c>
      <c r="I187" s="114" t="s">
        <v>1521</v>
      </c>
      <c r="J187" s="210">
        <f>VLOOKUP(I187,'Reajuste Atual'!$L$19:$M$25,2,FALSE)</f>
        <v>3.1053999999999999</v>
      </c>
      <c r="K187" s="190"/>
      <c r="L187" s="139"/>
      <c r="M187" s="128" t="e">
        <f>ROUND(#REF!,2)</f>
        <v>#REF!</v>
      </c>
      <c r="N187" s="128" t="e">
        <f>ROUND(#REF!,2)</f>
        <v>#REF!</v>
      </c>
      <c r="O187" s="122" t="e">
        <f t="shared" si="35"/>
        <v>#REF!</v>
      </c>
      <c r="Q187" s="765">
        <v>632.22</v>
      </c>
      <c r="R187" s="765">
        <f t="shared" si="32"/>
        <v>451.58571428571435</v>
      </c>
      <c r="S187" s="765">
        <f t="shared" si="37"/>
        <v>459.79636363636365</v>
      </c>
      <c r="T187" s="765">
        <f t="shared" si="36"/>
        <v>459.79636363636365</v>
      </c>
    </row>
    <row r="188" spans="1:20" s="98" customFormat="1" outlineLevel="1">
      <c r="A188" s="141" t="s">
        <v>3483</v>
      </c>
      <c r="B188" s="175" t="s">
        <v>1074</v>
      </c>
      <c r="C188" s="100" t="s">
        <v>2449</v>
      </c>
      <c r="D188" s="183" t="s">
        <v>1468</v>
      </c>
      <c r="E188" s="20">
        <v>5</v>
      </c>
      <c r="F188" s="20">
        <f t="shared" si="31"/>
        <v>580.18909090909085</v>
      </c>
      <c r="G188" s="19">
        <f t="shared" si="34"/>
        <v>2900.9454545454541</v>
      </c>
      <c r="H188" s="19">
        <f t="shared" si="33"/>
        <v>11909.541469090906</v>
      </c>
      <c r="I188" s="114" t="s">
        <v>1521</v>
      </c>
      <c r="J188" s="210">
        <f>VLOOKUP(I188,'Reajuste Atual'!$L$19:$M$25,2,FALSE)</f>
        <v>3.1053999999999999</v>
      </c>
      <c r="K188" s="190"/>
      <c r="L188" s="139"/>
      <c r="M188" s="128" t="e">
        <f>ROUND(#REF!,2)</f>
        <v>#REF!</v>
      </c>
      <c r="N188" s="128" t="e">
        <f>ROUND(#REF!,2)</f>
        <v>#REF!</v>
      </c>
      <c r="O188" s="122" t="e">
        <f t="shared" si="35"/>
        <v>#REF!</v>
      </c>
      <c r="Q188" s="765">
        <v>797.76</v>
      </c>
      <c r="R188" s="765">
        <f t="shared" si="32"/>
        <v>569.82857142857142</v>
      </c>
      <c r="S188" s="765">
        <f t="shared" si="37"/>
        <v>580.18909090909085</v>
      </c>
      <c r="T188" s="765">
        <f t="shared" si="36"/>
        <v>580.18909090909085</v>
      </c>
    </row>
    <row r="189" spans="1:20" s="98" customFormat="1" outlineLevel="1">
      <c r="A189" s="141" t="s">
        <v>3483</v>
      </c>
      <c r="B189" s="175" t="s">
        <v>1075</v>
      </c>
      <c r="C189" s="100" t="s">
        <v>2450</v>
      </c>
      <c r="D189" s="183" t="s">
        <v>1468</v>
      </c>
      <c r="E189" s="20">
        <v>7</v>
      </c>
      <c r="F189" s="20">
        <f t="shared" si="31"/>
        <v>598.58909090909083</v>
      </c>
      <c r="G189" s="19">
        <f t="shared" si="34"/>
        <v>4190.1236363636363</v>
      </c>
      <c r="H189" s="19">
        <f t="shared" si="33"/>
        <v>17202.133576727269</v>
      </c>
      <c r="I189" s="114" t="s">
        <v>1521</v>
      </c>
      <c r="J189" s="210">
        <f>VLOOKUP(I189,'Reajuste Atual'!$L$19:$M$25,2,FALSE)</f>
        <v>3.1053999999999999</v>
      </c>
      <c r="K189" s="190"/>
      <c r="L189" s="139"/>
      <c r="M189" s="128" t="e">
        <f>ROUND(#REF!,2)</f>
        <v>#REF!</v>
      </c>
      <c r="N189" s="128" t="e">
        <f>ROUND(#REF!,2)</f>
        <v>#REF!</v>
      </c>
      <c r="O189" s="122" t="e">
        <f t="shared" si="35"/>
        <v>#REF!</v>
      </c>
      <c r="Q189" s="765">
        <v>823.06</v>
      </c>
      <c r="R189" s="765">
        <f t="shared" si="32"/>
        <v>587.9</v>
      </c>
      <c r="S189" s="765">
        <f t="shared" si="37"/>
        <v>598.58909090909083</v>
      </c>
      <c r="T189" s="765">
        <f t="shared" si="36"/>
        <v>598.58909090909083</v>
      </c>
    </row>
    <row r="190" spans="1:20" s="98" customFormat="1" outlineLevel="1">
      <c r="A190" s="141" t="s">
        <v>3483</v>
      </c>
      <c r="B190" s="175" t="s">
        <v>1076</v>
      </c>
      <c r="C190" s="100" t="s">
        <v>2451</v>
      </c>
      <c r="D190" s="183" t="s">
        <v>1468</v>
      </c>
      <c r="E190" s="20">
        <v>6</v>
      </c>
      <c r="F190" s="20">
        <f t="shared" si="31"/>
        <v>735.68727272727278</v>
      </c>
      <c r="G190" s="19">
        <f t="shared" si="34"/>
        <v>4414.1236363636363</v>
      </c>
      <c r="H190" s="19">
        <f t="shared" si="33"/>
        <v>18121.743176727268</v>
      </c>
      <c r="I190" s="114" t="s">
        <v>1521</v>
      </c>
      <c r="J190" s="210">
        <f>VLOOKUP(I190,'Reajuste Atual'!$L$19:$M$25,2,FALSE)</f>
        <v>3.1053999999999999</v>
      </c>
      <c r="K190" s="190"/>
      <c r="L190" s="139"/>
      <c r="M190" s="128" t="e">
        <f>ROUND(#REF!,2)</f>
        <v>#REF!</v>
      </c>
      <c r="N190" s="128" t="e">
        <f>ROUND(#REF!,2)</f>
        <v>#REF!</v>
      </c>
      <c r="O190" s="122" t="e">
        <f t="shared" si="35"/>
        <v>#REF!</v>
      </c>
      <c r="Q190" s="765">
        <v>1011.57</v>
      </c>
      <c r="R190" s="765">
        <f t="shared" si="32"/>
        <v>722.55000000000007</v>
      </c>
      <c r="S190" s="765">
        <f t="shared" si="37"/>
        <v>735.68727272727278</v>
      </c>
      <c r="T190" s="765">
        <f t="shared" si="36"/>
        <v>735.68727272727278</v>
      </c>
    </row>
    <row r="191" spans="1:20" s="98" customFormat="1" outlineLevel="1">
      <c r="A191" s="141" t="s">
        <v>3483</v>
      </c>
      <c r="B191" s="175" t="s">
        <v>1077</v>
      </c>
      <c r="C191" s="100" t="s">
        <v>2452</v>
      </c>
      <c r="D191" s="183" t="s">
        <v>1468</v>
      </c>
      <c r="E191" s="20">
        <v>4</v>
      </c>
      <c r="F191" s="20">
        <f t="shared" si="31"/>
        <v>951.46909090909094</v>
      </c>
      <c r="G191" s="19">
        <f t="shared" si="34"/>
        <v>3805.8763636363637</v>
      </c>
      <c r="H191" s="19">
        <f t="shared" si="33"/>
        <v>15624.644823272725</v>
      </c>
      <c r="I191" s="114" t="s">
        <v>1521</v>
      </c>
      <c r="J191" s="210">
        <f>VLOOKUP(I191,'Reajuste Atual'!$L$19:$M$25,2,FALSE)</f>
        <v>3.1053999999999999</v>
      </c>
      <c r="K191" s="190"/>
      <c r="L191" s="139"/>
      <c r="M191" s="128" t="e">
        <f>ROUND(#REF!,2)</f>
        <v>#REF!</v>
      </c>
      <c r="N191" s="128" t="e">
        <f>ROUND(#REF!,2)</f>
        <v>#REF!</v>
      </c>
      <c r="O191" s="122" t="e">
        <f t="shared" si="35"/>
        <v>#REF!</v>
      </c>
      <c r="Q191" s="765">
        <v>1308.27</v>
      </c>
      <c r="R191" s="765">
        <f t="shared" si="32"/>
        <v>934.47857142857151</v>
      </c>
      <c r="S191" s="765">
        <f t="shared" si="37"/>
        <v>951.46909090909094</v>
      </c>
      <c r="T191" s="765">
        <f t="shared" si="36"/>
        <v>951.46909090909094</v>
      </c>
    </row>
    <row r="192" spans="1:20" s="98" customFormat="1" outlineLevel="1">
      <c r="A192" s="141" t="s">
        <v>3483</v>
      </c>
      <c r="B192" s="175" t="s">
        <v>1078</v>
      </c>
      <c r="C192" s="100" t="s">
        <v>2453</v>
      </c>
      <c r="D192" s="183" t="s">
        <v>1468</v>
      </c>
      <c r="E192" s="20">
        <v>9</v>
      </c>
      <c r="F192" s="20">
        <f t="shared" si="31"/>
        <v>984.8145454545454</v>
      </c>
      <c r="G192" s="19">
        <f t="shared" si="34"/>
        <v>8863.3309090909079</v>
      </c>
      <c r="H192" s="19">
        <f t="shared" si="33"/>
        <v>36387.51871418181</v>
      </c>
      <c r="I192" s="114" t="s">
        <v>1521</v>
      </c>
      <c r="J192" s="210">
        <f>VLOOKUP(I192,'Reajuste Atual'!$L$19:$M$25,2,FALSE)</f>
        <v>3.1053999999999999</v>
      </c>
      <c r="K192" s="190"/>
      <c r="L192" s="139"/>
      <c r="M192" s="128" t="e">
        <f>ROUND(#REF!,2)</f>
        <v>#REF!</v>
      </c>
      <c r="N192" s="128" t="e">
        <f>ROUND(#REF!,2)</f>
        <v>#REF!</v>
      </c>
      <c r="O192" s="122" t="e">
        <f t="shared" si="35"/>
        <v>#REF!</v>
      </c>
      <c r="Q192" s="765">
        <v>1354.12</v>
      </c>
      <c r="R192" s="765">
        <f t="shared" si="32"/>
        <v>967.2285714285714</v>
      </c>
      <c r="S192" s="765">
        <f t="shared" si="37"/>
        <v>984.8145454545454</v>
      </c>
      <c r="T192" s="765">
        <f t="shared" si="36"/>
        <v>984.8145454545454</v>
      </c>
    </row>
    <row r="193" spans="1:20" s="98" customFormat="1" outlineLevel="1">
      <c r="A193" s="141" t="s">
        <v>3483</v>
      </c>
      <c r="B193" s="175" t="s">
        <v>1079</v>
      </c>
      <c r="C193" s="100" t="s">
        <v>2454</v>
      </c>
      <c r="D193" s="183" t="s">
        <v>1468</v>
      </c>
      <c r="E193" s="20">
        <v>18</v>
      </c>
      <c r="F193" s="20">
        <f t="shared" si="31"/>
        <v>107.00363636363636</v>
      </c>
      <c r="G193" s="19">
        <f t="shared" si="34"/>
        <v>1926.0654545454545</v>
      </c>
      <c r="H193" s="19">
        <f t="shared" si="33"/>
        <v>7907.2691170909075</v>
      </c>
      <c r="I193" s="114" t="s">
        <v>1521</v>
      </c>
      <c r="J193" s="210">
        <f>VLOOKUP(I193,'Reajuste Atual'!$L$19:$M$25,2,FALSE)</f>
        <v>3.1053999999999999</v>
      </c>
      <c r="K193" s="190"/>
      <c r="L193" s="139"/>
      <c r="M193" s="128" t="e">
        <f>ROUND(#REF!,2)</f>
        <v>#REF!</v>
      </c>
      <c r="N193" s="128" t="e">
        <f>ROUND(#REF!,2)</f>
        <v>#REF!</v>
      </c>
      <c r="O193" s="122" t="e">
        <f t="shared" si="35"/>
        <v>#REF!</v>
      </c>
      <c r="Q193" s="765">
        <v>147.13</v>
      </c>
      <c r="R193" s="765">
        <f t="shared" si="32"/>
        <v>105.09285714285714</v>
      </c>
      <c r="S193" s="765">
        <f t="shared" si="37"/>
        <v>107.00363636363636</v>
      </c>
      <c r="T193" s="765">
        <f t="shared" si="36"/>
        <v>107.00363636363636</v>
      </c>
    </row>
    <row r="194" spans="1:20" s="98" customFormat="1" outlineLevel="1">
      <c r="A194" s="141" t="s">
        <v>3483</v>
      </c>
      <c r="B194" s="175" t="s">
        <v>1080</v>
      </c>
      <c r="C194" s="100" t="s">
        <v>2455</v>
      </c>
      <c r="D194" s="183" t="s">
        <v>1468</v>
      </c>
      <c r="E194" s="20">
        <v>13</v>
      </c>
      <c r="F194" s="20">
        <f t="shared" si="31"/>
        <v>197.30181818181819</v>
      </c>
      <c r="G194" s="19">
        <f t="shared" si="34"/>
        <v>2564.9236363636364</v>
      </c>
      <c r="H194" s="19">
        <f t="shared" si="33"/>
        <v>10530.037496727271</v>
      </c>
      <c r="I194" s="114" t="s">
        <v>1521</v>
      </c>
      <c r="J194" s="210">
        <f>VLOOKUP(I194,'Reajuste Atual'!$L$19:$M$25,2,FALSE)</f>
        <v>3.1053999999999999</v>
      </c>
      <c r="K194" s="190"/>
      <c r="L194" s="139"/>
      <c r="M194" s="128" t="e">
        <f>ROUND(#REF!,2)</f>
        <v>#REF!</v>
      </c>
      <c r="N194" s="128" t="e">
        <f>ROUND(#REF!,2)</f>
        <v>#REF!</v>
      </c>
      <c r="O194" s="122" t="e">
        <f t="shared" si="35"/>
        <v>#REF!</v>
      </c>
      <c r="Q194" s="765">
        <v>271.29000000000002</v>
      </c>
      <c r="R194" s="765">
        <f t="shared" si="32"/>
        <v>193.77857142857147</v>
      </c>
      <c r="S194" s="765">
        <f t="shared" si="37"/>
        <v>197.30181818181819</v>
      </c>
      <c r="T194" s="765">
        <f t="shared" si="36"/>
        <v>197.30181818181819</v>
      </c>
    </row>
    <row r="195" spans="1:20" s="98" customFormat="1" outlineLevel="1">
      <c r="A195" s="141" t="s">
        <v>3483</v>
      </c>
      <c r="B195" s="175" t="s">
        <v>1081</v>
      </c>
      <c r="C195" s="100" t="s">
        <v>2456</v>
      </c>
      <c r="D195" s="183" t="s">
        <v>1468</v>
      </c>
      <c r="E195" s="20">
        <v>30</v>
      </c>
      <c r="F195" s="20">
        <f t="shared" si="31"/>
        <v>128.74181818181819</v>
      </c>
      <c r="G195" s="19">
        <f t="shared" si="34"/>
        <v>3862.2545454545457</v>
      </c>
      <c r="H195" s="19">
        <f t="shared" si="33"/>
        <v>15856.099810909091</v>
      </c>
      <c r="I195" s="114" t="s">
        <v>1521</v>
      </c>
      <c r="J195" s="210">
        <f>VLOOKUP(I195,'Reajuste Atual'!$L$19:$M$25,2,FALSE)</f>
        <v>3.1053999999999999</v>
      </c>
      <c r="K195" s="190"/>
      <c r="L195" s="139"/>
      <c r="M195" s="128" t="e">
        <f>ROUND(#REF!,2)</f>
        <v>#REF!</v>
      </c>
      <c r="N195" s="128" t="e">
        <f>ROUND(#REF!,2)</f>
        <v>#REF!</v>
      </c>
      <c r="O195" s="122" t="e">
        <f t="shared" si="35"/>
        <v>#REF!</v>
      </c>
      <c r="Q195" s="765">
        <v>177.02</v>
      </c>
      <c r="R195" s="765">
        <f t="shared" si="32"/>
        <v>126.44285714285716</v>
      </c>
      <c r="S195" s="765">
        <f t="shared" si="37"/>
        <v>128.74181818181819</v>
      </c>
      <c r="T195" s="765">
        <f t="shared" si="36"/>
        <v>128.74181818181819</v>
      </c>
    </row>
    <row r="196" spans="1:20" s="98" customFormat="1" outlineLevel="1">
      <c r="A196" s="141" t="s">
        <v>3483</v>
      </c>
      <c r="B196" s="175" t="s">
        <v>1082</v>
      </c>
      <c r="C196" s="100" t="s">
        <v>2457</v>
      </c>
      <c r="D196" s="183" t="s">
        <v>1468</v>
      </c>
      <c r="E196" s="20">
        <v>16</v>
      </c>
      <c r="F196" s="20">
        <f t="shared" si="31"/>
        <v>246.04363636363635</v>
      </c>
      <c r="G196" s="19">
        <f t="shared" si="34"/>
        <v>3936.6981818181816</v>
      </c>
      <c r="H196" s="19">
        <f t="shared" si="33"/>
        <v>16161.72071563636</v>
      </c>
      <c r="I196" s="114" t="s">
        <v>1521</v>
      </c>
      <c r="J196" s="210">
        <f>VLOOKUP(I196,'Reajuste Atual'!$L$19:$M$25,2,FALSE)</f>
        <v>3.1053999999999999</v>
      </c>
      <c r="K196" s="190"/>
      <c r="L196" s="139"/>
      <c r="M196" s="128" t="e">
        <f>ROUND(#REF!,2)</f>
        <v>#REF!</v>
      </c>
      <c r="N196" s="128" t="e">
        <f>ROUND(#REF!,2)</f>
        <v>#REF!</v>
      </c>
      <c r="O196" s="122" t="e">
        <f t="shared" si="35"/>
        <v>#REF!</v>
      </c>
      <c r="Q196" s="765">
        <v>338.31</v>
      </c>
      <c r="R196" s="765">
        <f t="shared" si="32"/>
        <v>241.65</v>
      </c>
      <c r="S196" s="765">
        <f t="shared" si="37"/>
        <v>246.04363636363635</v>
      </c>
      <c r="T196" s="765">
        <f t="shared" si="36"/>
        <v>246.04363636363635</v>
      </c>
    </row>
    <row r="197" spans="1:20" s="98" customFormat="1" outlineLevel="1">
      <c r="A197" s="141" t="s">
        <v>3483</v>
      </c>
      <c r="B197" s="175" t="s">
        <v>1083</v>
      </c>
      <c r="C197" s="100" t="s">
        <v>2458</v>
      </c>
      <c r="D197" s="183" t="s">
        <v>1468</v>
      </c>
      <c r="E197" s="20">
        <v>15</v>
      </c>
      <c r="F197" s="20">
        <f t="shared" si="31"/>
        <v>324.37090909090909</v>
      </c>
      <c r="G197" s="19">
        <f t="shared" si="34"/>
        <v>4865.5636363636368</v>
      </c>
      <c r="H197" s="19">
        <f t="shared" si="33"/>
        <v>19975.084952727273</v>
      </c>
      <c r="I197" s="114" t="s">
        <v>1521</v>
      </c>
      <c r="J197" s="210">
        <f>VLOOKUP(I197,'Reajuste Atual'!$L$19:$M$25,2,FALSE)</f>
        <v>3.1053999999999999</v>
      </c>
      <c r="K197" s="190"/>
      <c r="L197" s="139"/>
      <c r="M197" s="128" t="e">
        <f>ROUND(#REF!,2)</f>
        <v>#REF!</v>
      </c>
      <c r="N197" s="128" t="e">
        <f>ROUND(#REF!,2)</f>
        <v>#REF!</v>
      </c>
      <c r="O197" s="122" t="e">
        <f t="shared" si="35"/>
        <v>#REF!</v>
      </c>
      <c r="Q197" s="765">
        <v>446.01</v>
      </c>
      <c r="R197" s="765">
        <f t="shared" si="32"/>
        <v>318.57857142857142</v>
      </c>
      <c r="S197" s="765">
        <f t="shared" si="37"/>
        <v>324.37090909090909</v>
      </c>
      <c r="T197" s="765">
        <f t="shared" si="36"/>
        <v>324.37090909090909</v>
      </c>
    </row>
    <row r="198" spans="1:20" s="98" customFormat="1" outlineLevel="1">
      <c r="A198" s="141" t="s">
        <v>3483</v>
      </c>
      <c r="B198" s="175" t="s">
        <v>1084</v>
      </c>
      <c r="C198" s="100" t="s">
        <v>2459</v>
      </c>
      <c r="D198" s="183" t="s">
        <v>1468</v>
      </c>
      <c r="E198" s="20">
        <v>23</v>
      </c>
      <c r="F198" s="20">
        <f t="shared" si="31"/>
        <v>304.43636363636364</v>
      </c>
      <c r="G198" s="19">
        <f t="shared" si="34"/>
        <v>7002.0363636363636</v>
      </c>
      <c r="H198" s="19">
        <f t="shared" si="33"/>
        <v>28746.160087272725</v>
      </c>
      <c r="I198" s="114" t="s">
        <v>1521</v>
      </c>
      <c r="J198" s="210">
        <f>VLOOKUP(I198,'Reajuste Atual'!$L$19:$M$25,2,FALSE)</f>
        <v>3.1053999999999999</v>
      </c>
      <c r="K198" s="190"/>
      <c r="L198" s="139"/>
      <c r="M198" s="128" t="e">
        <f>ROUND(#REF!,2)</f>
        <v>#REF!</v>
      </c>
      <c r="N198" s="128" t="e">
        <f>ROUND(#REF!,2)</f>
        <v>#REF!</v>
      </c>
      <c r="O198" s="122" t="e">
        <f t="shared" si="35"/>
        <v>#REF!</v>
      </c>
      <c r="Q198" s="765">
        <v>418.6</v>
      </c>
      <c r="R198" s="765">
        <f t="shared" si="32"/>
        <v>299.00000000000006</v>
      </c>
      <c r="S198" s="765">
        <f t="shared" si="37"/>
        <v>304.43636363636364</v>
      </c>
      <c r="T198" s="765">
        <f t="shared" si="36"/>
        <v>304.43636363636364</v>
      </c>
    </row>
    <row r="199" spans="1:20" s="98" customFormat="1" outlineLevel="1">
      <c r="A199" s="141" t="s">
        <v>3483</v>
      </c>
      <c r="B199" s="175" t="s">
        <v>1085</v>
      </c>
      <c r="C199" s="100" t="s">
        <v>2460</v>
      </c>
      <c r="D199" s="183" t="s">
        <v>1468</v>
      </c>
      <c r="E199" s="20">
        <v>10</v>
      </c>
      <c r="F199" s="20">
        <f t="shared" si="31"/>
        <v>414.66181818181815</v>
      </c>
      <c r="G199" s="19">
        <f t="shared" si="34"/>
        <v>4146.6181818181813</v>
      </c>
      <c r="H199" s="19">
        <f t="shared" si="33"/>
        <v>17023.526283636358</v>
      </c>
      <c r="I199" s="114" t="s">
        <v>1521</v>
      </c>
      <c r="J199" s="210">
        <f>VLOOKUP(I199,'Reajuste Atual'!$L$19:$M$25,2,FALSE)</f>
        <v>3.1053999999999999</v>
      </c>
      <c r="K199" s="190"/>
      <c r="L199" s="139"/>
      <c r="M199" s="128" t="e">
        <f>ROUND(#REF!,2)</f>
        <v>#REF!</v>
      </c>
      <c r="N199" s="128" t="e">
        <f>ROUND(#REF!,2)</f>
        <v>#REF!</v>
      </c>
      <c r="O199" s="122" t="e">
        <f t="shared" si="35"/>
        <v>#REF!</v>
      </c>
      <c r="Q199" s="765">
        <v>570.16</v>
      </c>
      <c r="R199" s="765">
        <f t="shared" si="32"/>
        <v>407.25714285714287</v>
      </c>
      <c r="S199" s="765">
        <f t="shared" si="37"/>
        <v>414.66181818181815</v>
      </c>
      <c r="T199" s="765">
        <f t="shared" si="36"/>
        <v>414.66181818181815</v>
      </c>
    </row>
    <row r="200" spans="1:20" s="98" customFormat="1" outlineLevel="1">
      <c r="A200" s="141" t="s">
        <v>3483</v>
      </c>
      <c r="B200" s="175" t="s">
        <v>1086</v>
      </c>
      <c r="C200" s="100" t="s">
        <v>2461</v>
      </c>
      <c r="D200" s="183" t="s">
        <v>1468</v>
      </c>
      <c r="E200" s="20">
        <v>12</v>
      </c>
      <c r="F200" s="20">
        <f t="shared" si="31"/>
        <v>393.62909090909091</v>
      </c>
      <c r="G200" s="19">
        <f t="shared" si="34"/>
        <v>4723.5490909090913</v>
      </c>
      <c r="H200" s="19">
        <f t="shared" si="33"/>
        <v>19392.058437818181</v>
      </c>
      <c r="I200" s="114" t="s">
        <v>1521</v>
      </c>
      <c r="J200" s="210">
        <f>VLOOKUP(I200,'Reajuste Atual'!$L$19:$M$25,2,FALSE)</f>
        <v>3.1053999999999999</v>
      </c>
      <c r="K200" s="190"/>
      <c r="L200" s="139"/>
      <c r="M200" s="128" t="e">
        <f>ROUND(#REF!,2)</f>
        <v>#REF!</v>
      </c>
      <c r="N200" s="128" t="e">
        <f>ROUND(#REF!,2)</f>
        <v>#REF!</v>
      </c>
      <c r="O200" s="122" t="e">
        <f t="shared" si="35"/>
        <v>#REF!</v>
      </c>
      <c r="Q200" s="765">
        <v>541.24</v>
      </c>
      <c r="R200" s="765">
        <f t="shared" si="32"/>
        <v>386.6</v>
      </c>
      <c r="S200" s="765">
        <f t="shared" si="37"/>
        <v>393.62909090909091</v>
      </c>
      <c r="T200" s="765">
        <f t="shared" si="36"/>
        <v>393.62909090909091</v>
      </c>
    </row>
    <row r="201" spans="1:20" s="98" customFormat="1" outlineLevel="1">
      <c r="A201" s="141" t="s">
        <v>3483</v>
      </c>
      <c r="B201" s="175" t="s">
        <v>1087</v>
      </c>
      <c r="C201" s="100" t="s">
        <v>2462</v>
      </c>
      <c r="D201" s="183" t="s">
        <v>1468</v>
      </c>
      <c r="E201" s="20">
        <v>8</v>
      </c>
      <c r="F201" s="20">
        <f t="shared" si="31"/>
        <v>423.01090909090908</v>
      </c>
      <c r="G201" s="19">
        <f t="shared" si="34"/>
        <v>3384.0872727272726</v>
      </c>
      <c r="H201" s="19">
        <f t="shared" si="33"/>
        <v>13893.031889454543</v>
      </c>
      <c r="I201" s="114" t="s">
        <v>1521</v>
      </c>
      <c r="J201" s="210">
        <f>VLOOKUP(I201,'Reajuste Atual'!$L$19:$M$25,2,FALSE)</f>
        <v>3.1053999999999999</v>
      </c>
      <c r="K201" s="190"/>
      <c r="L201" s="139"/>
      <c r="M201" s="128" t="e">
        <f>ROUND(#REF!,2)</f>
        <v>#REF!</v>
      </c>
      <c r="N201" s="128" t="e">
        <f>ROUND(#REF!,2)</f>
        <v>#REF!</v>
      </c>
      <c r="O201" s="122" t="e">
        <f t="shared" si="35"/>
        <v>#REF!</v>
      </c>
      <c r="Q201" s="765">
        <v>581.64</v>
      </c>
      <c r="R201" s="765">
        <f t="shared" si="32"/>
        <v>415.45714285714286</v>
      </c>
      <c r="S201" s="765">
        <f t="shared" si="37"/>
        <v>423.01090909090908</v>
      </c>
      <c r="T201" s="765">
        <f t="shared" si="36"/>
        <v>423.01090909090908</v>
      </c>
    </row>
    <row r="202" spans="1:20" s="98" customFormat="1" outlineLevel="1">
      <c r="A202" s="141" t="s">
        <v>3483</v>
      </c>
      <c r="B202" s="175" t="s">
        <v>1088</v>
      </c>
      <c r="C202" s="100" t="s">
        <v>2463</v>
      </c>
      <c r="D202" s="183" t="s">
        <v>1468</v>
      </c>
      <c r="E202" s="20">
        <v>3</v>
      </c>
      <c r="F202" s="20">
        <f t="shared" si="31"/>
        <v>602.73454545454547</v>
      </c>
      <c r="G202" s="19">
        <f t="shared" si="34"/>
        <v>1808.2036363636364</v>
      </c>
      <c r="H202" s="19">
        <f t="shared" si="33"/>
        <v>7423.3992087272718</v>
      </c>
      <c r="I202" s="114" t="s">
        <v>1521</v>
      </c>
      <c r="J202" s="210">
        <f>VLOOKUP(I202,'Reajuste Atual'!$L$19:$M$25,2,FALSE)</f>
        <v>3.1053999999999999</v>
      </c>
      <c r="K202" s="190"/>
      <c r="L202" s="139"/>
      <c r="M202" s="128" t="e">
        <f>ROUND(#REF!,2)</f>
        <v>#REF!</v>
      </c>
      <c r="N202" s="128" t="e">
        <f>ROUND(#REF!,2)</f>
        <v>#REF!</v>
      </c>
      <c r="O202" s="122" t="e">
        <f t="shared" si="35"/>
        <v>#REF!</v>
      </c>
      <c r="Q202" s="765">
        <v>828.76</v>
      </c>
      <c r="R202" s="765">
        <f t="shared" si="32"/>
        <v>591.97142857142865</v>
      </c>
      <c r="S202" s="765">
        <f t="shared" si="37"/>
        <v>602.73454545454547</v>
      </c>
      <c r="T202" s="765">
        <f t="shared" si="36"/>
        <v>602.73454545454547</v>
      </c>
    </row>
    <row r="203" spans="1:20" s="98" customFormat="1" outlineLevel="1">
      <c r="A203" s="141" t="s">
        <v>3483</v>
      </c>
      <c r="B203" s="175" t="s">
        <v>1089</v>
      </c>
      <c r="C203" s="100" t="s">
        <v>2464</v>
      </c>
      <c r="D203" s="183" t="s">
        <v>1468</v>
      </c>
      <c r="E203" s="20">
        <v>15</v>
      </c>
      <c r="F203" s="20">
        <f t="shared" si="31"/>
        <v>630.34909090909093</v>
      </c>
      <c r="G203" s="19">
        <f t="shared" si="34"/>
        <v>9455.2363636363643</v>
      </c>
      <c r="H203" s="19">
        <f t="shared" si="33"/>
        <v>38817.527367272727</v>
      </c>
      <c r="I203" s="114" t="s">
        <v>1521</v>
      </c>
      <c r="J203" s="210">
        <f>VLOOKUP(I203,'Reajuste Atual'!$L$19:$M$25,2,FALSE)</f>
        <v>3.1053999999999999</v>
      </c>
      <c r="K203" s="190"/>
      <c r="L203" s="139"/>
      <c r="M203" s="128" t="e">
        <f>ROUND(#REF!,2)</f>
        <v>#REF!</v>
      </c>
      <c r="N203" s="128" t="e">
        <f>ROUND(#REF!,2)</f>
        <v>#REF!</v>
      </c>
      <c r="O203" s="122" t="e">
        <f t="shared" si="35"/>
        <v>#REF!</v>
      </c>
      <c r="Q203" s="765">
        <v>866.73</v>
      </c>
      <c r="R203" s="765">
        <f t="shared" si="32"/>
        <v>619.09285714285716</v>
      </c>
      <c r="S203" s="765">
        <f t="shared" si="37"/>
        <v>630.34909090909093</v>
      </c>
      <c r="T203" s="765">
        <f t="shared" si="36"/>
        <v>630.34909090909093</v>
      </c>
    </row>
    <row r="204" spans="1:20" s="98" customFormat="1" outlineLevel="1">
      <c r="A204" s="141" t="s">
        <v>3483</v>
      </c>
      <c r="B204" s="175" t="s">
        <v>1090</v>
      </c>
      <c r="C204" s="100" t="s">
        <v>2465</v>
      </c>
      <c r="D204" s="183" t="s">
        <v>1468</v>
      </c>
      <c r="E204" s="20">
        <v>6</v>
      </c>
      <c r="F204" s="20">
        <f t="shared" ref="F204:F265" si="38">T204</f>
        <v>665.91272727272724</v>
      </c>
      <c r="G204" s="19">
        <f t="shared" si="34"/>
        <v>3995.4763636363632</v>
      </c>
      <c r="H204" s="19">
        <f t="shared" si="33"/>
        <v>16403.028663272722</v>
      </c>
      <c r="I204" s="114" t="s">
        <v>1521</v>
      </c>
      <c r="J204" s="210">
        <f>VLOOKUP(I204,'Reajuste Atual'!$L$19:$M$25,2,FALSE)</f>
        <v>3.1053999999999999</v>
      </c>
      <c r="K204" s="190"/>
      <c r="L204" s="139"/>
      <c r="M204" s="128" t="e">
        <f>ROUND(#REF!,2)</f>
        <v>#REF!</v>
      </c>
      <c r="N204" s="128" t="e">
        <f>ROUND(#REF!,2)</f>
        <v>#REF!</v>
      </c>
      <c r="O204" s="122" t="e">
        <f t="shared" si="35"/>
        <v>#REF!</v>
      </c>
      <c r="Q204" s="765">
        <v>915.63</v>
      </c>
      <c r="R204" s="765">
        <f t="shared" ref="R204:R265" si="39">Q204/($R$23+1)</f>
        <v>654.0214285714286</v>
      </c>
      <c r="S204" s="765">
        <f t="shared" si="37"/>
        <v>665.91272727272724</v>
      </c>
      <c r="T204" s="765">
        <f t="shared" si="36"/>
        <v>665.91272727272724</v>
      </c>
    </row>
    <row r="205" spans="1:20" s="98" customFormat="1" outlineLevel="1">
      <c r="A205" s="141" t="s">
        <v>3483</v>
      </c>
      <c r="B205" s="175" t="s">
        <v>1091</v>
      </c>
      <c r="C205" s="100" t="s">
        <v>2466</v>
      </c>
      <c r="D205" s="183" t="s">
        <v>1468</v>
      </c>
      <c r="E205" s="20">
        <v>2</v>
      </c>
      <c r="F205" s="20">
        <f t="shared" si="38"/>
        <v>1116.2981818181818</v>
      </c>
      <c r="G205" s="19">
        <f t="shared" si="34"/>
        <v>2232.5963636363635</v>
      </c>
      <c r="H205" s="19">
        <f t="shared" si="33"/>
        <v>9165.701111272725</v>
      </c>
      <c r="I205" s="114" t="s">
        <v>1521</v>
      </c>
      <c r="J205" s="210">
        <f>VLOOKUP(I205,'Reajuste Atual'!$L$19:$M$25,2,FALSE)</f>
        <v>3.1053999999999999</v>
      </c>
      <c r="K205" s="190"/>
      <c r="L205" s="139"/>
      <c r="M205" s="128" t="e">
        <f>ROUND(#REF!,2)</f>
        <v>#REF!</v>
      </c>
      <c r="N205" s="128" t="e">
        <f>ROUND(#REF!,2)</f>
        <v>#REF!</v>
      </c>
      <c r="O205" s="122" t="e">
        <f t="shared" si="35"/>
        <v>#REF!</v>
      </c>
      <c r="Q205" s="765">
        <v>1534.91</v>
      </c>
      <c r="R205" s="765">
        <f t="shared" si="39"/>
        <v>1096.3642857142859</v>
      </c>
      <c r="S205" s="765">
        <f t="shared" si="37"/>
        <v>1116.2981818181818</v>
      </c>
      <c r="T205" s="765">
        <f t="shared" si="36"/>
        <v>1116.2981818181818</v>
      </c>
    </row>
    <row r="206" spans="1:20" s="98" customFormat="1" outlineLevel="1">
      <c r="A206" s="141" t="s">
        <v>3483</v>
      </c>
      <c r="B206" s="175" t="s">
        <v>1092</v>
      </c>
      <c r="C206" s="100" t="s">
        <v>2467</v>
      </c>
      <c r="D206" s="183" t="s">
        <v>1468</v>
      </c>
      <c r="E206" s="20">
        <v>12</v>
      </c>
      <c r="F206" s="20">
        <f t="shared" si="38"/>
        <v>662.11636363636364</v>
      </c>
      <c r="G206" s="19">
        <f t="shared" si="34"/>
        <v>7945.3963636363642</v>
      </c>
      <c r="H206" s="19">
        <f t="shared" si="33"/>
        <v>32619.030231272725</v>
      </c>
      <c r="I206" s="114" t="s">
        <v>1521</v>
      </c>
      <c r="J206" s="210">
        <f>VLOOKUP(I206,'Reajuste Atual'!$L$19:$M$25,2,FALSE)</f>
        <v>3.1053999999999999</v>
      </c>
      <c r="K206" s="190"/>
      <c r="L206" s="139"/>
      <c r="M206" s="128" t="e">
        <f>ROUND(#REF!,2)</f>
        <v>#REF!</v>
      </c>
      <c r="N206" s="128" t="e">
        <f>ROUND(#REF!,2)</f>
        <v>#REF!</v>
      </c>
      <c r="O206" s="122" t="e">
        <f t="shared" si="35"/>
        <v>#REF!</v>
      </c>
      <c r="Q206" s="765">
        <v>910.41</v>
      </c>
      <c r="R206" s="765">
        <f t="shared" si="39"/>
        <v>650.2928571428572</v>
      </c>
      <c r="S206" s="765">
        <f t="shared" si="37"/>
        <v>662.11636363636364</v>
      </c>
      <c r="T206" s="765">
        <f t="shared" si="36"/>
        <v>662.11636363636364</v>
      </c>
    </row>
    <row r="207" spans="1:20" s="98" customFormat="1" outlineLevel="1">
      <c r="A207" s="141" t="s">
        <v>3483</v>
      </c>
      <c r="B207" s="175" t="s">
        <v>1093</v>
      </c>
      <c r="C207" s="100" t="s">
        <v>2468</v>
      </c>
      <c r="D207" s="183" t="s">
        <v>1468</v>
      </c>
      <c r="E207" s="20">
        <v>15</v>
      </c>
      <c r="F207" s="20">
        <f t="shared" si="38"/>
        <v>1058.3854545454544</v>
      </c>
      <c r="G207" s="19">
        <f t="shared" si="34"/>
        <v>15875.781818181817</v>
      </c>
      <c r="H207" s="19">
        <f t="shared" si="33"/>
        <v>65176.43467636362</v>
      </c>
      <c r="I207" s="114" t="s">
        <v>1521</v>
      </c>
      <c r="J207" s="210">
        <f>VLOOKUP(I207,'Reajuste Atual'!$L$19:$M$25,2,FALSE)</f>
        <v>3.1053999999999999</v>
      </c>
      <c r="K207" s="190"/>
      <c r="L207" s="139"/>
      <c r="M207" s="128" t="e">
        <f>ROUND(#REF!,2)</f>
        <v>#REF!</v>
      </c>
      <c r="N207" s="128" t="e">
        <f>ROUND(#REF!,2)</f>
        <v>#REF!</v>
      </c>
      <c r="O207" s="122" t="e">
        <f t="shared" si="35"/>
        <v>#REF!</v>
      </c>
      <c r="Q207" s="765">
        <v>1455.28</v>
      </c>
      <c r="R207" s="765">
        <f t="shared" si="39"/>
        <v>1039.4857142857143</v>
      </c>
      <c r="S207" s="765">
        <f t="shared" si="37"/>
        <v>1058.3854545454544</v>
      </c>
      <c r="T207" s="765">
        <f t="shared" si="36"/>
        <v>1058.3854545454544</v>
      </c>
    </row>
    <row r="208" spans="1:20" s="98" customFormat="1" outlineLevel="1">
      <c r="A208" s="141" t="s">
        <v>3483</v>
      </c>
      <c r="B208" s="175" t="s">
        <v>1094</v>
      </c>
      <c r="C208" s="100" t="s">
        <v>2469</v>
      </c>
      <c r="D208" s="183" t="s">
        <v>1468</v>
      </c>
      <c r="E208" s="20">
        <v>1</v>
      </c>
      <c r="F208" s="20">
        <f t="shared" si="38"/>
        <v>1011.330909090909</v>
      </c>
      <c r="G208" s="19">
        <f t="shared" si="34"/>
        <v>1011.330909090909</v>
      </c>
      <c r="H208" s="19">
        <f t="shared" si="33"/>
        <v>4151.9179141818177</v>
      </c>
      <c r="I208" s="114" t="s">
        <v>1521</v>
      </c>
      <c r="J208" s="210">
        <f>VLOOKUP(I208,'Reajuste Atual'!$L$19:$M$25,2,FALSE)</f>
        <v>3.1053999999999999</v>
      </c>
      <c r="K208" s="190"/>
      <c r="L208" s="139"/>
      <c r="M208" s="128" t="e">
        <f>ROUND(#REF!,2)</f>
        <v>#REF!</v>
      </c>
      <c r="N208" s="128" t="e">
        <f>ROUND(#REF!,2)</f>
        <v>#REF!</v>
      </c>
      <c r="O208" s="122" t="e">
        <f t="shared" si="35"/>
        <v>#REF!</v>
      </c>
      <c r="Q208" s="765">
        <v>1390.58</v>
      </c>
      <c r="R208" s="765">
        <f t="shared" si="39"/>
        <v>993.2714285714286</v>
      </c>
      <c r="S208" s="765">
        <f t="shared" si="37"/>
        <v>1011.330909090909</v>
      </c>
      <c r="T208" s="765">
        <f t="shared" si="36"/>
        <v>1011.330909090909</v>
      </c>
    </row>
    <row r="209" spans="1:20" s="98" customFormat="1" outlineLevel="1">
      <c r="A209" s="141" t="s">
        <v>3483</v>
      </c>
      <c r="B209" s="175" t="s">
        <v>1095</v>
      </c>
      <c r="C209" s="100" t="s">
        <v>2470</v>
      </c>
      <c r="D209" s="183" t="s">
        <v>1468</v>
      </c>
      <c r="E209" s="20">
        <v>3</v>
      </c>
      <c r="F209" s="20">
        <f t="shared" si="38"/>
        <v>1747.2581818181818</v>
      </c>
      <c r="G209" s="19">
        <f t="shared" si="34"/>
        <v>5241.7745454545457</v>
      </c>
      <c r="H209" s="19">
        <f t="shared" si="33"/>
        <v>21519.58121890909</v>
      </c>
      <c r="I209" s="114" t="s">
        <v>1521</v>
      </c>
      <c r="J209" s="210">
        <f>VLOOKUP(I209,'Reajuste Atual'!$L$19:$M$25,2,FALSE)</f>
        <v>3.1053999999999999</v>
      </c>
      <c r="K209" s="190"/>
      <c r="L209" s="139"/>
      <c r="M209" s="128" t="e">
        <f>ROUND(#REF!,2)</f>
        <v>#REF!</v>
      </c>
      <c r="N209" s="128" t="e">
        <f>ROUND(#REF!,2)</f>
        <v>#REF!</v>
      </c>
      <c r="O209" s="122" t="e">
        <f t="shared" si="35"/>
        <v>#REF!</v>
      </c>
      <c r="Q209" s="765">
        <v>2402.48</v>
      </c>
      <c r="R209" s="765">
        <f t="shared" si="39"/>
        <v>1716.0571428571429</v>
      </c>
      <c r="S209" s="765">
        <f t="shared" si="37"/>
        <v>1747.2581818181818</v>
      </c>
      <c r="T209" s="765">
        <f t="shared" si="36"/>
        <v>1747.2581818181818</v>
      </c>
    </row>
    <row r="210" spans="1:20" s="98" customFormat="1" outlineLevel="1">
      <c r="A210" s="141" t="s">
        <v>3483</v>
      </c>
      <c r="B210" s="175" t="s">
        <v>1096</v>
      </c>
      <c r="C210" s="100" t="s">
        <v>2471</v>
      </c>
      <c r="D210" s="183" t="s">
        <v>1468</v>
      </c>
      <c r="E210" s="20">
        <v>9</v>
      </c>
      <c r="F210" s="20">
        <f t="shared" si="38"/>
        <v>1287.4545454545455</v>
      </c>
      <c r="G210" s="19">
        <f t="shared" si="34"/>
        <v>11587.09090909091</v>
      </c>
      <c r="H210" s="19">
        <f t="shared" si="33"/>
        <v>47569.643018181814</v>
      </c>
      <c r="I210" s="114" t="s">
        <v>1521</v>
      </c>
      <c r="J210" s="210">
        <f>VLOOKUP(I210,'Reajuste Atual'!$L$19:$M$25,2,FALSE)</f>
        <v>3.1053999999999999</v>
      </c>
      <c r="K210" s="190"/>
      <c r="L210" s="139"/>
      <c r="M210" s="128" t="e">
        <f>ROUND(#REF!,2)</f>
        <v>#REF!</v>
      </c>
      <c r="N210" s="128" t="e">
        <f>ROUND(#REF!,2)</f>
        <v>#REF!</v>
      </c>
      <c r="O210" s="122" t="e">
        <f t="shared" si="35"/>
        <v>#REF!</v>
      </c>
      <c r="Q210" s="765">
        <v>1770.25</v>
      </c>
      <c r="R210" s="765">
        <f t="shared" si="39"/>
        <v>1264.4642857142858</v>
      </c>
      <c r="S210" s="765">
        <f t="shared" si="37"/>
        <v>1287.4545454545455</v>
      </c>
      <c r="T210" s="765">
        <f t="shared" si="36"/>
        <v>1287.4545454545455</v>
      </c>
    </row>
    <row r="211" spans="1:20" s="98" customFormat="1" outlineLevel="1">
      <c r="A211" s="141" t="s">
        <v>3483</v>
      </c>
      <c r="B211" s="175" t="s">
        <v>1097</v>
      </c>
      <c r="C211" s="100" t="s">
        <v>2472</v>
      </c>
      <c r="D211" s="183" t="s">
        <v>1468</v>
      </c>
      <c r="E211" s="20">
        <v>11</v>
      </c>
      <c r="F211" s="20">
        <f t="shared" si="38"/>
        <v>1447.9781818181818</v>
      </c>
      <c r="G211" s="19">
        <f t="shared" si="34"/>
        <v>15927.76</v>
      </c>
      <c r="H211" s="19">
        <f t="shared" si="33"/>
        <v>65389.82590399999</v>
      </c>
      <c r="I211" s="114" t="s">
        <v>1521</v>
      </c>
      <c r="J211" s="210">
        <f>VLOOKUP(I211,'Reajuste Atual'!$L$19:$M$25,2,FALSE)</f>
        <v>3.1053999999999999</v>
      </c>
      <c r="K211" s="190"/>
      <c r="L211" s="139"/>
      <c r="M211" s="128" t="e">
        <f>ROUND(#REF!,2)</f>
        <v>#REF!</v>
      </c>
      <c r="N211" s="128" t="e">
        <f>ROUND(#REF!,2)</f>
        <v>#REF!</v>
      </c>
      <c r="O211" s="122" t="e">
        <f t="shared" si="35"/>
        <v>#REF!</v>
      </c>
      <c r="Q211" s="765">
        <v>1990.97</v>
      </c>
      <c r="R211" s="765">
        <f t="shared" si="39"/>
        <v>1422.1214285714286</v>
      </c>
      <c r="S211" s="765">
        <f t="shared" si="37"/>
        <v>1447.9781818181818</v>
      </c>
      <c r="T211" s="765">
        <f t="shared" si="36"/>
        <v>1447.9781818181818</v>
      </c>
    </row>
    <row r="212" spans="1:20" s="98" customFormat="1" outlineLevel="1">
      <c r="A212" s="141" t="s">
        <v>3483</v>
      </c>
      <c r="B212" s="175" t="s">
        <v>1098</v>
      </c>
      <c r="C212" s="100" t="s">
        <v>2473</v>
      </c>
      <c r="D212" s="183" t="s">
        <v>1468</v>
      </c>
      <c r="E212" s="20">
        <v>5</v>
      </c>
      <c r="F212" s="20">
        <f t="shared" si="38"/>
        <v>1779.0181818181818</v>
      </c>
      <c r="G212" s="19">
        <f t="shared" si="34"/>
        <v>8895.0909090909081</v>
      </c>
      <c r="H212" s="19">
        <f t="shared" si="33"/>
        <v>36517.906218181808</v>
      </c>
      <c r="I212" s="114" t="s">
        <v>1521</v>
      </c>
      <c r="J212" s="210">
        <f>VLOOKUP(I212,'Reajuste Atual'!$L$19:$M$25,2,FALSE)</f>
        <v>3.1053999999999999</v>
      </c>
      <c r="K212" s="190"/>
      <c r="L212" s="139"/>
      <c r="M212" s="128" t="e">
        <f>ROUND(#REF!,2)</f>
        <v>#REF!</v>
      </c>
      <c r="N212" s="128" t="e">
        <f>ROUND(#REF!,2)</f>
        <v>#REF!</v>
      </c>
      <c r="O212" s="122" t="e">
        <f t="shared" si="35"/>
        <v>#REF!</v>
      </c>
      <c r="Q212" s="765">
        <v>2446.15</v>
      </c>
      <c r="R212" s="765">
        <f t="shared" si="39"/>
        <v>1747.2500000000002</v>
      </c>
      <c r="S212" s="765">
        <f t="shared" si="37"/>
        <v>1779.0181818181818</v>
      </c>
      <c r="T212" s="765">
        <f t="shared" si="36"/>
        <v>1779.0181818181818</v>
      </c>
    </row>
    <row r="213" spans="1:20" s="98" customFormat="1" outlineLevel="1">
      <c r="A213" s="141" t="s">
        <v>3483</v>
      </c>
      <c r="B213" s="175" t="s">
        <v>1099</v>
      </c>
      <c r="C213" s="100" t="s">
        <v>2474</v>
      </c>
      <c r="D213" s="183" t="s">
        <v>1468</v>
      </c>
      <c r="E213" s="20">
        <v>5</v>
      </c>
      <c r="F213" s="20">
        <f t="shared" si="38"/>
        <v>2499.44</v>
      </c>
      <c r="G213" s="19">
        <f t="shared" si="34"/>
        <v>12497.2</v>
      </c>
      <c r="H213" s="19">
        <f t="shared" si="33"/>
        <v>51306.004879999993</v>
      </c>
      <c r="I213" s="114" t="s">
        <v>1521</v>
      </c>
      <c r="J213" s="210">
        <f>VLOOKUP(I213,'Reajuste Atual'!$L$19:$M$25,2,FALSE)</f>
        <v>3.1053999999999999</v>
      </c>
      <c r="K213" s="190"/>
      <c r="L213" s="139"/>
      <c r="M213" s="128" t="e">
        <f>ROUND(#REF!,2)</f>
        <v>#REF!</v>
      </c>
      <c r="N213" s="128" t="e">
        <f>ROUND(#REF!,2)</f>
        <v>#REF!</v>
      </c>
      <c r="O213" s="122" t="e">
        <f t="shared" si="35"/>
        <v>#REF!</v>
      </c>
      <c r="Q213" s="765">
        <v>3436.73</v>
      </c>
      <c r="R213" s="765">
        <f t="shared" si="39"/>
        <v>2454.8071428571429</v>
      </c>
      <c r="S213" s="765">
        <f t="shared" si="37"/>
        <v>2499.44</v>
      </c>
      <c r="T213" s="765">
        <f t="shared" si="36"/>
        <v>2499.44</v>
      </c>
    </row>
    <row r="214" spans="1:20" s="98" customFormat="1" outlineLevel="1">
      <c r="A214" s="141" t="s">
        <v>3483</v>
      </c>
      <c r="B214" s="175" t="s">
        <v>1100</v>
      </c>
      <c r="C214" s="100" t="s">
        <v>2475</v>
      </c>
      <c r="D214" s="183" t="s">
        <v>1468</v>
      </c>
      <c r="E214" s="20">
        <v>1</v>
      </c>
      <c r="F214" s="20">
        <f t="shared" si="38"/>
        <v>11674.043636363636</v>
      </c>
      <c r="G214" s="19">
        <f t="shared" si="34"/>
        <v>11674.043636363636</v>
      </c>
      <c r="H214" s="19">
        <f t="shared" si="33"/>
        <v>47926.618744727268</v>
      </c>
      <c r="I214" s="114" t="s">
        <v>1521</v>
      </c>
      <c r="J214" s="210">
        <f>VLOOKUP(I214,'Reajuste Atual'!$L$19:$M$25,2,FALSE)</f>
        <v>3.1053999999999999</v>
      </c>
      <c r="K214" s="190"/>
      <c r="L214" s="139"/>
      <c r="M214" s="128" t="e">
        <f>ROUND(#REF!,2)</f>
        <v>#REF!</v>
      </c>
      <c r="N214" s="128" t="e">
        <f>ROUND(#REF!,2)</f>
        <v>#REF!</v>
      </c>
      <c r="O214" s="122" t="e">
        <f t="shared" si="35"/>
        <v>#REF!</v>
      </c>
      <c r="Q214" s="765">
        <v>16051.81</v>
      </c>
      <c r="R214" s="765">
        <f t="shared" si="39"/>
        <v>11465.578571428572</v>
      </c>
      <c r="S214" s="765">
        <f t="shared" si="37"/>
        <v>11674.043636363636</v>
      </c>
      <c r="T214" s="765">
        <f t="shared" si="36"/>
        <v>11674.043636363636</v>
      </c>
    </row>
    <row r="215" spans="1:20" s="98" customFormat="1" outlineLevel="1">
      <c r="A215" s="141" t="s">
        <v>3483</v>
      </c>
      <c r="B215" s="175" t="s">
        <v>1101</v>
      </c>
      <c r="C215" s="100" t="s">
        <v>2476</v>
      </c>
      <c r="D215" s="183" t="s">
        <v>1468</v>
      </c>
      <c r="E215" s="20">
        <v>1</v>
      </c>
      <c r="F215" s="20">
        <f t="shared" si="38"/>
        <v>550.09454545454548</v>
      </c>
      <c r="G215" s="19">
        <f t="shared" si="34"/>
        <v>550.09454545454548</v>
      </c>
      <c r="H215" s="19">
        <f t="shared" si="33"/>
        <v>2258.3581469090909</v>
      </c>
      <c r="I215" s="114" t="s">
        <v>1521</v>
      </c>
      <c r="J215" s="210">
        <f>VLOOKUP(I215,'Reajuste Atual'!$L$19:$M$25,2,FALSE)</f>
        <v>3.1053999999999999</v>
      </c>
      <c r="K215" s="190"/>
      <c r="L215" s="139"/>
      <c r="M215" s="128" t="e">
        <f>ROUND(#REF!,2)</f>
        <v>#REF!</v>
      </c>
      <c r="N215" s="128" t="e">
        <f>ROUND(#REF!,2)</f>
        <v>#REF!</v>
      </c>
      <c r="O215" s="122" t="e">
        <f t="shared" si="35"/>
        <v>#REF!</v>
      </c>
      <c r="Q215" s="765">
        <v>756.38</v>
      </c>
      <c r="R215" s="765">
        <f t="shared" si="39"/>
        <v>540.2714285714286</v>
      </c>
      <c r="S215" s="765">
        <f t="shared" si="37"/>
        <v>550.09454545454548</v>
      </c>
      <c r="T215" s="765">
        <f t="shared" si="36"/>
        <v>550.09454545454548</v>
      </c>
    </row>
    <row r="216" spans="1:20" s="98" customFormat="1" outlineLevel="1">
      <c r="A216" s="141" t="s">
        <v>3483</v>
      </c>
      <c r="B216" s="175" t="s">
        <v>1102</v>
      </c>
      <c r="C216" s="100" t="s">
        <v>2477</v>
      </c>
      <c r="D216" s="183" t="s">
        <v>1468</v>
      </c>
      <c r="E216" s="20">
        <v>24</v>
      </c>
      <c r="F216" s="20">
        <f t="shared" si="38"/>
        <v>431.97090909090912</v>
      </c>
      <c r="G216" s="19">
        <f t="shared" si="34"/>
        <v>10367.301818181819</v>
      </c>
      <c r="H216" s="19">
        <f t="shared" si="33"/>
        <v>42561.920884363637</v>
      </c>
      <c r="I216" s="114" t="s">
        <v>1521</v>
      </c>
      <c r="J216" s="210">
        <f>VLOOKUP(I216,'Reajuste Atual'!$L$19:$M$25,2,FALSE)</f>
        <v>3.1053999999999999</v>
      </c>
      <c r="K216" s="190"/>
      <c r="L216" s="139"/>
      <c r="M216" s="128" t="e">
        <f>ROUND(#REF!,2)</f>
        <v>#REF!</v>
      </c>
      <c r="N216" s="128" t="e">
        <f>ROUND(#REF!,2)</f>
        <v>#REF!</v>
      </c>
      <c r="O216" s="122" t="e">
        <f t="shared" si="35"/>
        <v>#REF!</v>
      </c>
      <c r="Q216" s="765">
        <v>593.96</v>
      </c>
      <c r="R216" s="765">
        <f t="shared" si="39"/>
        <v>424.25714285714292</v>
      </c>
      <c r="S216" s="765">
        <f t="shared" si="37"/>
        <v>431.97090909090912</v>
      </c>
      <c r="T216" s="765">
        <f t="shared" si="36"/>
        <v>431.97090909090912</v>
      </c>
    </row>
    <row r="217" spans="1:20" s="98" customFormat="1" outlineLevel="1">
      <c r="A217" s="141" t="s">
        <v>3483</v>
      </c>
      <c r="B217" s="175" t="s">
        <v>1103</v>
      </c>
      <c r="C217" s="100" t="s">
        <v>2478</v>
      </c>
      <c r="D217" s="183" t="s">
        <v>1468</v>
      </c>
      <c r="E217" s="20">
        <v>6</v>
      </c>
      <c r="F217" s="20">
        <f t="shared" si="38"/>
        <v>948.02909090909088</v>
      </c>
      <c r="G217" s="19">
        <f t="shared" si="34"/>
        <v>5688.1745454545453</v>
      </c>
      <c r="H217" s="19">
        <f t="shared" si="33"/>
        <v>23352.231778909088</v>
      </c>
      <c r="I217" s="114" t="s">
        <v>1521</v>
      </c>
      <c r="J217" s="210">
        <f>VLOOKUP(I217,'Reajuste Atual'!$L$19:$M$25,2,FALSE)</f>
        <v>3.1053999999999999</v>
      </c>
      <c r="K217" s="190"/>
      <c r="L217" s="139"/>
      <c r="M217" s="128" t="e">
        <f>ROUND(#REF!,2)</f>
        <v>#REF!</v>
      </c>
      <c r="N217" s="128" t="e">
        <f>ROUND(#REF!,2)</f>
        <v>#REF!</v>
      </c>
      <c r="O217" s="122" t="e">
        <f t="shared" si="35"/>
        <v>#REF!</v>
      </c>
      <c r="Q217" s="765">
        <v>1303.54</v>
      </c>
      <c r="R217" s="765">
        <f t="shared" si="39"/>
        <v>931.1</v>
      </c>
      <c r="S217" s="765">
        <f t="shared" si="37"/>
        <v>948.02909090909088</v>
      </c>
      <c r="T217" s="765">
        <f t="shared" si="36"/>
        <v>948.02909090909088</v>
      </c>
    </row>
    <row r="218" spans="1:20" s="98" customFormat="1" outlineLevel="1">
      <c r="A218" s="141" t="s">
        <v>3483</v>
      </c>
      <c r="B218" s="175" t="s">
        <v>1104</v>
      </c>
      <c r="C218" s="100" t="s">
        <v>2479</v>
      </c>
      <c r="D218" s="183" t="s">
        <v>1468</v>
      </c>
      <c r="E218" s="20">
        <v>3</v>
      </c>
      <c r="F218" s="20">
        <f t="shared" si="38"/>
        <v>1334.2836363636363</v>
      </c>
      <c r="G218" s="19">
        <f t="shared" si="34"/>
        <v>4002.8509090909092</v>
      </c>
      <c r="H218" s="19">
        <f t="shared" si="33"/>
        <v>16433.304122181817</v>
      </c>
      <c r="I218" s="114" t="s">
        <v>1521</v>
      </c>
      <c r="J218" s="210">
        <f>VLOOKUP(I218,'Reajuste Atual'!$L$19:$M$25,2,FALSE)</f>
        <v>3.1053999999999999</v>
      </c>
      <c r="K218" s="190"/>
      <c r="L218" s="139"/>
      <c r="M218" s="128" t="e">
        <f>ROUND(#REF!,2)</f>
        <v>#REF!</v>
      </c>
      <c r="N218" s="128" t="e">
        <f>ROUND(#REF!,2)</f>
        <v>#REF!</v>
      </c>
      <c r="O218" s="122" t="e">
        <f t="shared" si="35"/>
        <v>#REF!</v>
      </c>
      <c r="Q218" s="765">
        <v>1834.64</v>
      </c>
      <c r="R218" s="765">
        <f t="shared" si="39"/>
        <v>1310.457142857143</v>
      </c>
      <c r="S218" s="765">
        <f t="shared" si="37"/>
        <v>1334.2836363636363</v>
      </c>
      <c r="T218" s="765">
        <f t="shared" si="36"/>
        <v>1334.2836363636363</v>
      </c>
    </row>
    <row r="219" spans="1:20" s="98" customFormat="1" outlineLevel="1">
      <c r="A219" s="141" t="s">
        <v>3483</v>
      </c>
      <c r="B219" s="175" t="s">
        <v>1105</v>
      </c>
      <c r="C219" s="100" t="s">
        <v>2480</v>
      </c>
      <c r="D219" s="183" t="s">
        <v>1468</v>
      </c>
      <c r="E219" s="20">
        <v>6</v>
      </c>
      <c r="F219" s="20">
        <f t="shared" si="38"/>
        <v>846.05090909090904</v>
      </c>
      <c r="G219" s="19">
        <f t="shared" si="34"/>
        <v>5076.3054545454543</v>
      </c>
      <c r="H219" s="19">
        <f t="shared" si="33"/>
        <v>20840.264413090907</v>
      </c>
      <c r="I219" s="114" t="s">
        <v>1521</v>
      </c>
      <c r="J219" s="210">
        <f>VLOOKUP(I219,'Reajuste Atual'!$L$19:$M$25,2,FALSE)</f>
        <v>3.1053999999999999</v>
      </c>
      <c r="K219" s="190"/>
      <c r="L219" s="139"/>
      <c r="M219" s="128" t="e">
        <f>ROUND(#REF!,2)</f>
        <v>#REF!</v>
      </c>
      <c r="N219" s="128" t="e">
        <f>ROUND(#REF!,2)</f>
        <v>#REF!</v>
      </c>
      <c r="O219" s="122" t="e">
        <f t="shared" si="35"/>
        <v>#REF!</v>
      </c>
      <c r="Q219" s="765">
        <v>1163.32</v>
      </c>
      <c r="R219" s="765">
        <f t="shared" si="39"/>
        <v>830.94285714285718</v>
      </c>
      <c r="S219" s="765">
        <f t="shared" si="37"/>
        <v>846.05090909090904</v>
      </c>
      <c r="T219" s="765">
        <f t="shared" si="36"/>
        <v>846.05090909090904</v>
      </c>
    </row>
    <row r="220" spans="1:20" s="98" customFormat="1" outlineLevel="1">
      <c r="A220" s="141" t="s">
        <v>3483</v>
      </c>
      <c r="B220" s="175" t="s">
        <v>1106</v>
      </c>
      <c r="C220" s="100" t="s">
        <v>2481</v>
      </c>
      <c r="D220" s="183" t="s">
        <v>1468</v>
      </c>
      <c r="E220" s="20">
        <v>2</v>
      </c>
      <c r="F220" s="20">
        <f t="shared" si="38"/>
        <v>1376.0654545454545</v>
      </c>
      <c r="G220" s="19">
        <f t="shared" si="34"/>
        <v>2752.130909090909</v>
      </c>
      <c r="H220" s="19">
        <f t="shared" si="33"/>
        <v>11298.598234181816</v>
      </c>
      <c r="I220" s="114" t="s">
        <v>1521</v>
      </c>
      <c r="J220" s="210">
        <f>VLOOKUP(I220,'Reajuste Atual'!$L$19:$M$25,2,FALSE)</f>
        <v>3.1053999999999999</v>
      </c>
      <c r="K220" s="190"/>
      <c r="L220" s="139"/>
      <c r="M220" s="128" t="e">
        <f>ROUND(#REF!,2)</f>
        <v>#REF!</v>
      </c>
      <c r="N220" s="128" t="e">
        <f>ROUND(#REF!,2)</f>
        <v>#REF!</v>
      </c>
      <c r="O220" s="122" t="e">
        <f t="shared" si="35"/>
        <v>#REF!</v>
      </c>
      <c r="Q220" s="765">
        <v>1892.09</v>
      </c>
      <c r="R220" s="765">
        <f t="shared" si="39"/>
        <v>1351.4928571428572</v>
      </c>
      <c r="S220" s="765">
        <f t="shared" si="37"/>
        <v>1376.0654545454545</v>
      </c>
      <c r="T220" s="765">
        <f t="shared" si="36"/>
        <v>1376.0654545454545</v>
      </c>
    </row>
    <row r="221" spans="1:20" s="98" customFormat="1" outlineLevel="1">
      <c r="A221" s="141" t="s">
        <v>3483</v>
      </c>
      <c r="B221" s="175" t="s">
        <v>1107</v>
      </c>
      <c r="C221" s="100" t="s">
        <v>2482</v>
      </c>
      <c r="D221" s="183" t="s">
        <v>1468</v>
      </c>
      <c r="E221" s="20">
        <v>1</v>
      </c>
      <c r="F221" s="20">
        <f t="shared" si="38"/>
        <v>2571.2727272727275</v>
      </c>
      <c r="G221" s="19">
        <f t="shared" si="34"/>
        <v>2571.2727272727275</v>
      </c>
      <c r="H221" s="19">
        <f t="shared" si="33"/>
        <v>10556.103054545454</v>
      </c>
      <c r="I221" s="114" t="s">
        <v>1521</v>
      </c>
      <c r="J221" s="210">
        <f>VLOOKUP(I221,'Reajuste Atual'!$L$19:$M$25,2,FALSE)</f>
        <v>3.1053999999999999</v>
      </c>
      <c r="K221" s="190"/>
      <c r="L221" s="139"/>
      <c r="M221" s="128" t="e">
        <f>ROUND(#REF!,2)</f>
        <v>#REF!</v>
      </c>
      <c r="N221" s="128" t="e">
        <f>ROUND(#REF!,2)</f>
        <v>#REF!</v>
      </c>
      <c r="O221" s="122" t="e">
        <f t="shared" si="35"/>
        <v>#REF!</v>
      </c>
      <c r="Q221" s="765">
        <v>3535.5</v>
      </c>
      <c r="R221" s="765">
        <f t="shared" si="39"/>
        <v>2525.3571428571431</v>
      </c>
      <c r="S221" s="765">
        <f t="shared" si="37"/>
        <v>2571.2727272727275</v>
      </c>
      <c r="T221" s="765">
        <f t="shared" si="36"/>
        <v>2571.2727272727275</v>
      </c>
    </row>
    <row r="222" spans="1:20" s="98" customFormat="1" outlineLevel="1">
      <c r="A222" s="141" t="s">
        <v>3483</v>
      </c>
      <c r="B222" s="175" t="s">
        <v>1108</v>
      </c>
      <c r="C222" s="100" t="s">
        <v>2483</v>
      </c>
      <c r="D222" s="183" t="s">
        <v>1468</v>
      </c>
      <c r="E222" s="20">
        <v>2</v>
      </c>
      <c r="F222" s="20">
        <f t="shared" si="38"/>
        <v>1463.0109090909091</v>
      </c>
      <c r="G222" s="19">
        <f t="shared" si="34"/>
        <v>2926.0218181818182</v>
      </c>
      <c r="H222" s="19">
        <f t="shared" si="33"/>
        <v>12012.489972363635</v>
      </c>
      <c r="I222" s="114" t="s">
        <v>1521</v>
      </c>
      <c r="J222" s="210">
        <f>VLOOKUP(I222,'Reajuste Atual'!$L$19:$M$25,2,FALSE)</f>
        <v>3.1053999999999999</v>
      </c>
      <c r="K222" s="190"/>
      <c r="L222" s="139"/>
      <c r="M222" s="128" t="e">
        <f>ROUND(#REF!,2)</f>
        <v>#REF!</v>
      </c>
      <c r="N222" s="128" t="e">
        <f>ROUND(#REF!,2)</f>
        <v>#REF!</v>
      </c>
      <c r="O222" s="122" t="e">
        <f t="shared" si="35"/>
        <v>#REF!</v>
      </c>
      <c r="Q222" s="765">
        <v>2011.64</v>
      </c>
      <c r="R222" s="765">
        <f t="shared" si="39"/>
        <v>1436.8857142857144</v>
      </c>
      <c r="S222" s="765">
        <f t="shared" si="37"/>
        <v>1463.0109090909091</v>
      </c>
      <c r="T222" s="765">
        <f t="shared" si="36"/>
        <v>1463.0109090909091</v>
      </c>
    </row>
    <row r="223" spans="1:20" s="98" customFormat="1" outlineLevel="1">
      <c r="A223" s="141" t="s">
        <v>3483</v>
      </c>
      <c r="B223" s="175" t="s">
        <v>1109</v>
      </c>
      <c r="C223" s="100" t="s">
        <v>2484</v>
      </c>
      <c r="D223" s="183" t="s">
        <v>1468</v>
      </c>
      <c r="E223" s="20">
        <v>10</v>
      </c>
      <c r="F223" s="20">
        <f t="shared" si="38"/>
        <v>2307.389090909091</v>
      </c>
      <c r="G223" s="19">
        <f t="shared" si="34"/>
        <v>23073.890909090911</v>
      </c>
      <c r="H223" s="19">
        <f t="shared" si="33"/>
        <v>94727.551738181821</v>
      </c>
      <c r="I223" s="114" t="s">
        <v>1521</v>
      </c>
      <c r="J223" s="210">
        <f>VLOOKUP(I223,'Reajuste Atual'!$L$19:$M$25,2,FALSE)</f>
        <v>3.1053999999999999</v>
      </c>
      <c r="K223" s="190"/>
      <c r="L223" s="139"/>
      <c r="M223" s="128" t="e">
        <f>ROUND(#REF!,2)</f>
        <v>#REF!</v>
      </c>
      <c r="N223" s="128" t="e">
        <f>ROUND(#REF!,2)</f>
        <v>#REF!</v>
      </c>
      <c r="O223" s="122" t="e">
        <f t="shared" si="35"/>
        <v>#REF!</v>
      </c>
      <c r="Q223" s="765">
        <v>3172.66</v>
      </c>
      <c r="R223" s="765">
        <f t="shared" si="39"/>
        <v>2266.1857142857143</v>
      </c>
      <c r="S223" s="765">
        <f t="shared" si="37"/>
        <v>2307.389090909091</v>
      </c>
      <c r="T223" s="765">
        <f t="shared" si="36"/>
        <v>2307.389090909091</v>
      </c>
    </row>
    <row r="224" spans="1:20" s="98" customFormat="1" outlineLevel="1">
      <c r="A224" s="141" t="s">
        <v>3483</v>
      </c>
      <c r="B224" s="175" t="s">
        <v>1110</v>
      </c>
      <c r="C224" s="100" t="s">
        <v>2485</v>
      </c>
      <c r="D224" s="183" t="s">
        <v>1468</v>
      </c>
      <c r="E224" s="20">
        <v>3</v>
      </c>
      <c r="F224" s="20">
        <f t="shared" si="38"/>
        <v>6301.8472727272738</v>
      </c>
      <c r="G224" s="19">
        <f t="shared" si="34"/>
        <v>18905.54181818182</v>
      </c>
      <c r="H224" s="19">
        <f t="shared" si="33"/>
        <v>77614.811380363637</v>
      </c>
      <c r="I224" s="114" t="s">
        <v>1521</v>
      </c>
      <c r="J224" s="210">
        <f>VLOOKUP(I224,'Reajuste Atual'!$L$19:$M$25,2,FALSE)</f>
        <v>3.1053999999999999</v>
      </c>
      <c r="K224" s="190"/>
      <c r="L224" s="139"/>
      <c r="M224" s="128" t="e">
        <f>ROUND(#REF!,2)</f>
        <v>#REF!</v>
      </c>
      <c r="N224" s="128" t="e">
        <f>ROUND(#REF!,2)</f>
        <v>#REF!</v>
      </c>
      <c r="O224" s="122" t="e">
        <f t="shared" si="35"/>
        <v>#REF!</v>
      </c>
      <c r="Q224" s="765">
        <v>8665.0400000000009</v>
      </c>
      <c r="R224" s="765">
        <f t="shared" si="39"/>
        <v>6189.3142857142866</v>
      </c>
      <c r="S224" s="765">
        <f t="shared" si="37"/>
        <v>6301.8472727272738</v>
      </c>
      <c r="T224" s="765">
        <f t="shared" si="36"/>
        <v>6301.8472727272738</v>
      </c>
    </row>
    <row r="225" spans="1:31" s="98" customFormat="1" outlineLevel="1">
      <c r="A225" s="141" t="s">
        <v>3483</v>
      </c>
      <c r="B225" s="175" t="s">
        <v>1111</v>
      </c>
      <c r="C225" s="100" t="s">
        <v>2486</v>
      </c>
      <c r="D225" s="183" t="s">
        <v>1468</v>
      </c>
      <c r="E225" s="20">
        <v>1</v>
      </c>
      <c r="F225" s="20">
        <f t="shared" si="38"/>
        <v>9266.1963636363635</v>
      </c>
      <c r="G225" s="19">
        <f t="shared" si="34"/>
        <v>9266.1963636363635</v>
      </c>
      <c r="H225" s="19">
        <f t="shared" si="33"/>
        <v>38041.442551272725</v>
      </c>
      <c r="I225" s="114" t="s">
        <v>1521</v>
      </c>
      <c r="J225" s="210">
        <f>VLOOKUP(I225,'Reajuste Atual'!$L$19:$M$25,2,FALSE)</f>
        <v>3.1053999999999999</v>
      </c>
      <c r="K225" s="190"/>
      <c r="L225" s="139"/>
      <c r="M225" s="128" t="e">
        <f>ROUND(#REF!,2)</f>
        <v>#REF!</v>
      </c>
      <c r="N225" s="128" t="e">
        <f>ROUND(#REF!,2)</f>
        <v>#REF!</v>
      </c>
      <c r="O225" s="122" t="e">
        <f t="shared" si="35"/>
        <v>#REF!</v>
      </c>
      <c r="Q225" s="765">
        <v>12741.02</v>
      </c>
      <c r="R225" s="765">
        <f t="shared" si="39"/>
        <v>9100.7285714285717</v>
      </c>
      <c r="S225" s="765">
        <f t="shared" si="37"/>
        <v>9266.1963636363635</v>
      </c>
      <c r="T225" s="765">
        <f t="shared" si="36"/>
        <v>9266.1963636363635</v>
      </c>
    </row>
    <row r="226" spans="1:31" s="98" customFormat="1" outlineLevel="1">
      <c r="A226" s="141" t="s">
        <v>3483</v>
      </c>
      <c r="B226" s="175" t="s">
        <v>1112</v>
      </c>
      <c r="C226" s="100" t="s">
        <v>2487</v>
      </c>
      <c r="D226" s="183" t="s">
        <v>1468</v>
      </c>
      <c r="E226" s="20">
        <v>7</v>
      </c>
      <c r="F226" s="20">
        <f t="shared" si="38"/>
        <v>3218.64</v>
      </c>
      <c r="G226" s="19">
        <f t="shared" si="34"/>
        <v>22530.48</v>
      </c>
      <c r="H226" s="19">
        <f t="shared" si="33"/>
        <v>92496.63259199998</v>
      </c>
      <c r="I226" s="114" t="s">
        <v>1521</v>
      </c>
      <c r="J226" s="210">
        <f>VLOOKUP(I226,'Reajuste Atual'!$L$19:$M$25,2,FALSE)</f>
        <v>3.1053999999999999</v>
      </c>
      <c r="K226" s="190"/>
      <c r="L226" s="139"/>
      <c r="M226" s="128" t="e">
        <f>ROUND(#REF!,2)</f>
        <v>#REF!</v>
      </c>
      <c r="N226" s="128" t="e">
        <f>ROUND(#REF!,2)</f>
        <v>#REF!</v>
      </c>
      <c r="O226" s="122" t="e">
        <f t="shared" si="35"/>
        <v>#REF!</v>
      </c>
      <c r="Q226" s="765">
        <v>4425.63</v>
      </c>
      <c r="R226" s="765">
        <f t="shared" si="39"/>
        <v>3161.1642857142861</v>
      </c>
      <c r="S226" s="765">
        <f t="shared" si="37"/>
        <v>3218.64</v>
      </c>
      <c r="T226" s="765">
        <f t="shared" si="36"/>
        <v>3218.64</v>
      </c>
    </row>
    <row r="227" spans="1:31" s="98" customFormat="1" outlineLevel="1">
      <c r="A227" s="141" t="s">
        <v>3483</v>
      </c>
      <c r="B227" s="175" t="s">
        <v>1113</v>
      </c>
      <c r="C227" s="100" t="s">
        <v>2488</v>
      </c>
      <c r="D227" s="23" t="s">
        <v>1472</v>
      </c>
      <c r="E227" s="491">
        <v>1980</v>
      </c>
      <c r="F227" s="20">
        <f t="shared" si="38"/>
        <v>15.236363636363636</v>
      </c>
      <c r="G227" s="19">
        <f t="shared" si="34"/>
        <v>30168</v>
      </c>
      <c r="H227" s="19">
        <f t="shared" si="33"/>
        <v>123851.70719999999</v>
      </c>
      <c r="I227" s="114" t="s">
        <v>1521</v>
      </c>
      <c r="J227" s="210">
        <f>VLOOKUP(I227,'Reajuste Atual'!$L$19:$M$25,2,FALSE)</f>
        <v>3.1053999999999999</v>
      </c>
      <c r="K227" s="190"/>
      <c r="L227" s="139"/>
      <c r="M227" s="128" t="e">
        <f>ROUND(#REF!,2)</f>
        <v>#REF!</v>
      </c>
      <c r="N227" s="128" t="e">
        <f>ROUND(#REF!,2)</f>
        <v>#REF!</v>
      </c>
      <c r="O227" s="122" t="e">
        <f t="shared" si="35"/>
        <v>#REF!</v>
      </c>
      <c r="Q227" s="765">
        <v>20.95</v>
      </c>
      <c r="R227" s="765">
        <f t="shared" si="39"/>
        <v>14.964285714285715</v>
      </c>
      <c r="S227" s="765">
        <f t="shared" si="37"/>
        <v>15.236363636363636</v>
      </c>
      <c r="T227" s="765">
        <f t="shared" si="36"/>
        <v>15.236363636363636</v>
      </c>
    </row>
    <row r="228" spans="1:31" s="98" customFormat="1" outlineLevel="1">
      <c r="A228" s="141" t="s">
        <v>3483</v>
      </c>
      <c r="B228" s="175" t="s">
        <v>1114</v>
      </c>
      <c r="C228" s="100" t="s">
        <v>2489</v>
      </c>
      <c r="D228" s="183" t="s">
        <v>1468</v>
      </c>
      <c r="E228" s="20">
        <v>1</v>
      </c>
      <c r="F228" s="20">
        <f t="shared" si="38"/>
        <v>827.65090909090907</v>
      </c>
      <c r="G228" s="19">
        <f t="shared" si="34"/>
        <v>827.65090909090907</v>
      </c>
      <c r="H228" s="19">
        <f t="shared" si="33"/>
        <v>3397.8380421818179</v>
      </c>
      <c r="I228" s="114" t="s">
        <v>1521</v>
      </c>
      <c r="J228" s="210">
        <f>VLOOKUP(I228,'Reajuste Atual'!$L$19:$M$25,2,FALSE)</f>
        <v>3.1053999999999999</v>
      </c>
      <c r="K228" s="190"/>
      <c r="L228" s="139"/>
      <c r="M228" s="128" t="e">
        <f>ROUND(#REF!,2)</f>
        <v>#REF!</v>
      </c>
      <c r="N228" s="128" t="e">
        <f>ROUND(#REF!,2)</f>
        <v>#REF!</v>
      </c>
      <c r="O228" s="122" t="e">
        <f t="shared" si="35"/>
        <v>#REF!</v>
      </c>
      <c r="Q228" s="765">
        <v>1138.02</v>
      </c>
      <c r="R228" s="765">
        <f t="shared" si="39"/>
        <v>812.87142857142862</v>
      </c>
      <c r="S228" s="765">
        <f t="shared" si="37"/>
        <v>827.65090909090907</v>
      </c>
      <c r="T228" s="765">
        <f t="shared" si="36"/>
        <v>827.65090909090907</v>
      </c>
    </row>
    <row r="229" spans="1:31" s="98" customFormat="1" outlineLevel="1">
      <c r="A229" s="141" t="s">
        <v>3483</v>
      </c>
      <c r="B229" s="175" t="s">
        <v>1115</v>
      </c>
      <c r="C229" s="100" t="s">
        <v>2490</v>
      </c>
      <c r="D229" s="23" t="s">
        <v>1472</v>
      </c>
      <c r="E229" s="491">
        <v>296</v>
      </c>
      <c r="F229" s="20">
        <f t="shared" si="38"/>
        <v>29.876363636363635</v>
      </c>
      <c r="G229" s="19">
        <f t="shared" si="34"/>
        <v>8843.4036363636369</v>
      </c>
      <c r="H229" s="19">
        <f t="shared" si="33"/>
        <v>36305.709288727274</v>
      </c>
      <c r="I229" s="114" t="s">
        <v>1521</v>
      </c>
      <c r="J229" s="210">
        <f>VLOOKUP(I229,'Reajuste Atual'!$L$19:$M$25,2,FALSE)</f>
        <v>3.1053999999999999</v>
      </c>
      <c r="K229" s="190"/>
      <c r="L229" s="139"/>
      <c r="M229" s="128" t="e">
        <f>ROUND(#REF!,2)</f>
        <v>#REF!</v>
      </c>
      <c r="N229" s="128" t="e">
        <f>ROUND(#REF!,2)</f>
        <v>#REF!</v>
      </c>
      <c r="O229" s="122" t="e">
        <f t="shared" si="35"/>
        <v>#REF!</v>
      </c>
      <c r="Q229" s="765">
        <v>41.08</v>
      </c>
      <c r="R229" s="765">
        <f t="shared" si="39"/>
        <v>29.342857142857145</v>
      </c>
      <c r="S229" s="765">
        <f t="shared" si="37"/>
        <v>29.876363636363635</v>
      </c>
      <c r="T229" s="765">
        <f t="shared" si="36"/>
        <v>29.876363636363635</v>
      </c>
    </row>
    <row r="230" spans="1:31" s="98" customFormat="1" outlineLevel="1">
      <c r="A230" s="141" t="s">
        <v>3483</v>
      </c>
      <c r="B230" s="175" t="s">
        <v>1116</v>
      </c>
      <c r="C230" s="100" t="s">
        <v>2491</v>
      </c>
      <c r="D230" s="183" t="s">
        <v>1468</v>
      </c>
      <c r="E230" s="491">
        <v>1</v>
      </c>
      <c r="F230" s="20">
        <f t="shared" si="38"/>
        <v>128.74181818181819</v>
      </c>
      <c r="G230" s="19">
        <f t="shared" si="34"/>
        <v>128.74181818181819</v>
      </c>
      <c r="H230" s="19">
        <f t="shared" si="33"/>
        <v>528.53666036363632</v>
      </c>
      <c r="I230" s="114" t="s">
        <v>1521</v>
      </c>
      <c r="J230" s="210">
        <f>VLOOKUP(I230,'Reajuste Atual'!$L$19:$M$25,2,FALSE)</f>
        <v>3.1053999999999999</v>
      </c>
      <c r="K230" s="190"/>
      <c r="L230" s="139"/>
      <c r="M230" s="128" t="e">
        <f>ROUND(#REF!,2)</f>
        <v>#REF!</v>
      </c>
      <c r="N230" s="128" t="e">
        <f>ROUND(#REF!,2)</f>
        <v>#REF!</v>
      </c>
      <c r="O230" s="122" t="e">
        <f t="shared" si="35"/>
        <v>#REF!</v>
      </c>
      <c r="Q230" s="765">
        <v>177.02</v>
      </c>
      <c r="R230" s="765">
        <f t="shared" si="39"/>
        <v>126.44285714285716</v>
      </c>
      <c r="S230" s="765">
        <f t="shared" si="37"/>
        <v>128.74181818181819</v>
      </c>
      <c r="T230" s="765">
        <f t="shared" si="36"/>
        <v>128.74181818181819</v>
      </c>
    </row>
    <row r="231" spans="1:31" s="98" customFormat="1" outlineLevel="1">
      <c r="A231" s="141" t="s">
        <v>3483</v>
      </c>
      <c r="B231" s="175" t="s">
        <v>1117</v>
      </c>
      <c r="C231" s="100" t="s">
        <v>2492</v>
      </c>
      <c r="D231" s="183" t="s">
        <v>1468</v>
      </c>
      <c r="E231" s="491">
        <v>9</v>
      </c>
      <c r="F231" s="20">
        <f t="shared" si="38"/>
        <v>199.53454545454545</v>
      </c>
      <c r="G231" s="19">
        <f t="shared" si="34"/>
        <v>1795.810909090909</v>
      </c>
      <c r="H231" s="19">
        <f t="shared" si="33"/>
        <v>7372.5221061818174</v>
      </c>
      <c r="I231" s="114" t="s">
        <v>1521</v>
      </c>
      <c r="J231" s="210">
        <f>VLOOKUP(I231,'Reajuste Atual'!$L$19:$M$25,2,FALSE)</f>
        <v>3.1053999999999999</v>
      </c>
      <c r="K231" s="190"/>
      <c r="L231" s="139"/>
      <c r="M231" s="128" t="e">
        <f>ROUND(#REF!,2)</f>
        <v>#REF!</v>
      </c>
      <c r="N231" s="128" t="e">
        <f>ROUND(#REF!,2)</f>
        <v>#REF!</v>
      </c>
      <c r="O231" s="122" t="e">
        <f t="shared" si="35"/>
        <v>#REF!</v>
      </c>
      <c r="Q231" s="765">
        <v>274.36</v>
      </c>
      <c r="R231" s="765">
        <f t="shared" si="39"/>
        <v>195.97142857142859</v>
      </c>
      <c r="S231" s="765">
        <f t="shared" si="37"/>
        <v>199.53454545454545</v>
      </c>
      <c r="T231" s="765">
        <f t="shared" si="36"/>
        <v>199.53454545454545</v>
      </c>
    </row>
    <row r="232" spans="1:31" s="98" customFormat="1" outlineLevel="1">
      <c r="A232" s="141" t="s">
        <v>3483</v>
      </c>
      <c r="B232" s="175" t="s">
        <v>1118</v>
      </c>
      <c r="C232" s="100" t="s">
        <v>2493</v>
      </c>
      <c r="D232" s="183" t="s">
        <v>1468</v>
      </c>
      <c r="E232" s="491">
        <v>1</v>
      </c>
      <c r="F232" s="20">
        <f t="shared" si="38"/>
        <v>212.4</v>
      </c>
      <c r="G232" s="19">
        <f t="shared" si="34"/>
        <v>212.4</v>
      </c>
      <c r="H232" s="19">
        <f t="shared" si="33"/>
        <v>871.98695999999995</v>
      </c>
      <c r="I232" s="114" t="s">
        <v>1521</v>
      </c>
      <c r="J232" s="210">
        <f>VLOOKUP(I232,'Reajuste Atual'!$L$19:$M$25,2,FALSE)</f>
        <v>3.1053999999999999</v>
      </c>
      <c r="K232" s="190"/>
      <c r="L232" s="139"/>
      <c r="M232" s="128" t="e">
        <f>ROUND(#REF!,2)</f>
        <v>#REF!</v>
      </c>
      <c r="N232" s="128" t="e">
        <f>ROUND(#REF!,2)</f>
        <v>#REF!</v>
      </c>
      <c r="O232" s="122" t="e">
        <f t="shared" si="35"/>
        <v>#REF!</v>
      </c>
      <c r="Q232" s="765">
        <v>292.05</v>
      </c>
      <c r="R232" s="765">
        <f t="shared" si="39"/>
        <v>208.60714285714289</v>
      </c>
      <c r="S232" s="765">
        <f t="shared" si="37"/>
        <v>212.4</v>
      </c>
      <c r="T232" s="765">
        <f t="shared" si="36"/>
        <v>212.4</v>
      </c>
    </row>
    <row r="233" spans="1:31" s="98" customFormat="1" outlineLevel="1">
      <c r="A233" s="141" t="s">
        <v>3483</v>
      </c>
      <c r="B233" s="175" t="s">
        <v>1119</v>
      </c>
      <c r="C233" s="100" t="s">
        <v>2494</v>
      </c>
      <c r="D233" s="183" t="s">
        <v>1468</v>
      </c>
      <c r="E233" s="491">
        <v>9</v>
      </c>
      <c r="F233" s="20">
        <f t="shared" si="38"/>
        <v>270.87272727272727</v>
      </c>
      <c r="G233" s="19">
        <f t="shared" si="34"/>
        <v>2437.8545454545456</v>
      </c>
      <c r="H233" s="19">
        <f t="shared" si="33"/>
        <v>10008.36805090909</v>
      </c>
      <c r="I233" s="114" t="s">
        <v>1521</v>
      </c>
      <c r="J233" s="210">
        <f>VLOOKUP(I233,'Reajuste Atual'!$L$19:$M$25,2,FALSE)</f>
        <v>3.1053999999999999</v>
      </c>
      <c r="K233" s="190"/>
      <c r="L233" s="139"/>
      <c r="M233" s="128" t="e">
        <f>ROUND(#REF!,2)</f>
        <v>#REF!</v>
      </c>
      <c r="N233" s="128" t="e">
        <f>ROUND(#REF!,2)</f>
        <v>#REF!</v>
      </c>
      <c r="O233" s="122" t="e">
        <f t="shared" si="35"/>
        <v>#REF!</v>
      </c>
      <c r="Q233" s="765">
        <v>372.45</v>
      </c>
      <c r="R233" s="765">
        <f t="shared" si="39"/>
        <v>266.03571428571428</v>
      </c>
      <c r="S233" s="765">
        <f t="shared" si="37"/>
        <v>270.87272727272727</v>
      </c>
      <c r="T233" s="765">
        <f t="shared" si="36"/>
        <v>270.87272727272727</v>
      </c>
    </row>
    <row r="234" spans="1:31" s="98" customFormat="1" outlineLevel="1">
      <c r="A234" s="141" t="s">
        <v>3483</v>
      </c>
      <c r="B234" s="175" t="s">
        <v>1120</v>
      </c>
      <c r="C234" s="100" t="s">
        <v>2495</v>
      </c>
      <c r="D234" s="183" t="s">
        <v>1468</v>
      </c>
      <c r="E234" s="491">
        <v>10</v>
      </c>
      <c r="F234" s="20">
        <f t="shared" si="38"/>
        <v>356.13818181818181</v>
      </c>
      <c r="G234" s="19">
        <f t="shared" si="34"/>
        <v>3561.3818181818178</v>
      </c>
      <c r="H234" s="19">
        <f t="shared" si="33"/>
        <v>14620.896916363634</v>
      </c>
      <c r="I234" s="114" t="s">
        <v>1521</v>
      </c>
      <c r="J234" s="210">
        <f>VLOOKUP(I234,'Reajuste Atual'!$L$19:$M$25,2,FALSE)</f>
        <v>3.1053999999999999</v>
      </c>
      <c r="K234" s="190"/>
      <c r="L234" s="139"/>
      <c r="M234" s="128" t="e">
        <f>ROUND(#REF!,2)</f>
        <v>#REF!</v>
      </c>
      <c r="N234" s="128" t="e">
        <f>ROUND(#REF!,2)</f>
        <v>#REF!</v>
      </c>
      <c r="O234" s="122" t="e">
        <f t="shared" si="35"/>
        <v>#REF!</v>
      </c>
      <c r="Q234" s="765">
        <v>489.69</v>
      </c>
      <c r="R234" s="765">
        <f t="shared" si="39"/>
        <v>349.77857142857147</v>
      </c>
      <c r="S234" s="765">
        <f t="shared" si="37"/>
        <v>356.13818181818181</v>
      </c>
      <c r="T234" s="765">
        <f t="shared" si="36"/>
        <v>356.13818181818181</v>
      </c>
    </row>
    <row r="235" spans="1:31" s="98" customFormat="1" outlineLevel="1">
      <c r="A235" s="141" t="s">
        <v>3483</v>
      </c>
      <c r="B235" s="175" t="s">
        <v>1121</v>
      </c>
      <c r="C235" s="100" t="s">
        <v>2496</v>
      </c>
      <c r="D235" s="183" t="s">
        <v>1468</v>
      </c>
      <c r="E235" s="491">
        <v>11</v>
      </c>
      <c r="F235" s="20">
        <f t="shared" si="38"/>
        <v>476.5236363636364</v>
      </c>
      <c r="G235" s="19">
        <f t="shared" si="34"/>
        <v>5241.76</v>
      </c>
      <c r="H235" s="19">
        <f t="shared" ref="H235:H265" si="40">G235*(1+J235)</f>
        <v>21519.521503999997</v>
      </c>
      <c r="I235" s="114" t="s">
        <v>1521</v>
      </c>
      <c r="J235" s="210">
        <f>VLOOKUP(I235,'Reajuste Atual'!$L$19:$M$25,2,FALSE)</f>
        <v>3.1053999999999999</v>
      </c>
      <c r="K235" s="190"/>
      <c r="L235" s="139"/>
      <c r="M235" s="128" t="e">
        <f>ROUND(#REF!,2)</f>
        <v>#REF!</v>
      </c>
      <c r="N235" s="128" t="e">
        <f>ROUND(#REF!,2)</f>
        <v>#REF!</v>
      </c>
      <c r="O235" s="122" t="e">
        <f t="shared" si="35"/>
        <v>#REF!</v>
      </c>
      <c r="Q235" s="765">
        <v>655.22</v>
      </c>
      <c r="R235" s="765">
        <f t="shared" si="39"/>
        <v>468.01428571428579</v>
      </c>
      <c r="S235" s="765">
        <f t="shared" si="37"/>
        <v>476.5236363636364</v>
      </c>
      <c r="T235" s="765">
        <f t="shared" si="36"/>
        <v>476.5236363636364</v>
      </c>
    </row>
    <row r="236" spans="1:31" s="98" customFormat="1" outlineLevel="1">
      <c r="A236" s="141" t="s">
        <v>3483</v>
      </c>
      <c r="B236" s="175" t="s">
        <v>1122</v>
      </c>
      <c r="C236" s="100" t="s">
        <v>2497</v>
      </c>
      <c r="D236" s="183" t="s">
        <v>1468</v>
      </c>
      <c r="E236" s="491">
        <v>2</v>
      </c>
      <c r="F236" s="20">
        <f t="shared" si="38"/>
        <v>662.11636363636364</v>
      </c>
      <c r="G236" s="19">
        <f t="shared" si="34"/>
        <v>1324.2327272727273</v>
      </c>
      <c r="H236" s="19">
        <f t="shared" si="40"/>
        <v>5436.5050385454542</v>
      </c>
      <c r="I236" s="114" t="s">
        <v>1521</v>
      </c>
      <c r="J236" s="210">
        <f>VLOOKUP(I236,'Reajuste Atual'!$L$19:$M$25,2,FALSE)</f>
        <v>3.1053999999999999</v>
      </c>
      <c r="K236" s="190"/>
      <c r="L236" s="139"/>
      <c r="M236" s="128" t="e">
        <f>ROUND(#REF!,2)</f>
        <v>#REF!</v>
      </c>
      <c r="N236" s="128" t="e">
        <f>ROUND(#REF!,2)</f>
        <v>#REF!</v>
      </c>
      <c r="O236" s="122" t="e">
        <f t="shared" si="35"/>
        <v>#REF!</v>
      </c>
      <c r="Q236" s="765">
        <v>910.41</v>
      </c>
      <c r="R236" s="765">
        <f t="shared" si="39"/>
        <v>650.2928571428572</v>
      </c>
      <c r="S236" s="765">
        <f t="shared" si="37"/>
        <v>662.11636363636364</v>
      </c>
      <c r="T236" s="765">
        <f t="shared" si="36"/>
        <v>662.11636363636364</v>
      </c>
    </row>
    <row r="237" spans="1:31" s="98" customFormat="1" outlineLevel="1">
      <c r="A237" s="141" t="s">
        <v>3483</v>
      </c>
      <c r="B237" s="175" t="s">
        <v>1123</v>
      </c>
      <c r="C237" s="100" t="s">
        <v>2498</v>
      </c>
      <c r="D237" s="183" t="s">
        <v>1468</v>
      </c>
      <c r="E237" s="491">
        <v>2</v>
      </c>
      <c r="F237" s="20">
        <f t="shared" si="38"/>
        <v>892.85818181818183</v>
      </c>
      <c r="G237" s="19">
        <f t="shared" si="34"/>
        <v>1785.7163636363637</v>
      </c>
      <c r="H237" s="19">
        <f t="shared" si="40"/>
        <v>7331.0799592727262</v>
      </c>
      <c r="I237" s="114" t="s">
        <v>1521</v>
      </c>
      <c r="J237" s="210">
        <f>VLOOKUP(I237,'Reajuste Atual'!$L$19:$M$25,2,FALSE)</f>
        <v>3.1053999999999999</v>
      </c>
      <c r="K237" s="190"/>
      <c r="L237" s="139"/>
      <c r="M237" s="128" t="e">
        <f>ROUND(#REF!,2)</f>
        <v>#REF!</v>
      </c>
      <c r="N237" s="128" t="e">
        <f>ROUND(#REF!,2)</f>
        <v>#REF!</v>
      </c>
      <c r="O237" s="122" t="e">
        <f t="shared" si="35"/>
        <v>#REF!</v>
      </c>
      <c r="Q237" s="765">
        <v>1227.68</v>
      </c>
      <c r="R237" s="765">
        <f t="shared" si="39"/>
        <v>876.91428571428582</v>
      </c>
      <c r="S237" s="765">
        <f t="shared" si="37"/>
        <v>892.85818181818183</v>
      </c>
      <c r="T237" s="765">
        <f t="shared" si="36"/>
        <v>892.85818181818183</v>
      </c>
    </row>
    <row r="238" spans="1:31" s="98" customFormat="1" outlineLevel="1">
      <c r="A238" s="141" t="s">
        <v>3483</v>
      </c>
      <c r="B238" s="175" t="s">
        <v>1124</v>
      </c>
      <c r="C238" s="100" t="s">
        <v>2499</v>
      </c>
      <c r="D238" s="183" t="s">
        <v>1468</v>
      </c>
      <c r="E238" s="491">
        <v>2</v>
      </c>
      <c r="F238" s="20">
        <f t="shared" si="38"/>
        <v>698.90909090909088</v>
      </c>
      <c r="G238" s="19">
        <f t="shared" si="34"/>
        <v>1397.8181818181818</v>
      </c>
      <c r="H238" s="19">
        <f t="shared" si="40"/>
        <v>5738.6027636363624</v>
      </c>
      <c r="I238" s="114" t="s">
        <v>1521</v>
      </c>
      <c r="J238" s="210">
        <f>VLOOKUP(I238,'Reajuste Atual'!$L$19:$M$25,2,FALSE)</f>
        <v>3.1053999999999999</v>
      </c>
      <c r="K238" s="190"/>
      <c r="L238" s="139"/>
      <c r="M238" s="128" t="e">
        <f>ROUND(#REF!,2)</f>
        <v>#REF!</v>
      </c>
      <c r="N238" s="128" t="e">
        <f>ROUND(#REF!,2)</f>
        <v>#REF!</v>
      </c>
      <c r="O238" s="122" t="e">
        <f t="shared" si="35"/>
        <v>#REF!</v>
      </c>
      <c r="Q238" s="765">
        <v>961</v>
      </c>
      <c r="R238" s="765">
        <f t="shared" si="39"/>
        <v>686.42857142857144</v>
      </c>
      <c r="S238" s="765">
        <f t="shared" si="37"/>
        <v>698.90909090909088</v>
      </c>
      <c r="T238" s="765">
        <f t="shared" si="36"/>
        <v>698.90909090909088</v>
      </c>
    </row>
    <row r="239" spans="1:31" s="98" customFormat="1" outlineLevel="1">
      <c r="A239" s="141" t="s">
        <v>3483</v>
      </c>
      <c r="B239" s="175" t="s">
        <v>1125</v>
      </c>
      <c r="C239" s="100" t="s">
        <v>2500</v>
      </c>
      <c r="D239" s="183" t="s">
        <v>1468</v>
      </c>
      <c r="E239" s="491">
        <v>3</v>
      </c>
      <c r="F239" s="20">
        <f t="shared" si="38"/>
        <v>2069.9709090909091</v>
      </c>
      <c r="G239" s="19">
        <f t="shared" si="34"/>
        <v>6209.9127272727274</v>
      </c>
      <c r="H239" s="19">
        <f t="shared" si="40"/>
        <v>25494.175710545453</v>
      </c>
      <c r="I239" s="114" t="s">
        <v>1521</v>
      </c>
      <c r="J239" s="210">
        <f>VLOOKUP(I239,'Reajuste Atual'!$L$19:$M$25,2,FALSE)</f>
        <v>3.1053999999999999</v>
      </c>
      <c r="K239" s="190"/>
      <c r="L239" s="139"/>
      <c r="M239" s="128" t="e">
        <f>ROUND(#REF!,2)</f>
        <v>#REF!</v>
      </c>
      <c r="N239" s="128" t="e">
        <f>ROUND(#REF!,2)</f>
        <v>#REF!</v>
      </c>
      <c r="O239" s="122" t="e">
        <f t="shared" si="35"/>
        <v>#REF!</v>
      </c>
      <c r="Q239" s="765">
        <v>2846.21</v>
      </c>
      <c r="R239" s="765">
        <f t="shared" si="39"/>
        <v>2033.007142857143</v>
      </c>
      <c r="S239" s="765">
        <f t="shared" si="37"/>
        <v>2069.9709090909091</v>
      </c>
      <c r="T239" s="765">
        <f t="shared" si="36"/>
        <v>2069.9709090909091</v>
      </c>
    </row>
    <row r="240" spans="1:31" s="98" customFormat="1" outlineLevel="1">
      <c r="A240" s="141" t="s">
        <v>3483</v>
      </c>
      <c r="B240" s="175" t="s">
        <v>1126</v>
      </c>
      <c r="C240" s="100" t="s">
        <v>2501</v>
      </c>
      <c r="D240" s="183" t="s">
        <v>1468</v>
      </c>
      <c r="E240" s="491">
        <v>2</v>
      </c>
      <c r="F240" s="20">
        <f t="shared" si="38"/>
        <v>2427.7672727272725</v>
      </c>
      <c r="G240" s="19">
        <f t="shared" si="34"/>
        <v>4855.534545454545</v>
      </c>
      <c r="H240" s="19">
        <f t="shared" si="40"/>
        <v>19933.911522909086</v>
      </c>
      <c r="I240" s="114" t="s">
        <v>1521</v>
      </c>
      <c r="J240" s="210">
        <f>VLOOKUP(I240,'Reajuste Atual'!$L$19:$M$25,2,FALSE)</f>
        <v>3.1053999999999999</v>
      </c>
      <c r="K240" s="190"/>
      <c r="L240" s="139"/>
      <c r="M240" s="128" t="e">
        <f>ROUND(#REF!,2)</f>
        <v>#REF!</v>
      </c>
      <c r="N240" s="128" t="e">
        <f>ROUND(#REF!,2)</f>
        <v>#REF!</v>
      </c>
      <c r="O240" s="122" t="e">
        <f t="shared" si="35"/>
        <v>#REF!</v>
      </c>
      <c r="Q240" s="765">
        <v>3338.18</v>
      </c>
      <c r="R240" s="765">
        <f t="shared" si="39"/>
        <v>2384.4142857142856</v>
      </c>
      <c r="S240" s="765">
        <f t="shared" si="37"/>
        <v>2427.7672727272725</v>
      </c>
      <c r="T240" s="765">
        <f t="shared" si="36"/>
        <v>2427.7672727272725</v>
      </c>
      <c r="W240" s="98" t="s">
        <v>3603</v>
      </c>
      <c r="Z240" s="806" t="s">
        <v>3604</v>
      </c>
      <c r="AA240" s="806" t="s">
        <v>3605</v>
      </c>
      <c r="AE240" s="98">
        <v>1.1528</v>
      </c>
    </row>
    <row r="241" spans="1:31" s="98" customFormat="1" outlineLevel="1">
      <c r="A241" s="141" t="s">
        <v>3483</v>
      </c>
      <c r="B241" s="175" t="s">
        <v>1127</v>
      </c>
      <c r="C241" s="100" t="s">
        <v>2502</v>
      </c>
      <c r="D241" s="23" t="s">
        <v>1472</v>
      </c>
      <c r="E241" s="491">
        <v>14763</v>
      </c>
      <c r="F241" s="20">
        <f>T241</f>
        <v>82.63272727272728</v>
      </c>
      <c r="G241" s="19">
        <f t="shared" si="34"/>
        <v>1219906.9527272729</v>
      </c>
      <c r="H241" s="19">
        <f t="shared" si="40"/>
        <v>5008206.0037265457</v>
      </c>
      <c r="I241" s="114" t="s">
        <v>1521</v>
      </c>
      <c r="J241" s="210">
        <f>VLOOKUP(I241,'Reajuste Atual'!$L$19:$M$25,2,FALSE)</f>
        <v>3.1053999999999999</v>
      </c>
      <c r="K241" s="190"/>
      <c r="L241" s="139"/>
      <c r="M241" s="128" t="e">
        <f>ROUND(#REF!,2)</f>
        <v>#REF!</v>
      </c>
      <c r="N241" s="128" t="e">
        <f>ROUND(#REF!,2)</f>
        <v>#REF!</v>
      </c>
      <c r="O241" s="122" t="e">
        <f t="shared" si="35"/>
        <v>#REF!</v>
      </c>
      <c r="P241" s="809">
        <f>F241*(1+J241)</f>
        <v>339.24039854545452</v>
      </c>
      <c r="Q241" s="765">
        <v>113.62</v>
      </c>
      <c r="R241" s="765">
        <f t="shared" si="39"/>
        <v>81.157142857142873</v>
      </c>
      <c r="S241" s="765">
        <f t="shared" si="37"/>
        <v>82.63272727272728</v>
      </c>
      <c r="T241" s="765">
        <f t="shared" si="36"/>
        <v>82.63272727272728</v>
      </c>
      <c r="W241" s="807" t="s">
        <v>3606</v>
      </c>
      <c r="X241" s="807" t="s">
        <v>3607</v>
      </c>
      <c r="Y241" s="807" t="s">
        <v>3608</v>
      </c>
      <c r="Z241" s="807">
        <v>435.06</v>
      </c>
      <c r="AA241" s="808">
        <f>Z241/(J240+1)</f>
        <v>105.97262142543968</v>
      </c>
      <c r="AC241" s="98">
        <f>T241*(1+J241)</f>
        <v>339.24039854545452</v>
      </c>
      <c r="AE241" s="98">
        <f>AC241*$AE$240</f>
        <v>391.07633144319999</v>
      </c>
    </row>
    <row r="242" spans="1:31" s="98" customFormat="1" outlineLevel="1">
      <c r="A242" s="141" t="s">
        <v>3483</v>
      </c>
      <c r="B242" s="175" t="s">
        <v>1128</v>
      </c>
      <c r="C242" s="100" t="s">
        <v>2503</v>
      </c>
      <c r="D242" s="23" t="s">
        <v>1472</v>
      </c>
      <c r="E242" s="491">
        <v>10233</v>
      </c>
      <c r="F242" s="20">
        <f t="shared" ref="F242:F252" si="41">T242</f>
        <v>111.54909090909091</v>
      </c>
      <c r="G242" s="19">
        <f t="shared" si="34"/>
        <v>1141481.8472727272</v>
      </c>
      <c r="H242" s="19">
        <f t="shared" si="40"/>
        <v>4686239.5757934535</v>
      </c>
      <c r="I242" s="114" t="s">
        <v>1521</v>
      </c>
      <c r="J242" s="210">
        <f>VLOOKUP(I242,'Reajuste Atual'!$L$19:$M$25,2,FALSE)</f>
        <v>3.1053999999999999</v>
      </c>
      <c r="K242" s="190"/>
      <c r="L242" s="139"/>
      <c r="M242" s="128" t="e">
        <f>ROUND(#REF!,2)</f>
        <v>#REF!</v>
      </c>
      <c r="N242" s="128" t="e">
        <f>ROUND(#REF!,2)</f>
        <v>#REF!</v>
      </c>
      <c r="O242" s="122" t="e">
        <f t="shared" si="35"/>
        <v>#REF!</v>
      </c>
      <c r="P242" s="809">
        <f>F242*(1+J242)</f>
        <v>457.95363781818173</v>
      </c>
      <c r="Q242" s="765">
        <v>153.38</v>
      </c>
      <c r="R242" s="765">
        <f t="shared" si="39"/>
        <v>109.55714285714286</v>
      </c>
      <c r="S242" s="765">
        <f t="shared" si="37"/>
        <v>111.54909090909091</v>
      </c>
      <c r="T242" s="765">
        <f t="shared" si="36"/>
        <v>111.54909090909091</v>
      </c>
      <c r="W242" s="807" t="s">
        <v>3609</v>
      </c>
      <c r="X242" s="807" t="s">
        <v>3610</v>
      </c>
      <c r="Y242" s="807" t="s">
        <v>3608</v>
      </c>
      <c r="Z242" s="807">
        <v>564.70000000000005</v>
      </c>
      <c r="AA242" s="808">
        <f t="shared" ref="AA242:AA253" si="42">Z242/(J241+1)</f>
        <v>137.55054318702199</v>
      </c>
      <c r="AC242" s="98">
        <f t="shared" ref="AC242:AC253" si="43">T242*(1+J242)</f>
        <v>457.95363781818173</v>
      </c>
      <c r="AE242" s="98">
        <f t="shared" ref="AE242:AE253" si="44">AC242*$AE$240</f>
        <v>527.92895367679989</v>
      </c>
    </row>
    <row r="243" spans="1:31" s="98" customFormat="1" outlineLevel="1">
      <c r="A243" s="141" t="s">
        <v>3483</v>
      </c>
      <c r="B243" s="175" t="s">
        <v>1129</v>
      </c>
      <c r="C243" s="100" t="s">
        <v>1715</v>
      </c>
      <c r="D243" s="23" t="s">
        <v>1472</v>
      </c>
      <c r="E243" s="491">
        <v>10279</v>
      </c>
      <c r="F243" s="20">
        <f t="shared" si="41"/>
        <v>142.83636363636364</v>
      </c>
      <c r="G243" s="19">
        <f t="shared" si="34"/>
        <v>1468214.9818181819</v>
      </c>
      <c r="H243" s="19">
        <f t="shared" si="40"/>
        <v>6027609.7863563634</v>
      </c>
      <c r="I243" s="114" t="s">
        <v>1521</v>
      </c>
      <c r="J243" s="210">
        <f>VLOOKUP(I243,'Reajuste Atual'!$L$19:$M$25,2,FALSE)</f>
        <v>3.1053999999999999</v>
      </c>
      <c r="K243" s="190"/>
      <c r="L243" s="139"/>
      <c r="M243" s="128" t="e">
        <f>ROUND(#REF!,2)</f>
        <v>#REF!</v>
      </c>
      <c r="N243" s="128" t="e">
        <f>ROUND(#REF!,2)</f>
        <v>#REF!</v>
      </c>
      <c r="O243" s="122" t="e">
        <f t="shared" si="35"/>
        <v>#REF!</v>
      </c>
      <c r="P243" s="809"/>
      <c r="Q243" s="765">
        <v>196.4</v>
      </c>
      <c r="R243" s="765">
        <f t="shared" si="39"/>
        <v>140.28571428571431</v>
      </c>
      <c r="S243" s="765">
        <f t="shared" si="37"/>
        <v>142.83636363636364</v>
      </c>
      <c r="T243" s="765">
        <f t="shared" si="36"/>
        <v>142.83636363636364</v>
      </c>
      <c r="W243" s="810" t="s">
        <v>3611</v>
      </c>
      <c r="X243" s="811" t="s">
        <v>3612</v>
      </c>
      <c r="Y243" s="812" t="s">
        <v>3608</v>
      </c>
      <c r="Z243" s="807">
        <v>708.58</v>
      </c>
      <c r="AA243" s="808">
        <f t="shared" si="42"/>
        <v>172.59706727724463</v>
      </c>
      <c r="AC243" s="98">
        <f t="shared" si="43"/>
        <v>586.40040727272719</v>
      </c>
      <c r="AE243" s="98">
        <f t="shared" si="44"/>
        <v>676.00238950399989</v>
      </c>
    </row>
    <row r="244" spans="1:31" s="98" customFormat="1" outlineLevel="1">
      <c r="A244" s="141" t="s">
        <v>3483</v>
      </c>
      <c r="B244" s="175" t="s">
        <v>1130</v>
      </c>
      <c r="C244" s="100" t="s">
        <v>2504</v>
      </c>
      <c r="D244" s="23" t="s">
        <v>1472</v>
      </c>
      <c r="E244" s="491">
        <v>6267</v>
      </c>
      <c r="F244" s="20">
        <f t="shared" si="41"/>
        <v>146.63272727272727</v>
      </c>
      <c r="G244" s="19">
        <f t="shared" si="34"/>
        <v>918947.30181818176</v>
      </c>
      <c r="H244" s="19">
        <f t="shared" si="40"/>
        <v>3772646.2528843628</v>
      </c>
      <c r="I244" s="114" t="s">
        <v>1521</v>
      </c>
      <c r="J244" s="210">
        <f>VLOOKUP(I244,'Reajuste Atual'!$L$19:$M$25,2,FALSE)</f>
        <v>3.1053999999999999</v>
      </c>
      <c r="K244" s="190"/>
      <c r="L244" s="139"/>
      <c r="M244" s="128" t="e">
        <f>ROUND(#REF!,2)</f>
        <v>#REF!</v>
      </c>
      <c r="N244" s="128" t="e">
        <f>ROUND(#REF!,2)</f>
        <v>#REF!</v>
      </c>
      <c r="O244" s="122" t="e">
        <f t="shared" si="35"/>
        <v>#REF!</v>
      </c>
      <c r="P244" s="809"/>
      <c r="Q244" s="765">
        <v>201.62</v>
      </c>
      <c r="R244" s="765">
        <f t="shared" si="39"/>
        <v>144.01428571428573</v>
      </c>
      <c r="S244" s="765">
        <f t="shared" si="37"/>
        <v>146.63272727272727</v>
      </c>
      <c r="T244" s="765">
        <f t="shared" si="36"/>
        <v>146.63272727272727</v>
      </c>
      <c r="W244" s="810" t="s">
        <v>3613</v>
      </c>
      <c r="X244" s="811" t="s">
        <v>3614</v>
      </c>
      <c r="Y244" s="812" t="s">
        <v>3608</v>
      </c>
      <c r="Z244" s="807">
        <v>853.32</v>
      </c>
      <c r="AA244" s="808">
        <f t="shared" si="42"/>
        <v>207.85307156428124</v>
      </c>
      <c r="AC244" s="98">
        <f t="shared" si="43"/>
        <v>601.98599854545444</v>
      </c>
      <c r="AE244" s="98">
        <f t="shared" si="44"/>
        <v>693.96945912319995</v>
      </c>
    </row>
    <row r="245" spans="1:31" s="98" customFormat="1" outlineLevel="1">
      <c r="A245" s="141" t="s">
        <v>3483</v>
      </c>
      <c r="B245" s="175" t="s">
        <v>1131</v>
      </c>
      <c r="C245" s="100" t="s">
        <v>2505</v>
      </c>
      <c r="D245" s="23" t="s">
        <v>1472</v>
      </c>
      <c r="E245" s="491">
        <v>6075</v>
      </c>
      <c r="F245" s="20">
        <f t="shared" si="41"/>
        <v>165.41818181818181</v>
      </c>
      <c r="G245" s="19">
        <f t="shared" si="34"/>
        <v>1004915.4545454545</v>
      </c>
      <c r="H245" s="19">
        <f t="shared" si="40"/>
        <v>4125579.9070909084</v>
      </c>
      <c r="I245" s="114" t="s">
        <v>1521</v>
      </c>
      <c r="J245" s="210">
        <f>VLOOKUP(I245,'Reajuste Atual'!$L$19:$M$25,2,FALSE)</f>
        <v>3.1053999999999999</v>
      </c>
      <c r="K245" s="190"/>
      <c r="L245" s="139"/>
      <c r="M245" s="128" t="e">
        <f>ROUND(#REF!,2)</f>
        <v>#REF!</v>
      </c>
      <c r="N245" s="128" t="e">
        <f>ROUND(#REF!,2)</f>
        <v>#REF!</v>
      </c>
      <c r="O245" s="122" t="e">
        <f t="shared" si="35"/>
        <v>#REF!</v>
      </c>
      <c r="P245" s="809"/>
      <c r="Q245" s="765">
        <v>227.45</v>
      </c>
      <c r="R245" s="765">
        <f t="shared" si="39"/>
        <v>162.46428571428572</v>
      </c>
      <c r="S245" s="765">
        <f t="shared" si="37"/>
        <v>165.41818181818181</v>
      </c>
      <c r="T245" s="765">
        <f t="shared" si="36"/>
        <v>165.41818181818181</v>
      </c>
      <c r="W245" s="810" t="s">
        <v>3615</v>
      </c>
      <c r="X245" s="811" t="s">
        <v>3616</v>
      </c>
      <c r="Y245" s="812" t="s">
        <v>3608</v>
      </c>
      <c r="Z245" s="807">
        <v>987.72</v>
      </c>
      <c r="AA245" s="808">
        <f t="shared" si="42"/>
        <v>240.59044185706634</v>
      </c>
      <c r="AC245" s="98">
        <f t="shared" si="43"/>
        <v>679.10780363636354</v>
      </c>
      <c r="AE245" s="98">
        <f t="shared" si="44"/>
        <v>782.87547603199994</v>
      </c>
    </row>
    <row r="246" spans="1:31" s="98" customFormat="1" outlineLevel="1">
      <c r="A246" s="141" t="s">
        <v>3483</v>
      </c>
      <c r="B246" s="175" t="s">
        <v>1132</v>
      </c>
      <c r="C246" s="100" t="s">
        <v>2506</v>
      </c>
      <c r="D246" s="99" t="s">
        <v>1472</v>
      </c>
      <c r="E246" s="491">
        <v>3847</v>
      </c>
      <c r="F246" s="20">
        <f t="shared" si="41"/>
        <v>183.10545454545456</v>
      </c>
      <c r="G246" s="19">
        <f t="shared" si="34"/>
        <v>704406.68363636371</v>
      </c>
      <c r="H246" s="19">
        <f t="shared" si="40"/>
        <v>2891871.1990007274</v>
      </c>
      <c r="I246" s="114" t="s">
        <v>1521</v>
      </c>
      <c r="J246" s="210">
        <f>VLOOKUP(I246,'Reajuste Atual'!$L$19:$M$25,2,FALSE)</f>
        <v>3.1053999999999999</v>
      </c>
      <c r="K246" s="190"/>
      <c r="L246" s="139"/>
      <c r="M246" s="128" t="e">
        <f>ROUND(#REF!,2)</f>
        <v>#REF!</v>
      </c>
      <c r="N246" s="128" t="e">
        <f>ROUND(#REF!,2)</f>
        <v>#REF!</v>
      </c>
      <c r="O246" s="122" t="e">
        <f t="shared" si="35"/>
        <v>#REF!</v>
      </c>
      <c r="P246" s="809"/>
      <c r="Q246" s="765">
        <v>251.77</v>
      </c>
      <c r="R246" s="765">
        <f t="shared" si="39"/>
        <v>179.83571428571432</v>
      </c>
      <c r="S246" s="765">
        <f t="shared" si="37"/>
        <v>183.10545454545456</v>
      </c>
      <c r="T246" s="765">
        <f t="shared" si="36"/>
        <v>183.10545454545456</v>
      </c>
      <c r="W246" s="810" t="s">
        <v>3617</v>
      </c>
      <c r="X246" s="811" t="s">
        <v>3618</v>
      </c>
      <c r="Y246" s="812" t="s">
        <v>3608</v>
      </c>
      <c r="Z246" s="807">
        <v>1134.8900000000001</v>
      </c>
      <c r="AA246" s="808">
        <f t="shared" si="42"/>
        <v>276.43834949091445</v>
      </c>
      <c r="AC246" s="98">
        <f t="shared" si="43"/>
        <v>751.72113309090912</v>
      </c>
      <c r="AE246" s="98">
        <f t="shared" si="44"/>
        <v>866.58412222720006</v>
      </c>
    </row>
    <row r="247" spans="1:31" s="98" customFormat="1" outlineLevel="1">
      <c r="A247" s="141" t="s">
        <v>3483</v>
      </c>
      <c r="B247" s="175" t="s">
        <v>1133</v>
      </c>
      <c r="C247" s="100" t="s">
        <v>2507</v>
      </c>
      <c r="D247" s="23" t="s">
        <v>1472</v>
      </c>
      <c r="E247" s="491">
        <v>3308</v>
      </c>
      <c r="F247" s="20">
        <f t="shared" si="41"/>
        <v>245.09818181818181</v>
      </c>
      <c r="G247" s="19">
        <f t="shared" si="34"/>
        <v>810784.7854545454</v>
      </c>
      <c r="H247" s="19">
        <f t="shared" si="40"/>
        <v>3328595.8582050903</v>
      </c>
      <c r="I247" s="114" t="s">
        <v>1521</v>
      </c>
      <c r="J247" s="210">
        <f>VLOOKUP(I247,'Reajuste Atual'!$L$19:$M$25,2,FALSE)</f>
        <v>3.1053999999999999</v>
      </c>
      <c r="K247" s="190"/>
      <c r="L247" s="139"/>
      <c r="M247" s="128" t="e">
        <f>ROUND(#REF!,2)</f>
        <v>#REF!</v>
      </c>
      <c r="N247" s="128" t="e">
        <f>ROUND(#REF!,2)</f>
        <v>#REF!</v>
      </c>
      <c r="O247" s="122" t="e">
        <f t="shared" si="35"/>
        <v>#REF!</v>
      </c>
      <c r="P247" s="809"/>
      <c r="Q247" s="765">
        <v>337.01</v>
      </c>
      <c r="R247" s="765">
        <f t="shared" si="39"/>
        <v>240.72142857142859</v>
      </c>
      <c r="S247" s="765">
        <f t="shared" si="37"/>
        <v>245.09818181818181</v>
      </c>
      <c r="T247" s="765">
        <f t="shared" si="36"/>
        <v>245.09818181818181</v>
      </c>
      <c r="W247" s="810" t="s">
        <v>3619</v>
      </c>
      <c r="X247" s="811" t="s">
        <v>3620</v>
      </c>
      <c r="Y247" s="812" t="s">
        <v>3608</v>
      </c>
      <c r="Z247" s="807">
        <v>1341.76</v>
      </c>
      <c r="AA247" s="808">
        <f t="shared" si="42"/>
        <v>326.82808008963809</v>
      </c>
      <c r="AC247" s="98">
        <f t="shared" si="43"/>
        <v>1006.2260756363635</v>
      </c>
      <c r="AE247" s="98">
        <f t="shared" si="44"/>
        <v>1159.9774199935998</v>
      </c>
    </row>
    <row r="248" spans="1:31" s="98" customFormat="1" outlineLevel="1">
      <c r="A248" s="141" t="s">
        <v>3483</v>
      </c>
      <c r="B248" s="175" t="s">
        <v>1134</v>
      </c>
      <c r="C248" s="100" t="s">
        <v>2508</v>
      </c>
      <c r="D248" s="23" t="s">
        <v>1472</v>
      </c>
      <c r="E248" s="491">
        <v>5008</v>
      </c>
      <c r="F248" s="20">
        <f t="shared" si="41"/>
        <v>284.53090909090912</v>
      </c>
      <c r="G248" s="19">
        <f t="shared" si="34"/>
        <v>1424930.792727273</v>
      </c>
      <c r="H248" s="19">
        <f t="shared" si="40"/>
        <v>5849910.8764625452</v>
      </c>
      <c r="I248" s="114" t="s">
        <v>1521</v>
      </c>
      <c r="J248" s="210">
        <f>VLOOKUP(I248,'Reajuste Atual'!$L$19:$M$25,2,FALSE)</f>
        <v>3.1053999999999999</v>
      </c>
      <c r="K248" s="190"/>
      <c r="L248" s="139"/>
      <c r="M248" s="128" t="e">
        <f>ROUND(#REF!,2)</f>
        <v>#REF!</v>
      </c>
      <c r="N248" s="128" t="e">
        <f>ROUND(#REF!,2)</f>
        <v>#REF!</v>
      </c>
      <c r="O248" s="122" t="e">
        <f t="shared" si="35"/>
        <v>#REF!</v>
      </c>
      <c r="P248" s="809"/>
      <c r="Q248" s="765">
        <v>391.23</v>
      </c>
      <c r="R248" s="765">
        <f t="shared" si="39"/>
        <v>279.45000000000005</v>
      </c>
      <c r="S248" s="765">
        <f t="shared" si="37"/>
        <v>284.53090909090912</v>
      </c>
      <c r="T248" s="765">
        <f t="shared" si="36"/>
        <v>284.53090909090912</v>
      </c>
      <c r="W248" s="810" t="s">
        <v>3621</v>
      </c>
      <c r="X248" s="811" t="s">
        <v>3622</v>
      </c>
      <c r="Y248" s="812" t="s">
        <v>3608</v>
      </c>
      <c r="Z248" s="807">
        <v>1526.03</v>
      </c>
      <c r="AA248" s="808">
        <f t="shared" si="42"/>
        <v>371.71286598139039</v>
      </c>
      <c r="AC248" s="98">
        <f t="shared" si="43"/>
        <v>1168.1131941818182</v>
      </c>
      <c r="AE248" s="98">
        <f t="shared" si="44"/>
        <v>1346.6008902528001</v>
      </c>
    </row>
    <row r="249" spans="1:31" s="98" customFormat="1" outlineLevel="1">
      <c r="A249" s="141" t="s">
        <v>3483</v>
      </c>
      <c r="B249" s="175" t="s">
        <v>1135</v>
      </c>
      <c r="C249" s="100" t="s">
        <v>2509</v>
      </c>
      <c r="D249" s="23" t="s">
        <v>1472</v>
      </c>
      <c r="E249" s="491">
        <v>7431</v>
      </c>
      <c r="F249" s="20">
        <f t="shared" si="41"/>
        <v>368.64727272727271</v>
      </c>
      <c r="G249" s="19">
        <f t="shared" ref="G249:G265" si="45">E249*F249</f>
        <v>2739417.8836363633</v>
      </c>
      <c r="H249" s="19">
        <f t="shared" si="40"/>
        <v>11246406.179480724</v>
      </c>
      <c r="I249" s="114" t="s">
        <v>1521</v>
      </c>
      <c r="J249" s="210">
        <f>VLOOKUP(I249,'Reajuste Atual'!$L$19:$M$25,2,FALSE)</f>
        <v>3.1053999999999999</v>
      </c>
      <c r="K249" s="190"/>
      <c r="L249" s="139"/>
      <c r="M249" s="128" t="e">
        <f>ROUND(#REF!,2)</f>
        <v>#REF!</v>
      </c>
      <c r="N249" s="128" t="e">
        <f>ROUND(#REF!,2)</f>
        <v>#REF!</v>
      </c>
      <c r="O249" s="122" t="e">
        <f t="shared" ref="O249:O265" si="46">N249*(1+J249)</f>
        <v>#REF!</v>
      </c>
      <c r="P249" s="809"/>
      <c r="Q249" s="765">
        <v>506.89</v>
      </c>
      <c r="R249" s="765">
        <f t="shared" si="39"/>
        <v>362.06428571428575</v>
      </c>
      <c r="S249" s="765">
        <f t="shared" si="37"/>
        <v>368.64727272727271</v>
      </c>
      <c r="T249" s="765">
        <f t="shared" ref="T249:T265" si="47">IF(A249="S",R249,S249)</f>
        <v>368.64727272727271</v>
      </c>
      <c r="W249" s="810" t="s">
        <v>3623</v>
      </c>
      <c r="X249" s="811" t="s">
        <v>3624</v>
      </c>
      <c r="Y249" s="812" t="s">
        <v>3608</v>
      </c>
      <c r="Z249" s="807">
        <v>2007.62</v>
      </c>
      <c r="AA249" s="808">
        <f t="shared" si="42"/>
        <v>489.01934038096169</v>
      </c>
      <c r="AC249" s="98">
        <f t="shared" si="43"/>
        <v>1513.4445134545451</v>
      </c>
      <c r="AE249" s="98">
        <f t="shared" si="44"/>
        <v>1744.6988351103996</v>
      </c>
    </row>
    <row r="250" spans="1:31" s="98" customFormat="1" outlineLevel="1">
      <c r="A250" s="141" t="s">
        <v>3483</v>
      </c>
      <c r="B250" s="175" t="s">
        <v>1136</v>
      </c>
      <c r="C250" s="100" t="s">
        <v>2510</v>
      </c>
      <c r="D250" s="23" t="s">
        <v>1472</v>
      </c>
      <c r="E250" s="491">
        <v>3194</v>
      </c>
      <c r="F250" s="20">
        <f t="shared" si="41"/>
        <v>449.57090909090908</v>
      </c>
      <c r="G250" s="19">
        <f t="shared" si="45"/>
        <v>1435929.4836363636</v>
      </c>
      <c r="H250" s="19">
        <f t="shared" si="40"/>
        <v>5895064.9021207262</v>
      </c>
      <c r="I250" s="114" t="s">
        <v>1521</v>
      </c>
      <c r="J250" s="210">
        <f>VLOOKUP(I250,'Reajuste Atual'!$L$19:$M$25,2,FALSE)</f>
        <v>3.1053999999999999</v>
      </c>
      <c r="K250" s="190"/>
      <c r="L250" s="139"/>
      <c r="M250" s="128" t="e">
        <f>ROUND(#REF!,2)</f>
        <v>#REF!</v>
      </c>
      <c r="N250" s="128" t="e">
        <f>ROUND(#REF!,2)</f>
        <v>#REF!</v>
      </c>
      <c r="O250" s="122" t="e">
        <f t="shared" si="46"/>
        <v>#REF!</v>
      </c>
      <c r="P250" s="809"/>
      <c r="Q250" s="765">
        <v>618.16</v>
      </c>
      <c r="R250" s="765">
        <f t="shared" si="39"/>
        <v>441.54285714285714</v>
      </c>
      <c r="S250" s="765">
        <f t="shared" ref="S250:S265" si="48">Q250/($S$23+1)</f>
        <v>449.57090909090908</v>
      </c>
      <c r="T250" s="765">
        <f t="shared" si="47"/>
        <v>449.57090909090908</v>
      </c>
      <c r="W250" s="810" t="s">
        <v>3625</v>
      </c>
      <c r="X250" s="811" t="s">
        <v>3626</v>
      </c>
      <c r="Y250" s="812" t="s">
        <v>3608</v>
      </c>
      <c r="Z250" s="807">
        <v>2651.02</v>
      </c>
      <c r="AA250" s="808">
        <f t="shared" si="42"/>
        <v>645.73975739270236</v>
      </c>
      <c r="AC250" s="98">
        <f t="shared" si="43"/>
        <v>1845.668410181818</v>
      </c>
      <c r="AE250" s="98">
        <f t="shared" si="44"/>
        <v>2127.6865432576001</v>
      </c>
    </row>
    <row r="251" spans="1:31" s="98" customFormat="1" outlineLevel="1">
      <c r="A251" s="141" t="s">
        <v>3483</v>
      </c>
      <c r="B251" s="175" t="s">
        <v>1137</v>
      </c>
      <c r="C251" s="100" t="s">
        <v>2511</v>
      </c>
      <c r="D251" s="23" t="s">
        <v>1472</v>
      </c>
      <c r="E251" s="491">
        <v>1529</v>
      </c>
      <c r="F251" s="20">
        <f t="shared" si="41"/>
        <v>508.36363636363637</v>
      </c>
      <c r="G251" s="19">
        <f t="shared" si="45"/>
        <v>777288</v>
      </c>
      <c r="H251" s="19">
        <f t="shared" si="40"/>
        <v>3191078.1551999995</v>
      </c>
      <c r="I251" s="114" t="s">
        <v>1521</v>
      </c>
      <c r="J251" s="210">
        <f>VLOOKUP(I251,'Reajuste Atual'!$L$19:$M$25,2,FALSE)</f>
        <v>3.1053999999999999</v>
      </c>
      <c r="K251" s="190"/>
      <c r="L251" s="139"/>
      <c r="M251" s="128" t="e">
        <f>ROUND(#REF!,2)</f>
        <v>#REF!</v>
      </c>
      <c r="N251" s="128" t="e">
        <f>ROUND(#REF!,2)</f>
        <v>#REF!</v>
      </c>
      <c r="O251" s="122" t="e">
        <f t="shared" si="46"/>
        <v>#REF!</v>
      </c>
      <c r="P251" s="809"/>
      <c r="Q251" s="765">
        <v>699</v>
      </c>
      <c r="R251" s="765">
        <f t="shared" si="39"/>
        <v>499.28571428571433</v>
      </c>
      <c r="S251" s="765">
        <f t="shared" si="48"/>
        <v>508.36363636363637</v>
      </c>
      <c r="T251" s="765">
        <f t="shared" si="47"/>
        <v>508.36363636363637</v>
      </c>
      <c r="W251" s="810" t="s">
        <v>3627</v>
      </c>
      <c r="X251" s="811" t="s">
        <v>3628</v>
      </c>
      <c r="Y251" s="812" t="s">
        <v>3608</v>
      </c>
      <c r="Z251" s="807">
        <v>3242.7</v>
      </c>
      <c r="AA251" s="808">
        <f t="shared" si="42"/>
        <v>789.8621328007016</v>
      </c>
      <c r="AC251" s="98">
        <f t="shared" si="43"/>
        <v>2087.0360727272723</v>
      </c>
      <c r="AE251" s="98">
        <f t="shared" si="44"/>
        <v>2405.9351846399995</v>
      </c>
    </row>
    <row r="252" spans="1:31" s="98" customFormat="1" outlineLevel="1">
      <c r="A252" s="141" t="s">
        <v>3483</v>
      </c>
      <c r="B252" s="175" t="s">
        <v>1138</v>
      </c>
      <c r="C252" s="100" t="s">
        <v>2512</v>
      </c>
      <c r="D252" s="23" t="s">
        <v>1472</v>
      </c>
      <c r="E252" s="491">
        <v>645</v>
      </c>
      <c r="F252" s="20">
        <f t="shared" si="41"/>
        <v>611.64363636363635</v>
      </c>
      <c r="G252" s="19">
        <f t="shared" si="45"/>
        <v>394510.14545454545</v>
      </c>
      <c r="H252" s="19">
        <f t="shared" si="40"/>
        <v>1619621.9511490907</v>
      </c>
      <c r="I252" s="114" t="s">
        <v>1521</v>
      </c>
      <c r="J252" s="210">
        <f>VLOOKUP(I252,'Reajuste Atual'!$L$19:$M$25,2,FALSE)</f>
        <v>3.1053999999999999</v>
      </c>
      <c r="K252" s="190"/>
      <c r="L252" s="139"/>
      <c r="M252" s="128" t="e">
        <f>ROUND(#REF!,2)</f>
        <v>#REF!</v>
      </c>
      <c r="N252" s="128" t="e">
        <f>ROUND(#REF!,2)</f>
        <v>#REF!</v>
      </c>
      <c r="O252" s="122" t="e">
        <f t="shared" si="46"/>
        <v>#REF!</v>
      </c>
      <c r="P252" s="809"/>
      <c r="Q252" s="765">
        <v>841.01</v>
      </c>
      <c r="R252" s="765">
        <f t="shared" si="39"/>
        <v>600.72142857142865</v>
      </c>
      <c r="S252" s="765">
        <f t="shared" si="48"/>
        <v>611.64363636363635</v>
      </c>
      <c r="T252" s="765">
        <f t="shared" si="47"/>
        <v>611.64363636363635</v>
      </c>
      <c r="W252" s="810" t="s">
        <v>3629</v>
      </c>
      <c r="X252" s="811" t="s">
        <v>3630</v>
      </c>
      <c r="Y252" s="812" t="s">
        <v>3608</v>
      </c>
      <c r="Z252" s="807">
        <v>3633.79</v>
      </c>
      <c r="AA252" s="808">
        <f t="shared" si="42"/>
        <v>885.12447020996751</v>
      </c>
      <c r="AC252" s="98">
        <f t="shared" si="43"/>
        <v>2511.0417847272724</v>
      </c>
      <c r="AE252" s="98">
        <f t="shared" si="44"/>
        <v>2894.7289694336</v>
      </c>
    </row>
    <row r="253" spans="1:31" s="98" customFormat="1" outlineLevel="1">
      <c r="A253" s="141" t="s">
        <v>3483</v>
      </c>
      <c r="B253" s="175" t="s">
        <v>1139</v>
      </c>
      <c r="C253" s="100" t="s">
        <v>2513</v>
      </c>
      <c r="D253" s="183" t="s">
        <v>1468</v>
      </c>
      <c r="E253" s="20">
        <v>2</v>
      </c>
      <c r="F253" s="20">
        <f t="shared" si="38"/>
        <v>455.32363636363641</v>
      </c>
      <c r="G253" s="19">
        <f t="shared" si="45"/>
        <v>910.64727272727282</v>
      </c>
      <c r="H253" s="19">
        <f t="shared" si="40"/>
        <v>3738.5713134545454</v>
      </c>
      <c r="I253" s="114" t="s">
        <v>1521</v>
      </c>
      <c r="J253" s="210">
        <f>VLOOKUP(I253,'Reajuste Atual'!$L$19:$M$25,2,FALSE)</f>
        <v>3.1053999999999999</v>
      </c>
      <c r="K253" s="190"/>
      <c r="L253" s="139"/>
      <c r="M253" s="128" t="e">
        <f>ROUND(#REF!,2)</f>
        <v>#REF!</v>
      </c>
      <c r="N253" s="128" t="e">
        <f>ROUND(#REF!,2)</f>
        <v>#REF!</v>
      </c>
      <c r="O253" s="122" t="e">
        <f t="shared" si="46"/>
        <v>#REF!</v>
      </c>
      <c r="Q253" s="765">
        <v>626.07000000000005</v>
      </c>
      <c r="R253" s="765">
        <f t="shared" si="39"/>
        <v>447.19285714285718</v>
      </c>
      <c r="S253" s="765">
        <f t="shared" si="48"/>
        <v>455.32363636363641</v>
      </c>
      <c r="T253" s="765">
        <f t="shared" si="47"/>
        <v>455.32363636363641</v>
      </c>
      <c r="W253" s="810" t="s">
        <v>3631</v>
      </c>
      <c r="X253" s="811" t="s">
        <v>3632</v>
      </c>
      <c r="Y253" s="812" t="s">
        <v>3608</v>
      </c>
      <c r="Z253" s="807">
        <v>4324.25</v>
      </c>
      <c r="AA253" s="808">
        <f t="shared" si="42"/>
        <v>1053.307838456667</v>
      </c>
      <c r="AC253" s="98">
        <f t="shared" si="43"/>
        <v>1869.2856567272727</v>
      </c>
      <c r="AE253" s="98">
        <f t="shared" si="44"/>
        <v>2154.9125050752</v>
      </c>
    </row>
    <row r="254" spans="1:31" s="98" customFormat="1" outlineLevel="1">
      <c r="A254" s="141" t="s">
        <v>3483</v>
      </c>
      <c r="B254" s="175" t="s">
        <v>1140</v>
      </c>
      <c r="C254" s="100" t="s">
        <v>2514</v>
      </c>
      <c r="D254" s="183" t="s">
        <v>1468</v>
      </c>
      <c r="E254" s="20">
        <v>7</v>
      </c>
      <c r="F254" s="20">
        <f t="shared" si="38"/>
        <v>474.75636363636363</v>
      </c>
      <c r="G254" s="19">
        <f t="shared" si="45"/>
        <v>3323.2945454545452</v>
      </c>
      <c r="H254" s="19">
        <f t="shared" si="40"/>
        <v>13643.453426909087</v>
      </c>
      <c r="I254" s="114" t="s">
        <v>1521</v>
      </c>
      <c r="J254" s="210">
        <f>VLOOKUP(I254,'Reajuste Atual'!$L$19:$M$25,2,FALSE)</f>
        <v>3.1053999999999999</v>
      </c>
      <c r="K254" s="190"/>
      <c r="L254" s="139"/>
      <c r="M254" s="128" t="e">
        <f>ROUND(#REF!,2)</f>
        <v>#REF!</v>
      </c>
      <c r="N254" s="128" t="e">
        <f>ROUND(#REF!,2)</f>
        <v>#REF!</v>
      </c>
      <c r="O254" s="122" t="e">
        <f t="shared" si="46"/>
        <v>#REF!</v>
      </c>
      <c r="Q254" s="765">
        <v>652.79</v>
      </c>
      <c r="R254" s="765">
        <f t="shared" si="39"/>
        <v>466.27857142857141</v>
      </c>
      <c r="S254" s="765">
        <f t="shared" si="48"/>
        <v>474.75636363636363</v>
      </c>
      <c r="T254" s="765">
        <f t="shared" si="47"/>
        <v>474.75636363636363</v>
      </c>
    </row>
    <row r="255" spans="1:31" s="98" customFormat="1" outlineLevel="1">
      <c r="A255" s="141" t="s">
        <v>3483</v>
      </c>
      <c r="B255" s="175" t="s">
        <v>1141</v>
      </c>
      <c r="C255" s="100" t="s">
        <v>2515</v>
      </c>
      <c r="D255" s="183" t="s">
        <v>1468</v>
      </c>
      <c r="E255" s="20">
        <v>2</v>
      </c>
      <c r="F255" s="20">
        <f t="shared" si="38"/>
        <v>772.31272727272733</v>
      </c>
      <c r="G255" s="19">
        <f t="shared" si="45"/>
        <v>1544.6254545454547</v>
      </c>
      <c r="H255" s="19">
        <f t="shared" si="40"/>
        <v>6341.3053410909088</v>
      </c>
      <c r="I255" s="114" t="s">
        <v>1521</v>
      </c>
      <c r="J255" s="210">
        <f>VLOOKUP(I255,'Reajuste Atual'!$L$19:$M$25,2,FALSE)</f>
        <v>3.1053999999999999</v>
      </c>
      <c r="K255" s="190"/>
      <c r="L255" s="139"/>
      <c r="M255" s="128" t="e">
        <f>ROUND(#REF!,2)</f>
        <v>#REF!</v>
      </c>
      <c r="N255" s="128" t="e">
        <f>ROUND(#REF!,2)</f>
        <v>#REF!</v>
      </c>
      <c r="O255" s="122" t="e">
        <f t="shared" si="46"/>
        <v>#REF!</v>
      </c>
      <c r="Q255" s="765">
        <v>1061.93</v>
      </c>
      <c r="R255" s="765">
        <f t="shared" si="39"/>
        <v>758.52142857142871</v>
      </c>
      <c r="S255" s="765">
        <f t="shared" si="48"/>
        <v>772.31272727272733</v>
      </c>
      <c r="T255" s="765">
        <f t="shared" si="47"/>
        <v>772.31272727272733</v>
      </c>
    </row>
    <row r="256" spans="1:31" s="98" customFormat="1" outlineLevel="1">
      <c r="A256" s="141" t="s">
        <v>3483</v>
      </c>
      <c r="B256" s="175" t="s">
        <v>1142</v>
      </c>
      <c r="C256" s="100" t="s">
        <v>2516</v>
      </c>
      <c r="D256" s="183" t="s">
        <v>1468</v>
      </c>
      <c r="E256" s="20">
        <v>1</v>
      </c>
      <c r="F256" s="20">
        <f t="shared" si="38"/>
        <v>653.23636363636365</v>
      </c>
      <c r="G256" s="19">
        <f t="shared" si="45"/>
        <v>653.23636363636365</v>
      </c>
      <c r="H256" s="19">
        <f t="shared" si="40"/>
        <v>2681.7965672727269</v>
      </c>
      <c r="I256" s="114" t="s">
        <v>1521</v>
      </c>
      <c r="J256" s="210">
        <f>VLOOKUP(I256,'Reajuste Atual'!$L$19:$M$25,2,FALSE)</f>
        <v>3.1053999999999999</v>
      </c>
      <c r="K256" s="190"/>
      <c r="L256" s="139"/>
      <c r="M256" s="128" t="e">
        <f>ROUND(#REF!,2)</f>
        <v>#REF!</v>
      </c>
      <c r="N256" s="128" t="e">
        <f>ROUND(#REF!,2)</f>
        <v>#REF!</v>
      </c>
      <c r="O256" s="122" t="e">
        <f t="shared" si="46"/>
        <v>#REF!</v>
      </c>
      <c r="Q256" s="765">
        <v>898.2</v>
      </c>
      <c r="R256" s="765">
        <f t="shared" si="39"/>
        <v>641.57142857142867</v>
      </c>
      <c r="S256" s="765">
        <f t="shared" si="48"/>
        <v>653.23636363636365</v>
      </c>
      <c r="T256" s="765">
        <f t="shared" si="47"/>
        <v>653.23636363636365</v>
      </c>
    </row>
    <row r="257" spans="1:20" s="98" customFormat="1" outlineLevel="1">
      <c r="A257" s="141" t="s">
        <v>3483</v>
      </c>
      <c r="B257" s="175" t="s">
        <v>1143</v>
      </c>
      <c r="C257" s="100" t="s">
        <v>2517</v>
      </c>
      <c r="D257" s="183" t="s">
        <v>1468</v>
      </c>
      <c r="E257" s="20">
        <v>1</v>
      </c>
      <c r="F257" s="20">
        <f t="shared" si="38"/>
        <v>977.38181818181829</v>
      </c>
      <c r="G257" s="19">
        <f t="shared" si="45"/>
        <v>977.38181818181829</v>
      </c>
      <c r="H257" s="19">
        <f t="shared" si="40"/>
        <v>4012.5433163636362</v>
      </c>
      <c r="I257" s="114" t="s">
        <v>1521</v>
      </c>
      <c r="J257" s="210">
        <f>VLOOKUP(I257,'Reajuste Atual'!$L$19:$M$25,2,FALSE)</f>
        <v>3.1053999999999999</v>
      </c>
      <c r="K257" s="190"/>
      <c r="L257" s="139"/>
      <c r="M257" s="128" t="e">
        <f>ROUND(#REF!,2)</f>
        <v>#REF!</v>
      </c>
      <c r="N257" s="128" t="e">
        <f>ROUND(#REF!,2)</f>
        <v>#REF!</v>
      </c>
      <c r="O257" s="122" t="e">
        <f t="shared" si="46"/>
        <v>#REF!</v>
      </c>
      <c r="Q257" s="765">
        <v>1343.9</v>
      </c>
      <c r="R257" s="765">
        <f t="shared" si="39"/>
        <v>959.92857142857156</v>
      </c>
      <c r="S257" s="765">
        <f t="shared" si="48"/>
        <v>977.38181818181829</v>
      </c>
      <c r="T257" s="765">
        <f t="shared" si="47"/>
        <v>977.38181818181829</v>
      </c>
    </row>
    <row r="258" spans="1:20" s="98" customFormat="1" outlineLevel="1">
      <c r="A258" s="141" t="s">
        <v>3483</v>
      </c>
      <c r="B258" s="175" t="s">
        <v>1144</v>
      </c>
      <c r="C258" s="100" t="s">
        <v>2518</v>
      </c>
      <c r="D258" s="183" t="s">
        <v>1468</v>
      </c>
      <c r="E258" s="20">
        <v>10</v>
      </c>
      <c r="F258" s="20">
        <f t="shared" si="38"/>
        <v>105.90545454545455</v>
      </c>
      <c r="G258" s="19">
        <f t="shared" si="45"/>
        <v>1059.0545454545454</v>
      </c>
      <c r="H258" s="19">
        <f t="shared" si="40"/>
        <v>4347.8425309090899</v>
      </c>
      <c r="I258" s="114" t="s">
        <v>1521</v>
      </c>
      <c r="J258" s="210">
        <f>VLOOKUP(I258,'Reajuste Atual'!$L$19:$M$25,2,FALSE)</f>
        <v>3.1053999999999999</v>
      </c>
      <c r="K258" s="190"/>
      <c r="L258" s="139"/>
      <c r="M258" s="128" t="e">
        <f>ROUND(#REF!,2)</f>
        <v>#REF!</v>
      </c>
      <c r="N258" s="128" t="e">
        <f>ROUND(#REF!,2)</f>
        <v>#REF!</v>
      </c>
      <c r="O258" s="122" t="e">
        <f t="shared" si="46"/>
        <v>#REF!</v>
      </c>
      <c r="Q258" s="765">
        <v>145.62</v>
      </c>
      <c r="R258" s="765">
        <f t="shared" si="39"/>
        <v>104.01428571428572</v>
      </c>
      <c r="S258" s="765">
        <f t="shared" si="48"/>
        <v>105.90545454545455</v>
      </c>
      <c r="T258" s="765">
        <f t="shared" si="47"/>
        <v>105.90545454545455</v>
      </c>
    </row>
    <row r="259" spans="1:20" s="98" customFormat="1" outlineLevel="1">
      <c r="A259" s="141" t="s">
        <v>3483</v>
      </c>
      <c r="B259" s="175" t="s">
        <v>1145</v>
      </c>
      <c r="C259" s="100" t="s">
        <v>2519</v>
      </c>
      <c r="D259" s="183" t="s">
        <v>1468</v>
      </c>
      <c r="E259" s="20">
        <v>2</v>
      </c>
      <c r="F259" s="20">
        <f t="shared" si="38"/>
        <v>72.283636363636361</v>
      </c>
      <c r="G259" s="19">
        <f t="shared" si="45"/>
        <v>144.56727272727272</v>
      </c>
      <c r="H259" s="19">
        <f t="shared" si="40"/>
        <v>593.50648145454534</v>
      </c>
      <c r="I259" s="114" t="s">
        <v>1521</v>
      </c>
      <c r="J259" s="210">
        <f>VLOOKUP(I259,'Reajuste Atual'!$L$19:$M$25,2,FALSE)</f>
        <v>3.1053999999999999</v>
      </c>
      <c r="K259" s="190"/>
      <c r="L259" s="139"/>
      <c r="M259" s="128" t="e">
        <f>ROUND(#REF!,2)</f>
        <v>#REF!</v>
      </c>
      <c r="N259" s="128" t="e">
        <f>ROUND(#REF!,2)</f>
        <v>#REF!</v>
      </c>
      <c r="O259" s="122" t="e">
        <f t="shared" si="46"/>
        <v>#REF!</v>
      </c>
      <c r="Q259" s="765">
        <v>99.39</v>
      </c>
      <c r="R259" s="765">
        <f t="shared" si="39"/>
        <v>70.992857142857147</v>
      </c>
      <c r="S259" s="765">
        <f t="shared" si="48"/>
        <v>72.283636363636361</v>
      </c>
      <c r="T259" s="765">
        <f t="shared" si="47"/>
        <v>72.283636363636361</v>
      </c>
    </row>
    <row r="260" spans="1:20" s="98" customFormat="1" outlineLevel="1">
      <c r="A260" s="141" t="s">
        <v>3483</v>
      </c>
      <c r="B260" s="175" t="s">
        <v>1146</v>
      </c>
      <c r="C260" s="100" t="s">
        <v>2520</v>
      </c>
      <c r="D260" s="183" t="s">
        <v>1468</v>
      </c>
      <c r="E260" s="20">
        <v>1</v>
      </c>
      <c r="F260" s="20">
        <f t="shared" si="38"/>
        <v>499.43272727272728</v>
      </c>
      <c r="G260" s="19">
        <f t="shared" si="45"/>
        <v>499.43272727272728</v>
      </c>
      <c r="H260" s="19">
        <f t="shared" si="40"/>
        <v>2050.3711185454545</v>
      </c>
      <c r="I260" s="114" t="s">
        <v>1521</v>
      </c>
      <c r="J260" s="210">
        <f>VLOOKUP(I260,'Reajuste Atual'!$L$19:$M$25,2,FALSE)</f>
        <v>3.1053999999999999</v>
      </c>
      <c r="K260" s="190"/>
      <c r="L260" s="139"/>
      <c r="M260" s="128" t="e">
        <f>ROUND(#REF!,2)</f>
        <v>#REF!</v>
      </c>
      <c r="N260" s="128" t="e">
        <f>ROUND(#REF!,2)</f>
        <v>#REF!</v>
      </c>
      <c r="O260" s="122" t="e">
        <f t="shared" si="46"/>
        <v>#REF!</v>
      </c>
      <c r="Q260" s="765">
        <v>686.72</v>
      </c>
      <c r="R260" s="765">
        <f t="shared" si="39"/>
        <v>490.51428571428579</v>
      </c>
      <c r="S260" s="765">
        <f t="shared" si="48"/>
        <v>499.43272727272728</v>
      </c>
      <c r="T260" s="765">
        <f t="shared" si="47"/>
        <v>499.43272727272728</v>
      </c>
    </row>
    <row r="261" spans="1:20" s="98" customFormat="1" outlineLevel="1">
      <c r="A261" s="141" t="s">
        <v>3483</v>
      </c>
      <c r="B261" s="175" t="s">
        <v>1147</v>
      </c>
      <c r="C261" s="100" t="s">
        <v>2521</v>
      </c>
      <c r="D261" s="183" t="s">
        <v>1468</v>
      </c>
      <c r="E261" s="20">
        <v>2</v>
      </c>
      <c r="F261" s="20">
        <f t="shared" si="38"/>
        <v>4401.2509090909089</v>
      </c>
      <c r="G261" s="19">
        <f t="shared" si="45"/>
        <v>8802.5018181818177</v>
      </c>
      <c r="H261" s="19">
        <f t="shared" si="40"/>
        <v>36137.79096436363</v>
      </c>
      <c r="I261" s="114" t="s">
        <v>1521</v>
      </c>
      <c r="J261" s="210">
        <f>VLOOKUP(I261,'Reajuste Atual'!$L$19:$M$25,2,FALSE)</f>
        <v>3.1053999999999999</v>
      </c>
      <c r="K261" s="190"/>
      <c r="L261" s="139"/>
      <c r="M261" s="128" t="e">
        <f>ROUND(#REF!,2)</f>
        <v>#REF!</v>
      </c>
      <c r="N261" s="128" t="e">
        <f>ROUND(#REF!,2)</f>
        <v>#REF!</v>
      </c>
      <c r="O261" s="122" t="e">
        <f t="shared" si="46"/>
        <v>#REF!</v>
      </c>
      <c r="Q261" s="765">
        <v>6051.72</v>
      </c>
      <c r="R261" s="765">
        <f t="shared" si="39"/>
        <v>4322.6571428571433</v>
      </c>
      <c r="S261" s="765">
        <f t="shared" si="48"/>
        <v>4401.2509090909089</v>
      </c>
      <c r="T261" s="765">
        <f t="shared" si="47"/>
        <v>4401.2509090909089</v>
      </c>
    </row>
    <row r="262" spans="1:20" s="98" customFormat="1" outlineLevel="1">
      <c r="A262" s="141" t="s">
        <v>3483</v>
      </c>
      <c r="B262" s="175" t="s">
        <v>1148</v>
      </c>
      <c r="C262" s="100" t="s">
        <v>2522</v>
      </c>
      <c r="D262" s="183" t="s">
        <v>1468</v>
      </c>
      <c r="E262" s="20">
        <v>404</v>
      </c>
      <c r="F262" s="20">
        <f t="shared" si="38"/>
        <v>63.345454545454544</v>
      </c>
      <c r="G262" s="19">
        <f t="shared" si="45"/>
        <v>25591.563636363637</v>
      </c>
      <c r="H262" s="19">
        <f t="shared" si="40"/>
        <v>105063.60535272726</v>
      </c>
      <c r="I262" s="114" t="s">
        <v>1521</v>
      </c>
      <c r="J262" s="210">
        <f>VLOOKUP(I262,'Reajuste Atual'!$L$19:$M$25,2,FALSE)</f>
        <v>3.1053999999999999</v>
      </c>
      <c r="K262" s="190"/>
      <c r="L262" s="139"/>
      <c r="M262" s="128" t="e">
        <f>ROUND(#REF!,2)</f>
        <v>#REF!</v>
      </c>
      <c r="N262" s="128" t="e">
        <f>ROUND(#REF!,2)</f>
        <v>#REF!</v>
      </c>
      <c r="O262" s="122" t="e">
        <f t="shared" si="46"/>
        <v>#REF!</v>
      </c>
      <c r="Q262" s="765">
        <v>87.1</v>
      </c>
      <c r="R262" s="765">
        <f t="shared" si="39"/>
        <v>62.214285714285715</v>
      </c>
      <c r="S262" s="765">
        <f t="shared" si="48"/>
        <v>63.345454545454544</v>
      </c>
      <c r="T262" s="765">
        <f t="shared" si="47"/>
        <v>63.345454545454544</v>
      </c>
    </row>
    <row r="263" spans="1:20" s="98" customFormat="1" outlineLevel="1">
      <c r="A263" s="141" t="s">
        <v>3483</v>
      </c>
      <c r="B263" s="175" t="s">
        <v>1149</v>
      </c>
      <c r="C263" s="100" t="s">
        <v>2523</v>
      </c>
      <c r="D263" s="183" t="s">
        <v>1468</v>
      </c>
      <c r="E263" s="20">
        <v>14</v>
      </c>
      <c r="F263" s="20">
        <f t="shared" si="38"/>
        <v>431.09090909090907</v>
      </c>
      <c r="G263" s="19">
        <f t="shared" si="45"/>
        <v>6035.272727272727</v>
      </c>
      <c r="H263" s="19">
        <f t="shared" si="40"/>
        <v>24777.208654545451</v>
      </c>
      <c r="I263" s="114" t="s">
        <v>1521</v>
      </c>
      <c r="J263" s="210">
        <f>VLOOKUP(I263,'Reajuste Atual'!$L$19:$M$25,2,FALSE)</f>
        <v>3.1053999999999999</v>
      </c>
      <c r="K263" s="190"/>
      <c r="L263" s="139"/>
      <c r="M263" s="128" t="e">
        <f>ROUND(#REF!,2)</f>
        <v>#REF!</v>
      </c>
      <c r="N263" s="128" t="e">
        <f>ROUND(#REF!,2)</f>
        <v>#REF!</v>
      </c>
      <c r="O263" s="122" t="e">
        <f t="shared" si="46"/>
        <v>#REF!</v>
      </c>
      <c r="Q263" s="765">
        <v>592.75</v>
      </c>
      <c r="R263" s="765">
        <f t="shared" si="39"/>
        <v>423.39285714285717</v>
      </c>
      <c r="S263" s="765">
        <f t="shared" si="48"/>
        <v>431.09090909090907</v>
      </c>
      <c r="T263" s="765">
        <f t="shared" si="47"/>
        <v>431.09090909090907</v>
      </c>
    </row>
    <row r="264" spans="1:20" s="98" customFormat="1" outlineLevel="1">
      <c r="A264" s="141" t="s">
        <v>3483</v>
      </c>
      <c r="B264" s="175" t="s">
        <v>1150</v>
      </c>
      <c r="C264" s="100" t="s">
        <v>2524</v>
      </c>
      <c r="D264" s="183" t="s">
        <v>1468</v>
      </c>
      <c r="E264" s="20">
        <v>1</v>
      </c>
      <c r="F264" s="20">
        <f t="shared" si="38"/>
        <v>3426.4072727272728</v>
      </c>
      <c r="G264" s="19">
        <f t="shared" si="45"/>
        <v>3426.4072727272728</v>
      </c>
      <c r="H264" s="19">
        <f t="shared" si="40"/>
        <v>14066.772417454544</v>
      </c>
      <c r="I264" s="114" t="s">
        <v>1521</v>
      </c>
      <c r="J264" s="210">
        <f>VLOOKUP(I264,'Reajuste Atual'!$L$19:$M$25,2,FALSE)</f>
        <v>3.1053999999999999</v>
      </c>
      <c r="K264" s="190"/>
      <c r="L264" s="139"/>
      <c r="M264" s="128" t="e">
        <f>ROUND(#REF!,2)</f>
        <v>#REF!</v>
      </c>
      <c r="N264" s="128" t="e">
        <f>ROUND(#REF!,2)</f>
        <v>#REF!</v>
      </c>
      <c r="O264" s="122" t="e">
        <f t="shared" si="46"/>
        <v>#REF!</v>
      </c>
      <c r="Q264" s="765">
        <v>4711.3100000000004</v>
      </c>
      <c r="R264" s="765">
        <f t="shared" si="39"/>
        <v>3365.221428571429</v>
      </c>
      <c r="S264" s="765">
        <f t="shared" si="48"/>
        <v>3426.4072727272728</v>
      </c>
      <c r="T264" s="765">
        <f t="shared" si="47"/>
        <v>3426.4072727272728</v>
      </c>
    </row>
    <row r="265" spans="1:20" s="98" customFormat="1" outlineLevel="1">
      <c r="A265" s="141" t="s">
        <v>3483</v>
      </c>
      <c r="B265" s="175" t="s">
        <v>1151</v>
      </c>
      <c r="C265" s="100" t="s">
        <v>2525</v>
      </c>
      <c r="D265" s="183" t="s">
        <v>1468</v>
      </c>
      <c r="E265" s="20">
        <v>1</v>
      </c>
      <c r="F265" s="20">
        <f t="shared" si="38"/>
        <v>467.22909090909093</v>
      </c>
      <c r="G265" s="19">
        <f t="shared" si="45"/>
        <v>467.22909090909093</v>
      </c>
      <c r="H265" s="19">
        <f t="shared" si="40"/>
        <v>1918.1623098181817</v>
      </c>
      <c r="I265" s="114" t="s">
        <v>1521</v>
      </c>
      <c r="J265" s="210">
        <f>VLOOKUP(I265,'Reajuste Atual'!$L$19:$M$25,2,FALSE)</f>
        <v>3.1053999999999999</v>
      </c>
      <c r="K265" s="190"/>
      <c r="L265" s="139"/>
      <c r="M265" s="128" t="e">
        <f>ROUND(#REF!,2)</f>
        <v>#REF!</v>
      </c>
      <c r="N265" s="128" t="e">
        <f>ROUND(#REF!,2)</f>
        <v>#REF!</v>
      </c>
      <c r="O265" s="122" t="e">
        <f t="shared" si="46"/>
        <v>#REF!</v>
      </c>
      <c r="Q265" s="765">
        <v>642.44000000000005</v>
      </c>
      <c r="R265" s="765">
        <f t="shared" si="39"/>
        <v>458.88571428571436</v>
      </c>
      <c r="S265" s="765">
        <f t="shared" si="48"/>
        <v>467.22909090909093</v>
      </c>
      <c r="T265" s="765">
        <f t="shared" si="47"/>
        <v>467.22909090909093</v>
      </c>
    </row>
    <row r="266" spans="1:20" s="98" customFormat="1" outlineLevel="1">
      <c r="A266" s="141" t="s">
        <v>3483</v>
      </c>
      <c r="B266" s="179" t="s">
        <v>1152</v>
      </c>
      <c r="C266" s="107" t="s">
        <v>1439</v>
      </c>
      <c r="D266" s="97"/>
      <c r="E266" s="88"/>
      <c r="F266" s="89"/>
      <c r="G266" s="88">
        <f>SUM(G267:G312)</f>
        <v>527797.40363636357</v>
      </c>
      <c r="H266" s="88">
        <f>SUM(H267:H312)</f>
        <v>2166819.4608887271</v>
      </c>
      <c r="I266" s="113">
        <v>0</v>
      </c>
      <c r="J266" s="90"/>
      <c r="K266" s="190"/>
      <c r="L266" s="139"/>
      <c r="M266" s="128"/>
      <c r="N266" s="128"/>
      <c r="O266" s="122"/>
      <c r="Q266" s="765"/>
      <c r="R266" s="765"/>
      <c r="S266" s="765"/>
      <c r="T266" s="765"/>
    </row>
    <row r="267" spans="1:20" s="98" customFormat="1" outlineLevel="1">
      <c r="A267" s="141" t="s">
        <v>3483</v>
      </c>
      <c r="B267" s="175" t="s">
        <v>1153</v>
      </c>
      <c r="C267" s="100" t="s">
        <v>2526</v>
      </c>
      <c r="D267" s="183" t="s">
        <v>1468</v>
      </c>
      <c r="E267" s="20">
        <v>93</v>
      </c>
      <c r="F267" s="20">
        <f t="shared" ref="F267:F312" si="49">T267</f>
        <v>18.007272727272728</v>
      </c>
      <c r="G267" s="19">
        <f t="shared" ref="G267:G312" si="50">E267*F267</f>
        <v>1674.6763636363637</v>
      </c>
      <c r="H267" s="19">
        <f t="shared" ref="H267:H312" si="51">G267*(1+J267)</f>
        <v>6875.2163432727266</v>
      </c>
      <c r="I267" s="114" t="s">
        <v>1521</v>
      </c>
      <c r="J267" s="210">
        <f>VLOOKUP(I267,'Reajuste Atual'!$L$19:$M$25,2,FALSE)</f>
        <v>3.1053999999999999</v>
      </c>
      <c r="K267" s="190"/>
      <c r="L267" s="139"/>
      <c r="M267" s="128" t="e">
        <f>ROUND(#REF!,2)</f>
        <v>#REF!</v>
      </c>
      <c r="N267" s="128" t="e">
        <f>ROUND(#REF!,2)</f>
        <v>#REF!</v>
      </c>
      <c r="O267" s="122" t="e">
        <f t="shared" ref="O267:O312" si="52">N267*(1+J267)</f>
        <v>#REF!</v>
      </c>
      <c r="Q267" s="765">
        <v>24.76</v>
      </c>
      <c r="R267" s="765">
        <f t="shared" ref="R267:R312" si="53">Q267/($R$23+1)</f>
        <v>17.685714285714287</v>
      </c>
      <c r="S267" s="765">
        <f t="shared" ref="S267:S312" si="54">Q267/($S$23+1)</f>
        <v>18.007272727272728</v>
      </c>
      <c r="T267" s="765">
        <f t="shared" ref="T267:T312" si="55">IF(A267="S",R267,S267)</f>
        <v>18.007272727272728</v>
      </c>
    </row>
    <row r="268" spans="1:20" s="98" customFormat="1" outlineLevel="1">
      <c r="A268" s="141" t="s">
        <v>3483</v>
      </c>
      <c r="B268" s="175" t="s">
        <v>1154</v>
      </c>
      <c r="C268" s="100" t="s">
        <v>2527</v>
      </c>
      <c r="D268" s="183" t="s">
        <v>1468</v>
      </c>
      <c r="E268" s="20">
        <v>209</v>
      </c>
      <c r="F268" s="20">
        <f t="shared" si="49"/>
        <v>33.57090909090909</v>
      </c>
      <c r="G268" s="19">
        <f t="shared" si="50"/>
        <v>7016.32</v>
      </c>
      <c r="H268" s="19">
        <f t="shared" si="51"/>
        <v>28804.800127999995</v>
      </c>
      <c r="I268" s="114" t="s">
        <v>1521</v>
      </c>
      <c r="J268" s="210">
        <f>VLOOKUP(I268,'Reajuste Atual'!$L$19:$M$25,2,FALSE)</f>
        <v>3.1053999999999999</v>
      </c>
      <c r="K268" s="190"/>
      <c r="L268" s="139"/>
      <c r="M268" s="128" t="e">
        <f>ROUND(#REF!,2)</f>
        <v>#REF!</v>
      </c>
      <c r="N268" s="128" t="e">
        <f>ROUND(#REF!,2)</f>
        <v>#REF!</v>
      </c>
      <c r="O268" s="122" t="e">
        <f t="shared" si="52"/>
        <v>#REF!</v>
      </c>
      <c r="Q268" s="765">
        <v>46.16</v>
      </c>
      <c r="R268" s="765">
        <f t="shared" si="53"/>
        <v>32.971428571428568</v>
      </c>
      <c r="S268" s="765">
        <f t="shared" si="54"/>
        <v>33.57090909090909</v>
      </c>
      <c r="T268" s="765">
        <f t="shared" si="55"/>
        <v>33.57090909090909</v>
      </c>
    </row>
    <row r="269" spans="1:20" s="98" customFormat="1" outlineLevel="1">
      <c r="A269" s="141" t="s">
        <v>3483</v>
      </c>
      <c r="B269" s="175" t="s">
        <v>1155</v>
      </c>
      <c r="C269" s="100" t="s">
        <v>2528</v>
      </c>
      <c r="D269" s="183" t="s">
        <v>1468</v>
      </c>
      <c r="E269" s="20">
        <v>250</v>
      </c>
      <c r="F269" s="20">
        <f t="shared" si="49"/>
        <v>34.96</v>
      </c>
      <c r="G269" s="19">
        <f t="shared" si="50"/>
        <v>8740</v>
      </c>
      <c r="H269" s="19">
        <f t="shared" si="51"/>
        <v>35881.195999999996</v>
      </c>
      <c r="I269" s="114" t="s">
        <v>1521</v>
      </c>
      <c r="J269" s="210">
        <f>VLOOKUP(I269,'Reajuste Atual'!$L$19:$M$25,2,FALSE)</f>
        <v>3.1053999999999999</v>
      </c>
      <c r="K269" s="190"/>
      <c r="L269" s="139"/>
      <c r="M269" s="128" t="e">
        <f>ROUND(#REF!,2)</f>
        <v>#REF!</v>
      </c>
      <c r="N269" s="128" t="e">
        <f>ROUND(#REF!,2)</f>
        <v>#REF!</v>
      </c>
      <c r="O269" s="122" t="e">
        <f t="shared" si="52"/>
        <v>#REF!</v>
      </c>
      <c r="Q269" s="765">
        <v>48.07</v>
      </c>
      <c r="R269" s="765">
        <f t="shared" si="53"/>
        <v>34.335714285714289</v>
      </c>
      <c r="S269" s="765">
        <f t="shared" si="54"/>
        <v>34.96</v>
      </c>
      <c r="T269" s="765">
        <f t="shared" si="55"/>
        <v>34.96</v>
      </c>
    </row>
    <row r="270" spans="1:20" s="98" customFormat="1" outlineLevel="1">
      <c r="A270" s="141" t="s">
        <v>3483</v>
      </c>
      <c r="B270" s="175" t="s">
        <v>1156</v>
      </c>
      <c r="C270" s="100" t="s">
        <v>2529</v>
      </c>
      <c r="D270" s="183" t="s">
        <v>1468</v>
      </c>
      <c r="E270" s="20">
        <v>126</v>
      </c>
      <c r="F270" s="20">
        <f t="shared" si="49"/>
        <v>9.1854545454545455</v>
      </c>
      <c r="G270" s="19">
        <f t="shared" si="50"/>
        <v>1157.3672727272728</v>
      </c>
      <c r="H270" s="19">
        <f t="shared" si="51"/>
        <v>4751.4556014545451</v>
      </c>
      <c r="I270" s="114" t="s">
        <v>1521</v>
      </c>
      <c r="J270" s="210">
        <f>VLOOKUP(I270,'Reajuste Atual'!$L$19:$M$25,2,FALSE)</f>
        <v>3.1053999999999999</v>
      </c>
      <c r="K270" s="190"/>
      <c r="L270" s="139"/>
      <c r="M270" s="128" t="e">
        <f>ROUND(#REF!,2)</f>
        <v>#REF!</v>
      </c>
      <c r="N270" s="128" t="e">
        <f>ROUND(#REF!,2)</f>
        <v>#REF!</v>
      </c>
      <c r="O270" s="122" t="e">
        <f t="shared" si="52"/>
        <v>#REF!</v>
      </c>
      <c r="Q270" s="765">
        <v>12.63</v>
      </c>
      <c r="R270" s="765">
        <f t="shared" si="53"/>
        <v>9.0214285714285722</v>
      </c>
      <c r="S270" s="765">
        <f t="shared" si="54"/>
        <v>9.1854545454545455</v>
      </c>
      <c r="T270" s="765">
        <f t="shared" si="55"/>
        <v>9.1854545454545455</v>
      </c>
    </row>
    <row r="271" spans="1:20" s="98" customFormat="1" outlineLevel="1">
      <c r="A271" s="141" t="s">
        <v>3483</v>
      </c>
      <c r="B271" s="175" t="s">
        <v>1157</v>
      </c>
      <c r="C271" s="100" t="s">
        <v>2530</v>
      </c>
      <c r="D271" s="183" t="s">
        <v>1468</v>
      </c>
      <c r="E271" s="20">
        <v>38</v>
      </c>
      <c r="F271" s="20">
        <f t="shared" si="49"/>
        <v>136.10909090909092</v>
      </c>
      <c r="G271" s="19">
        <f t="shared" si="50"/>
        <v>5172.1454545454553</v>
      </c>
      <c r="H271" s="19">
        <f t="shared" si="51"/>
        <v>21233.725949090909</v>
      </c>
      <c r="I271" s="114" t="s">
        <v>1521</v>
      </c>
      <c r="J271" s="210">
        <f>VLOOKUP(I271,'Reajuste Atual'!$L$19:$M$25,2,FALSE)</f>
        <v>3.1053999999999999</v>
      </c>
      <c r="K271" s="190"/>
      <c r="L271" s="139"/>
      <c r="M271" s="128" t="e">
        <f>ROUND(#REF!,2)</f>
        <v>#REF!</v>
      </c>
      <c r="N271" s="128" t="e">
        <f>ROUND(#REF!,2)</f>
        <v>#REF!</v>
      </c>
      <c r="O271" s="122" t="e">
        <f t="shared" si="52"/>
        <v>#REF!</v>
      </c>
      <c r="Q271" s="765">
        <v>187.15</v>
      </c>
      <c r="R271" s="765">
        <f t="shared" si="53"/>
        <v>133.67857142857144</v>
      </c>
      <c r="S271" s="765">
        <f t="shared" si="54"/>
        <v>136.10909090909092</v>
      </c>
      <c r="T271" s="765">
        <f t="shared" si="55"/>
        <v>136.10909090909092</v>
      </c>
    </row>
    <row r="272" spans="1:20" s="98" customFormat="1" outlineLevel="1">
      <c r="A272" s="141" t="s">
        <v>3483</v>
      </c>
      <c r="B272" s="175" t="s">
        <v>1158</v>
      </c>
      <c r="C272" s="100" t="s">
        <v>2531</v>
      </c>
      <c r="D272" s="183" t="s">
        <v>1468</v>
      </c>
      <c r="E272" s="20">
        <v>45</v>
      </c>
      <c r="F272" s="20">
        <f t="shared" si="49"/>
        <v>208.07272727272729</v>
      </c>
      <c r="G272" s="19">
        <f t="shared" si="50"/>
        <v>9363.2727272727279</v>
      </c>
      <c r="H272" s="19">
        <f t="shared" si="51"/>
        <v>38439.979854545454</v>
      </c>
      <c r="I272" s="114" t="s">
        <v>1521</v>
      </c>
      <c r="J272" s="210">
        <f>VLOOKUP(I272,'Reajuste Atual'!$L$19:$M$25,2,FALSE)</f>
        <v>3.1053999999999999</v>
      </c>
      <c r="K272" s="190"/>
      <c r="L272" s="139"/>
      <c r="M272" s="128" t="e">
        <f>ROUND(#REF!,2)</f>
        <v>#REF!</v>
      </c>
      <c r="N272" s="128" t="e">
        <f>ROUND(#REF!,2)</f>
        <v>#REF!</v>
      </c>
      <c r="O272" s="122" t="e">
        <f t="shared" si="52"/>
        <v>#REF!</v>
      </c>
      <c r="Q272" s="765">
        <v>286.10000000000002</v>
      </c>
      <c r="R272" s="765">
        <f t="shared" si="53"/>
        <v>204.35714285714289</v>
      </c>
      <c r="S272" s="765">
        <f t="shared" si="54"/>
        <v>208.07272727272729</v>
      </c>
      <c r="T272" s="765">
        <f t="shared" si="55"/>
        <v>208.07272727272729</v>
      </c>
    </row>
    <row r="273" spans="1:20" s="98" customFormat="1" outlineLevel="1">
      <c r="A273" s="141" t="s">
        <v>3483</v>
      </c>
      <c r="B273" s="175" t="s">
        <v>1159</v>
      </c>
      <c r="C273" s="100" t="s">
        <v>2532</v>
      </c>
      <c r="D273" s="183" t="s">
        <v>1468</v>
      </c>
      <c r="E273" s="20">
        <v>38</v>
      </c>
      <c r="F273" s="20">
        <f t="shared" si="49"/>
        <v>113.78181818181817</v>
      </c>
      <c r="G273" s="19">
        <f t="shared" si="50"/>
        <v>4323.7090909090903</v>
      </c>
      <c r="H273" s="19">
        <f t="shared" si="51"/>
        <v>17750.555301818178</v>
      </c>
      <c r="I273" s="114" t="s">
        <v>1521</v>
      </c>
      <c r="J273" s="210">
        <f>VLOOKUP(I273,'Reajuste Atual'!$L$19:$M$25,2,FALSE)</f>
        <v>3.1053999999999999</v>
      </c>
      <c r="K273" s="190"/>
      <c r="L273" s="139"/>
      <c r="M273" s="128" t="e">
        <f>ROUND(#REF!,2)</f>
        <v>#REF!</v>
      </c>
      <c r="N273" s="128" t="e">
        <f>ROUND(#REF!,2)</f>
        <v>#REF!</v>
      </c>
      <c r="O273" s="122" t="e">
        <f t="shared" si="52"/>
        <v>#REF!</v>
      </c>
      <c r="Q273" s="765">
        <v>156.44999999999999</v>
      </c>
      <c r="R273" s="765">
        <f t="shared" si="53"/>
        <v>111.75</v>
      </c>
      <c r="S273" s="765">
        <f t="shared" si="54"/>
        <v>113.78181818181817</v>
      </c>
      <c r="T273" s="765">
        <f t="shared" si="55"/>
        <v>113.78181818181817</v>
      </c>
    </row>
    <row r="274" spans="1:20" s="98" customFormat="1" outlineLevel="1">
      <c r="A274" s="141" t="s">
        <v>3483</v>
      </c>
      <c r="B274" s="175" t="s">
        <v>1160</v>
      </c>
      <c r="C274" s="100" t="s">
        <v>2533</v>
      </c>
      <c r="D274" s="183" t="s">
        <v>1468</v>
      </c>
      <c r="E274" s="20">
        <v>19</v>
      </c>
      <c r="F274" s="20">
        <f t="shared" si="49"/>
        <v>184.49454545454546</v>
      </c>
      <c r="G274" s="19">
        <f t="shared" si="50"/>
        <v>3505.3963636363637</v>
      </c>
      <c r="H274" s="19">
        <f t="shared" si="51"/>
        <v>14391.054231272727</v>
      </c>
      <c r="I274" s="114" t="s">
        <v>1521</v>
      </c>
      <c r="J274" s="210">
        <f>VLOOKUP(I274,'Reajuste Atual'!$L$19:$M$25,2,FALSE)</f>
        <v>3.1053999999999999</v>
      </c>
      <c r="K274" s="190"/>
      <c r="L274" s="139"/>
      <c r="M274" s="128" t="e">
        <f>ROUND(#REF!,2)</f>
        <v>#REF!</v>
      </c>
      <c r="N274" s="128" t="e">
        <f>ROUND(#REF!,2)</f>
        <v>#REF!</v>
      </c>
      <c r="O274" s="122" t="e">
        <f t="shared" si="52"/>
        <v>#REF!</v>
      </c>
      <c r="Q274" s="765">
        <v>253.68</v>
      </c>
      <c r="R274" s="765">
        <f t="shared" si="53"/>
        <v>181.20000000000002</v>
      </c>
      <c r="S274" s="765">
        <f t="shared" si="54"/>
        <v>184.49454545454546</v>
      </c>
      <c r="T274" s="765">
        <f t="shared" si="55"/>
        <v>184.49454545454546</v>
      </c>
    </row>
    <row r="275" spans="1:20" s="98" customFormat="1" outlineLevel="1">
      <c r="A275" s="141" t="s">
        <v>3483</v>
      </c>
      <c r="B275" s="175" t="s">
        <v>1161</v>
      </c>
      <c r="C275" s="100" t="s">
        <v>2534</v>
      </c>
      <c r="D275" s="183" t="s">
        <v>1468</v>
      </c>
      <c r="E275" s="20">
        <v>57</v>
      </c>
      <c r="F275" s="20">
        <f t="shared" si="49"/>
        <v>742.18909090909085</v>
      </c>
      <c r="G275" s="19">
        <f t="shared" si="50"/>
        <v>42304.778181818176</v>
      </c>
      <c r="H275" s="19">
        <f t="shared" si="51"/>
        <v>173678.03634763631</v>
      </c>
      <c r="I275" s="114" t="s">
        <v>1521</v>
      </c>
      <c r="J275" s="210">
        <f>VLOOKUP(I275,'Reajuste Atual'!$L$19:$M$25,2,FALSE)</f>
        <v>3.1053999999999999</v>
      </c>
      <c r="K275" s="190"/>
      <c r="L275" s="139"/>
      <c r="M275" s="128" t="e">
        <f>ROUND(#REF!,2)</f>
        <v>#REF!</v>
      </c>
      <c r="N275" s="128" t="e">
        <f>ROUND(#REF!,2)</f>
        <v>#REF!</v>
      </c>
      <c r="O275" s="122" t="e">
        <f t="shared" si="52"/>
        <v>#REF!</v>
      </c>
      <c r="Q275" s="765">
        <v>1020.51</v>
      </c>
      <c r="R275" s="765">
        <f t="shared" si="53"/>
        <v>728.93571428571431</v>
      </c>
      <c r="S275" s="765">
        <f t="shared" si="54"/>
        <v>742.18909090909085</v>
      </c>
      <c r="T275" s="765">
        <f t="shared" si="55"/>
        <v>742.18909090909085</v>
      </c>
    </row>
    <row r="276" spans="1:20" s="98" customFormat="1" outlineLevel="1">
      <c r="A276" s="141" t="s">
        <v>3483</v>
      </c>
      <c r="B276" s="175" t="s">
        <v>1162</v>
      </c>
      <c r="C276" s="100" t="s">
        <v>2535</v>
      </c>
      <c r="D276" s="183" t="s">
        <v>1468</v>
      </c>
      <c r="E276" s="20">
        <v>62</v>
      </c>
      <c r="F276" s="20">
        <f t="shared" si="49"/>
        <v>1103.5272727272727</v>
      </c>
      <c r="G276" s="19">
        <f t="shared" si="50"/>
        <v>68418.690909090903</v>
      </c>
      <c r="H276" s="19">
        <f t="shared" si="51"/>
        <v>280886.09365818178</v>
      </c>
      <c r="I276" s="114" t="s">
        <v>1521</v>
      </c>
      <c r="J276" s="210">
        <f>VLOOKUP(I276,'Reajuste Atual'!$L$19:$M$25,2,FALSE)</f>
        <v>3.1053999999999999</v>
      </c>
      <c r="K276" s="190"/>
      <c r="L276" s="139"/>
      <c r="M276" s="128" t="e">
        <f>ROUND(#REF!,2)</f>
        <v>#REF!</v>
      </c>
      <c r="N276" s="128" t="e">
        <f>ROUND(#REF!,2)</f>
        <v>#REF!</v>
      </c>
      <c r="O276" s="122" t="e">
        <f t="shared" si="52"/>
        <v>#REF!</v>
      </c>
      <c r="Q276" s="765">
        <v>1517.35</v>
      </c>
      <c r="R276" s="765">
        <f t="shared" si="53"/>
        <v>1083.8214285714287</v>
      </c>
      <c r="S276" s="765">
        <f t="shared" si="54"/>
        <v>1103.5272727272727</v>
      </c>
      <c r="T276" s="765">
        <f t="shared" si="55"/>
        <v>1103.5272727272727</v>
      </c>
    </row>
    <row r="277" spans="1:20" s="98" customFormat="1" outlineLevel="1">
      <c r="A277" s="141" t="s">
        <v>3483</v>
      </c>
      <c r="B277" s="175" t="s">
        <v>1163</v>
      </c>
      <c r="C277" s="100" t="s">
        <v>2536</v>
      </c>
      <c r="D277" s="183" t="s">
        <v>1468</v>
      </c>
      <c r="E277" s="20">
        <v>31</v>
      </c>
      <c r="F277" s="20">
        <f t="shared" si="49"/>
        <v>494.91636363636366</v>
      </c>
      <c r="G277" s="19">
        <f t="shared" si="50"/>
        <v>15342.407272727274</v>
      </c>
      <c r="H277" s="19">
        <f t="shared" si="51"/>
        <v>62986.718817454544</v>
      </c>
      <c r="I277" s="114" t="s">
        <v>1521</v>
      </c>
      <c r="J277" s="210">
        <f>VLOOKUP(I277,'Reajuste Atual'!$L$19:$M$25,2,FALSE)</f>
        <v>3.1053999999999999</v>
      </c>
      <c r="K277" s="190"/>
      <c r="L277" s="139"/>
      <c r="M277" s="128" t="e">
        <f>ROUND(#REF!,2)</f>
        <v>#REF!</v>
      </c>
      <c r="N277" s="128" t="e">
        <f>ROUND(#REF!,2)</f>
        <v>#REF!</v>
      </c>
      <c r="O277" s="122" t="e">
        <f t="shared" si="52"/>
        <v>#REF!</v>
      </c>
      <c r="Q277" s="765">
        <v>680.51</v>
      </c>
      <c r="R277" s="765">
        <f t="shared" si="53"/>
        <v>486.07857142857148</v>
      </c>
      <c r="S277" s="765">
        <f t="shared" si="54"/>
        <v>494.91636363636366</v>
      </c>
      <c r="T277" s="765">
        <f t="shared" si="55"/>
        <v>494.91636363636366</v>
      </c>
    </row>
    <row r="278" spans="1:20" s="98" customFormat="1" outlineLevel="1">
      <c r="A278" s="141" t="s">
        <v>3483</v>
      </c>
      <c r="B278" s="175" t="s">
        <v>1164</v>
      </c>
      <c r="C278" s="100" t="s">
        <v>2537</v>
      </c>
      <c r="D278" s="183" t="s">
        <v>1468</v>
      </c>
      <c r="E278" s="20">
        <v>42</v>
      </c>
      <c r="F278" s="20">
        <f t="shared" si="49"/>
        <v>268.62545454545455</v>
      </c>
      <c r="G278" s="19">
        <f t="shared" si="50"/>
        <v>11282.269090909091</v>
      </c>
      <c r="H278" s="19">
        <f t="shared" si="51"/>
        <v>46318.227525818176</v>
      </c>
      <c r="I278" s="114" t="s">
        <v>1521</v>
      </c>
      <c r="J278" s="210">
        <f>VLOOKUP(I278,'Reajuste Atual'!$L$19:$M$25,2,FALSE)</f>
        <v>3.1053999999999999</v>
      </c>
      <c r="K278" s="190"/>
      <c r="L278" s="139"/>
      <c r="M278" s="128" t="e">
        <f>ROUND(#REF!,2)</f>
        <v>#REF!</v>
      </c>
      <c r="N278" s="128" t="e">
        <f>ROUND(#REF!,2)</f>
        <v>#REF!</v>
      </c>
      <c r="O278" s="122" t="e">
        <f t="shared" si="52"/>
        <v>#REF!</v>
      </c>
      <c r="Q278" s="765">
        <v>369.36</v>
      </c>
      <c r="R278" s="765">
        <f t="shared" si="53"/>
        <v>263.82857142857148</v>
      </c>
      <c r="S278" s="765">
        <f t="shared" si="54"/>
        <v>268.62545454545455</v>
      </c>
      <c r="T278" s="765">
        <f t="shared" si="55"/>
        <v>268.62545454545455</v>
      </c>
    </row>
    <row r="279" spans="1:20" s="98" customFormat="1" outlineLevel="1">
      <c r="A279" s="141" t="s">
        <v>3483</v>
      </c>
      <c r="B279" s="175" t="s">
        <v>1165</v>
      </c>
      <c r="C279" s="100" t="s">
        <v>2538</v>
      </c>
      <c r="D279" s="183" t="s">
        <v>1468</v>
      </c>
      <c r="E279" s="20">
        <v>38</v>
      </c>
      <c r="F279" s="20">
        <f t="shared" si="49"/>
        <v>197.30181818181819</v>
      </c>
      <c r="G279" s="19">
        <f t="shared" si="50"/>
        <v>7497.4690909090914</v>
      </c>
      <c r="H279" s="19">
        <f t="shared" si="51"/>
        <v>30780.109605818179</v>
      </c>
      <c r="I279" s="114" t="s">
        <v>1521</v>
      </c>
      <c r="J279" s="210">
        <f>VLOOKUP(I279,'Reajuste Atual'!$L$19:$M$25,2,FALSE)</f>
        <v>3.1053999999999999</v>
      </c>
      <c r="K279" s="190"/>
      <c r="L279" s="139"/>
      <c r="M279" s="128" t="e">
        <f>ROUND(#REF!,2)</f>
        <v>#REF!</v>
      </c>
      <c r="N279" s="128" t="e">
        <f>ROUND(#REF!,2)</f>
        <v>#REF!</v>
      </c>
      <c r="O279" s="122" t="e">
        <f t="shared" si="52"/>
        <v>#REF!</v>
      </c>
      <c r="Q279" s="765">
        <v>271.29000000000002</v>
      </c>
      <c r="R279" s="765">
        <f t="shared" si="53"/>
        <v>193.77857142857147</v>
      </c>
      <c r="S279" s="765">
        <f t="shared" si="54"/>
        <v>197.30181818181819</v>
      </c>
      <c r="T279" s="765">
        <f t="shared" si="55"/>
        <v>197.30181818181819</v>
      </c>
    </row>
    <row r="280" spans="1:20" s="98" customFormat="1" outlineLevel="1">
      <c r="A280" s="141" t="s">
        <v>3483</v>
      </c>
      <c r="B280" s="175" t="s">
        <v>1166</v>
      </c>
      <c r="C280" s="100" t="s">
        <v>2539</v>
      </c>
      <c r="D280" s="183" t="s">
        <v>1468</v>
      </c>
      <c r="E280" s="20">
        <v>13</v>
      </c>
      <c r="F280" s="20">
        <f t="shared" si="49"/>
        <v>307.65090909090907</v>
      </c>
      <c r="G280" s="19">
        <f t="shared" si="50"/>
        <v>3999.4618181818178</v>
      </c>
      <c r="H280" s="19">
        <f t="shared" si="51"/>
        <v>16419.390548363634</v>
      </c>
      <c r="I280" s="114" t="s">
        <v>1521</v>
      </c>
      <c r="J280" s="210">
        <f>VLOOKUP(I280,'Reajuste Atual'!$L$19:$M$25,2,FALSE)</f>
        <v>3.1053999999999999</v>
      </c>
      <c r="K280" s="190"/>
      <c r="L280" s="139"/>
      <c r="M280" s="128" t="e">
        <f>ROUND(#REF!,2)</f>
        <v>#REF!</v>
      </c>
      <c r="N280" s="128" t="e">
        <f>ROUND(#REF!,2)</f>
        <v>#REF!</v>
      </c>
      <c r="O280" s="122" t="e">
        <f t="shared" si="52"/>
        <v>#REF!</v>
      </c>
      <c r="Q280" s="765">
        <v>423.02</v>
      </c>
      <c r="R280" s="765">
        <f t="shared" si="53"/>
        <v>302.15714285714284</v>
      </c>
      <c r="S280" s="765">
        <f t="shared" si="54"/>
        <v>307.65090909090907</v>
      </c>
      <c r="T280" s="765">
        <f t="shared" si="55"/>
        <v>307.65090909090907</v>
      </c>
    </row>
    <row r="281" spans="1:20" s="98" customFormat="1" outlineLevel="1">
      <c r="A281" s="141" t="s">
        <v>3483</v>
      </c>
      <c r="B281" s="175" t="s">
        <v>1167</v>
      </c>
      <c r="C281" s="100" t="s">
        <v>2540</v>
      </c>
      <c r="D281" s="183" t="s">
        <v>1468</v>
      </c>
      <c r="E281" s="20">
        <v>10</v>
      </c>
      <c r="F281" s="20">
        <f t="shared" si="49"/>
        <v>414.66181818181815</v>
      </c>
      <c r="G281" s="19">
        <f t="shared" si="50"/>
        <v>4146.6181818181813</v>
      </c>
      <c r="H281" s="19">
        <f t="shared" si="51"/>
        <v>17023.526283636358</v>
      </c>
      <c r="I281" s="114" t="s">
        <v>1521</v>
      </c>
      <c r="J281" s="210">
        <f>VLOOKUP(I281,'Reajuste Atual'!$L$19:$M$25,2,FALSE)</f>
        <v>3.1053999999999999</v>
      </c>
      <c r="K281" s="190"/>
      <c r="L281" s="139"/>
      <c r="M281" s="128" t="e">
        <f>ROUND(#REF!,2)</f>
        <v>#REF!</v>
      </c>
      <c r="N281" s="128" t="e">
        <f>ROUND(#REF!,2)</f>
        <v>#REF!</v>
      </c>
      <c r="O281" s="122" t="e">
        <f t="shared" si="52"/>
        <v>#REF!</v>
      </c>
      <c r="Q281" s="765">
        <v>570.16</v>
      </c>
      <c r="R281" s="765">
        <f t="shared" si="53"/>
        <v>407.25714285714287</v>
      </c>
      <c r="S281" s="765">
        <f t="shared" si="54"/>
        <v>414.66181818181815</v>
      </c>
      <c r="T281" s="765">
        <f t="shared" si="55"/>
        <v>414.66181818181815</v>
      </c>
    </row>
    <row r="282" spans="1:20" s="98" customFormat="1" outlineLevel="1">
      <c r="A282" s="141" t="s">
        <v>3483</v>
      </c>
      <c r="B282" s="175" t="s">
        <v>1168</v>
      </c>
      <c r="C282" s="100" t="s">
        <v>2541</v>
      </c>
      <c r="D282" s="183" t="s">
        <v>1468</v>
      </c>
      <c r="E282" s="20">
        <v>14</v>
      </c>
      <c r="F282" s="20">
        <f t="shared" si="49"/>
        <v>331.05454545454546</v>
      </c>
      <c r="G282" s="19">
        <f t="shared" si="50"/>
        <v>4634.7636363636366</v>
      </c>
      <c r="H282" s="19">
        <f t="shared" si="51"/>
        <v>19027.558632727272</v>
      </c>
      <c r="I282" s="114" t="s">
        <v>1521</v>
      </c>
      <c r="J282" s="210">
        <f>VLOOKUP(I282,'Reajuste Atual'!$L$19:$M$25,2,FALSE)</f>
        <v>3.1053999999999999</v>
      </c>
      <c r="K282" s="190"/>
      <c r="L282" s="139"/>
      <c r="M282" s="128" t="e">
        <f>ROUND(#REF!,2)</f>
        <v>#REF!</v>
      </c>
      <c r="N282" s="128" t="e">
        <f>ROUND(#REF!,2)</f>
        <v>#REF!</v>
      </c>
      <c r="O282" s="122" t="e">
        <f t="shared" si="52"/>
        <v>#REF!</v>
      </c>
      <c r="Q282" s="765">
        <v>455.2</v>
      </c>
      <c r="R282" s="765">
        <f t="shared" si="53"/>
        <v>325.14285714285717</v>
      </c>
      <c r="S282" s="765">
        <f t="shared" si="54"/>
        <v>331.05454545454546</v>
      </c>
      <c r="T282" s="765">
        <f t="shared" si="55"/>
        <v>331.05454545454546</v>
      </c>
    </row>
    <row r="283" spans="1:20" s="98" customFormat="1" outlineLevel="1">
      <c r="A283" s="141" t="s">
        <v>3483</v>
      </c>
      <c r="B283" s="175" t="s">
        <v>1169</v>
      </c>
      <c r="C283" s="100" t="s">
        <v>2542</v>
      </c>
      <c r="D283" s="183" t="s">
        <v>1468</v>
      </c>
      <c r="E283" s="20">
        <v>8</v>
      </c>
      <c r="F283" s="20">
        <f t="shared" si="49"/>
        <v>418</v>
      </c>
      <c r="G283" s="19">
        <f t="shared" si="50"/>
        <v>3344</v>
      </c>
      <c r="H283" s="19">
        <f t="shared" si="51"/>
        <v>13728.457599999998</v>
      </c>
      <c r="I283" s="114" t="s">
        <v>1521</v>
      </c>
      <c r="J283" s="210">
        <f>VLOOKUP(I283,'Reajuste Atual'!$L$19:$M$25,2,FALSE)</f>
        <v>3.1053999999999999</v>
      </c>
      <c r="K283" s="190"/>
      <c r="L283" s="139"/>
      <c r="M283" s="128" t="e">
        <f>ROUND(#REF!,2)</f>
        <v>#REF!</v>
      </c>
      <c r="N283" s="128" t="e">
        <f>ROUND(#REF!,2)</f>
        <v>#REF!</v>
      </c>
      <c r="O283" s="122" t="e">
        <f t="shared" si="52"/>
        <v>#REF!</v>
      </c>
      <c r="Q283" s="765">
        <v>574.75</v>
      </c>
      <c r="R283" s="765">
        <f t="shared" si="53"/>
        <v>410.53571428571433</v>
      </c>
      <c r="S283" s="765">
        <f t="shared" si="54"/>
        <v>418</v>
      </c>
      <c r="T283" s="765">
        <f t="shared" si="55"/>
        <v>418</v>
      </c>
    </row>
    <row r="284" spans="1:20" s="98" customFormat="1" outlineLevel="1">
      <c r="A284" s="141" t="s">
        <v>3483</v>
      </c>
      <c r="B284" s="175" t="s">
        <v>1170</v>
      </c>
      <c r="C284" s="100" t="s">
        <v>2543</v>
      </c>
      <c r="D284" s="183" t="s">
        <v>1468</v>
      </c>
      <c r="E284" s="20">
        <v>12</v>
      </c>
      <c r="F284" s="20">
        <f t="shared" si="49"/>
        <v>399.60727272727274</v>
      </c>
      <c r="G284" s="19">
        <f t="shared" si="50"/>
        <v>4795.2872727272734</v>
      </c>
      <c r="H284" s="19">
        <f t="shared" si="51"/>
        <v>19686.572369454545</v>
      </c>
      <c r="I284" s="114" t="s">
        <v>1521</v>
      </c>
      <c r="J284" s="210">
        <f>VLOOKUP(I284,'Reajuste Atual'!$L$19:$M$25,2,FALSE)</f>
        <v>3.1053999999999999</v>
      </c>
      <c r="K284" s="190"/>
      <c r="L284" s="139"/>
      <c r="M284" s="128" t="e">
        <f>ROUND(#REF!,2)</f>
        <v>#REF!</v>
      </c>
      <c r="N284" s="128" t="e">
        <f>ROUND(#REF!,2)</f>
        <v>#REF!</v>
      </c>
      <c r="O284" s="122" t="e">
        <f t="shared" si="52"/>
        <v>#REF!</v>
      </c>
      <c r="Q284" s="765">
        <v>549.46</v>
      </c>
      <c r="R284" s="765">
        <f t="shared" si="53"/>
        <v>392.47142857142865</v>
      </c>
      <c r="S284" s="765">
        <f t="shared" si="54"/>
        <v>399.60727272727274</v>
      </c>
      <c r="T284" s="765">
        <f t="shared" si="55"/>
        <v>399.60727272727274</v>
      </c>
    </row>
    <row r="285" spans="1:20" s="98" customFormat="1" outlineLevel="1">
      <c r="A285" s="141" t="s">
        <v>3483</v>
      </c>
      <c r="B285" s="175" t="s">
        <v>1171</v>
      </c>
      <c r="C285" s="100" t="s">
        <v>2544</v>
      </c>
      <c r="D285" s="183" t="s">
        <v>1468</v>
      </c>
      <c r="E285" s="20">
        <v>5</v>
      </c>
      <c r="F285" s="20">
        <f t="shared" si="49"/>
        <v>576.84363636363639</v>
      </c>
      <c r="G285" s="19">
        <f t="shared" si="50"/>
        <v>2884.2181818181821</v>
      </c>
      <c r="H285" s="19">
        <f t="shared" si="51"/>
        <v>11840.869323636363</v>
      </c>
      <c r="I285" s="114" t="s">
        <v>1521</v>
      </c>
      <c r="J285" s="210">
        <f>VLOOKUP(I285,'Reajuste Atual'!$L$19:$M$25,2,FALSE)</f>
        <v>3.1053999999999999</v>
      </c>
      <c r="K285" s="190"/>
      <c r="L285" s="139"/>
      <c r="M285" s="128" t="e">
        <f>ROUND(#REF!,2)</f>
        <v>#REF!</v>
      </c>
      <c r="N285" s="128" t="e">
        <f>ROUND(#REF!,2)</f>
        <v>#REF!</v>
      </c>
      <c r="O285" s="122" t="e">
        <f t="shared" si="52"/>
        <v>#REF!</v>
      </c>
      <c r="Q285" s="765">
        <v>793.16</v>
      </c>
      <c r="R285" s="765">
        <f t="shared" si="53"/>
        <v>566.5428571428572</v>
      </c>
      <c r="S285" s="765">
        <f t="shared" si="54"/>
        <v>576.84363636363639</v>
      </c>
      <c r="T285" s="765">
        <f t="shared" si="55"/>
        <v>576.84363636363639</v>
      </c>
    </row>
    <row r="286" spans="1:20" s="98" customFormat="1" outlineLevel="1">
      <c r="A286" s="141" t="s">
        <v>3483</v>
      </c>
      <c r="B286" s="175" t="s">
        <v>1172</v>
      </c>
      <c r="C286" s="100" t="s">
        <v>2545</v>
      </c>
      <c r="D286" s="183" t="s">
        <v>1468</v>
      </c>
      <c r="E286" s="20">
        <v>7</v>
      </c>
      <c r="F286" s="20">
        <f t="shared" si="49"/>
        <v>948.02909090909088</v>
      </c>
      <c r="G286" s="19">
        <f t="shared" si="50"/>
        <v>6636.2036363636362</v>
      </c>
      <c r="H286" s="19">
        <f t="shared" si="51"/>
        <v>27244.270408727269</v>
      </c>
      <c r="I286" s="114" t="s">
        <v>1521</v>
      </c>
      <c r="J286" s="210">
        <f>VLOOKUP(I286,'Reajuste Atual'!$L$19:$M$25,2,FALSE)</f>
        <v>3.1053999999999999</v>
      </c>
      <c r="K286" s="190"/>
      <c r="L286" s="139"/>
      <c r="M286" s="128" t="e">
        <f>ROUND(#REF!,2)</f>
        <v>#REF!</v>
      </c>
      <c r="N286" s="128" t="e">
        <f>ROUND(#REF!,2)</f>
        <v>#REF!</v>
      </c>
      <c r="O286" s="122" t="e">
        <f t="shared" si="52"/>
        <v>#REF!</v>
      </c>
      <c r="Q286" s="765">
        <v>1303.54</v>
      </c>
      <c r="R286" s="765">
        <f t="shared" si="53"/>
        <v>931.1</v>
      </c>
      <c r="S286" s="765">
        <f t="shared" si="54"/>
        <v>948.02909090909088</v>
      </c>
      <c r="T286" s="765">
        <f t="shared" si="55"/>
        <v>948.02909090909088</v>
      </c>
    </row>
    <row r="287" spans="1:20" s="98" customFormat="1" outlineLevel="1">
      <c r="A287" s="141" t="s">
        <v>3483</v>
      </c>
      <c r="B287" s="175" t="s">
        <v>1173</v>
      </c>
      <c r="C287" s="100" t="s">
        <v>2545</v>
      </c>
      <c r="D287" s="183" t="s">
        <v>1468</v>
      </c>
      <c r="E287" s="20">
        <v>3</v>
      </c>
      <c r="F287" s="20">
        <f t="shared" si="49"/>
        <v>948.02909090909088</v>
      </c>
      <c r="G287" s="19">
        <f t="shared" si="50"/>
        <v>2844.0872727272726</v>
      </c>
      <c r="H287" s="19">
        <f t="shared" si="51"/>
        <v>11676.115889454544</v>
      </c>
      <c r="I287" s="114" t="s">
        <v>1521</v>
      </c>
      <c r="J287" s="210">
        <f>VLOOKUP(I287,'Reajuste Atual'!$L$19:$M$25,2,FALSE)</f>
        <v>3.1053999999999999</v>
      </c>
      <c r="K287" s="190"/>
      <c r="L287" s="139"/>
      <c r="M287" s="128" t="e">
        <f>ROUND(#REF!,2)</f>
        <v>#REF!</v>
      </c>
      <c r="N287" s="128" t="e">
        <f>ROUND(#REF!,2)</f>
        <v>#REF!</v>
      </c>
      <c r="O287" s="122" t="e">
        <f t="shared" si="52"/>
        <v>#REF!</v>
      </c>
      <c r="Q287" s="765">
        <v>1303.54</v>
      </c>
      <c r="R287" s="765">
        <f t="shared" si="53"/>
        <v>931.1</v>
      </c>
      <c r="S287" s="765">
        <f t="shared" si="54"/>
        <v>948.02909090909088</v>
      </c>
      <c r="T287" s="765">
        <f t="shared" si="55"/>
        <v>948.02909090909088</v>
      </c>
    </row>
    <row r="288" spans="1:20" s="98" customFormat="1" outlineLevel="1">
      <c r="A288" s="141" t="s">
        <v>3483</v>
      </c>
      <c r="B288" s="175" t="s">
        <v>1174</v>
      </c>
      <c r="C288" s="100" t="s">
        <v>2546</v>
      </c>
      <c r="D288" s="183" t="s">
        <v>1468</v>
      </c>
      <c r="E288" s="20">
        <v>7</v>
      </c>
      <c r="F288" s="20">
        <f t="shared" si="49"/>
        <v>938.00727272727272</v>
      </c>
      <c r="G288" s="19">
        <f t="shared" si="50"/>
        <v>6566.050909090909</v>
      </c>
      <c r="H288" s="19">
        <f t="shared" si="51"/>
        <v>26956.265402181816</v>
      </c>
      <c r="I288" s="114" t="s">
        <v>1521</v>
      </c>
      <c r="J288" s="210">
        <f>VLOOKUP(I288,'Reajuste Atual'!$L$19:$M$25,2,FALSE)</f>
        <v>3.1053999999999999</v>
      </c>
      <c r="K288" s="190"/>
      <c r="L288" s="139"/>
      <c r="M288" s="128" t="e">
        <f>ROUND(#REF!,2)</f>
        <v>#REF!</v>
      </c>
      <c r="N288" s="128" t="e">
        <f>ROUND(#REF!,2)</f>
        <v>#REF!</v>
      </c>
      <c r="O288" s="122" t="e">
        <f t="shared" si="52"/>
        <v>#REF!</v>
      </c>
      <c r="Q288" s="765">
        <v>1289.76</v>
      </c>
      <c r="R288" s="765">
        <f t="shared" si="53"/>
        <v>921.25714285714287</v>
      </c>
      <c r="S288" s="765">
        <f t="shared" si="54"/>
        <v>938.00727272727272</v>
      </c>
      <c r="T288" s="765">
        <f t="shared" si="55"/>
        <v>938.00727272727272</v>
      </c>
    </row>
    <row r="289" spans="1:20" s="98" customFormat="1" outlineLevel="1">
      <c r="A289" s="141" t="s">
        <v>3483</v>
      </c>
      <c r="B289" s="175" t="s">
        <v>1175</v>
      </c>
      <c r="C289" s="100" t="s">
        <v>2546</v>
      </c>
      <c r="D289" s="183" t="s">
        <v>1468</v>
      </c>
      <c r="E289" s="20">
        <v>3</v>
      </c>
      <c r="F289" s="20">
        <f t="shared" si="49"/>
        <v>938.00727272727272</v>
      </c>
      <c r="G289" s="19">
        <f t="shared" si="50"/>
        <v>2814.0218181818182</v>
      </c>
      <c r="H289" s="19">
        <f t="shared" si="51"/>
        <v>11552.685172363636</v>
      </c>
      <c r="I289" s="114" t="s">
        <v>1521</v>
      </c>
      <c r="J289" s="210">
        <f>VLOOKUP(I289,'Reajuste Atual'!$L$19:$M$25,2,FALSE)</f>
        <v>3.1053999999999999</v>
      </c>
      <c r="K289" s="190"/>
      <c r="L289" s="139"/>
      <c r="M289" s="128" t="e">
        <f>ROUND(#REF!,2)</f>
        <v>#REF!</v>
      </c>
      <c r="N289" s="128" t="e">
        <f>ROUND(#REF!,2)</f>
        <v>#REF!</v>
      </c>
      <c r="O289" s="122" t="e">
        <f t="shared" si="52"/>
        <v>#REF!</v>
      </c>
      <c r="Q289" s="765">
        <v>1289.76</v>
      </c>
      <c r="R289" s="765">
        <f t="shared" si="53"/>
        <v>921.25714285714287</v>
      </c>
      <c r="S289" s="765">
        <f t="shared" si="54"/>
        <v>938.00727272727272</v>
      </c>
      <c r="T289" s="765">
        <f t="shared" si="55"/>
        <v>938.00727272727272</v>
      </c>
    </row>
    <row r="290" spans="1:20" s="98" customFormat="1" outlineLevel="1">
      <c r="A290" s="141" t="s">
        <v>3483</v>
      </c>
      <c r="B290" s="175" t="s">
        <v>1176</v>
      </c>
      <c r="C290" s="100" t="s">
        <v>2547</v>
      </c>
      <c r="D290" s="183" t="s">
        <v>1468</v>
      </c>
      <c r="E290" s="20">
        <v>5</v>
      </c>
      <c r="F290" s="20">
        <f t="shared" si="49"/>
        <v>1376.0654545454545</v>
      </c>
      <c r="G290" s="19">
        <f t="shared" si="50"/>
        <v>6880.3272727272724</v>
      </c>
      <c r="H290" s="19">
        <f t="shared" si="51"/>
        <v>28246.495585454541</v>
      </c>
      <c r="I290" s="114" t="s">
        <v>1521</v>
      </c>
      <c r="J290" s="210">
        <f>VLOOKUP(I290,'Reajuste Atual'!$L$19:$M$25,2,FALSE)</f>
        <v>3.1053999999999999</v>
      </c>
      <c r="K290" s="190"/>
      <c r="L290" s="139"/>
      <c r="M290" s="128" t="e">
        <f>ROUND(#REF!,2)</f>
        <v>#REF!</v>
      </c>
      <c r="N290" s="128" t="e">
        <f>ROUND(#REF!,2)</f>
        <v>#REF!</v>
      </c>
      <c r="O290" s="122" t="e">
        <f t="shared" si="52"/>
        <v>#REF!</v>
      </c>
      <c r="Q290" s="765">
        <v>1892.09</v>
      </c>
      <c r="R290" s="765">
        <f t="shared" si="53"/>
        <v>1351.4928571428572</v>
      </c>
      <c r="S290" s="765">
        <f t="shared" si="54"/>
        <v>1376.0654545454545</v>
      </c>
      <c r="T290" s="765">
        <f t="shared" si="55"/>
        <v>1376.0654545454545</v>
      </c>
    </row>
    <row r="291" spans="1:20" s="98" customFormat="1" outlineLevel="1">
      <c r="A291" s="141" t="s">
        <v>3483</v>
      </c>
      <c r="B291" s="175" t="s">
        <v>1177</v>
      </c>
      <c r="C291" s="100" t="s">
        <v>2548</v>
      </c>
      <c r="D291" s="183" t="s">
        <v>1468</v>
      </c>
      <c r="E291" s="20">
        <v>6</v>
      </c>
      <c r="F291" s="20">
        <f t="shared" si="49"/>
        <v>1463.0109090909091</v>
      </c>
      <c r="G291" s="19">
        <f t="shared" si="50"/>
        <v>8778.0654545454545</v>
      </c>
      <c r="H291" s="19">
        <f t="shared" si="51"/>
        <v>36037.469917090908</v>
      </c>
      <c r="I291" s="114" t="s">
        <v>1521</v>
      </c>
      <c r="J291" s="210">
        <f>VLOOKUP(I291,'Reajuste Atual'!$L$19:$M$25,2,FALSE)</f>
        <v>3.1053999999999999</v>
      </c>
      <c r="K291" s="190"/>
      <c r="L291" s="139"/>
      <c r="M291" s="128" t="e">
        <f>ROUND(#REF!,2)</f>
        <v>#REF!</v>
      </c>
      <c r="N291" s="128" t="e">
        <f>ROUND(#REF!,2)</f>
        <v>#REF!</v>
      </c>
      <c r="O291" s="122" t="e">
        <f t="shared" si="52"/>
        <v>#REF!</v>
      </c>
      <c r="Q291" s="765">
        <v>2011.64</v>
      </c>
      <c r="R291" s="765">
        <f t="shared" si="53"/>
        <v>1436.8857142857144</v>
      </c>
      <c r="S291" s="765">
        <f t="shared" si="54"/>
        <v>1463.0109090909091</v>
      </c>
      <c r="T291" s="765">
        <f t="shared" si="55"/>
        <v>1463.0109090909091</v>
      </c>
    </row>
    <row r="292" spans="1:20" s="98" customFormat="1" outlineLevel="1">
      <c r="A292" s="141" t="s">
        <v>3483</v>
      </c>
      <c r="B292" s="175" t="s">
        <v>1178</v>
      </c>
      <c r="C292" s="100" t="s">
        <v>2548</v>
      </c>
      <c r="D292" s="183" t="s">
        <v>1468</v>
      </c>
      <c r="E292" s="20">
        <v>6</v>
      </c>
      <c r="F292" s="20">
        <f t="shared" si="49"/>
        <v>1463.0109090909091</v>
      </c>
      <c r="G292" s="19">
        <f t="shared" si="50"/>
        <v>8778.0654545454545</v>
      </c>
      <c r="H292" s="19">
        <f t="shared" si="51"/>
        <v>36037.469917090908</v>
      </c>
      <c r="I292" s="114" t="s">
        <v>1521</v>
      </c>
      <c r="J292" s="210">
        <f>VLOOKUP(I292,'Reajuste Atual'!$L$19:$M$25,2,FALSE)</f>
        <v>3.1053999999999999</v>
      </c>
      <c r="K292" s="190"/>
      <c r="L292" s="139"/>
      <c r="M292" s="128" t="e">
        <f>ROUND(#REF!,2)</f>
        <v>#REF!</v>
      </c>
      <c r="N292" s="128" t="e">
        <f>ROUND(#REF!,2)</f>
        <v>#REF!</v>
      </c>
      <c r="O292" s="122" t="e">
        <f t="shared" si="52"/>
        <v>#REF!</v>
      </c>
      <c r="Q292" s="765">
        <v>2011.64</v>
      </c>
      <c r="R292" s="765">
        <f t="shared" si="53"/>
        <v>1436.8857142857144</v>
      </c>
      <c r="S292" s="765">
        <f t="shared" si="54"/>
        <v>1463.0109090909091</v>
      </c>
      <c r="T292" s="765">
        <f t="shared" si="55"/>
        <v>1463.0109090909091</v>
      </c>
    </row>
    <row r="293" spans="1:20" s="98" customFormat="1" outlineLevel="1">
      <c r="A293" s="141" t="s">
        <v>3483</v>
      </c>
      <c r="B293" s="175" t="s">
        <v>1179</v>
      </c>
      <c r="C293" s="100" t="s">
        <v>2549</v>
      </c>
      <c r="D293" s="183" t="s">
        <v>1468</v>
      </c>
      <c r="E293" s="20">
        <v>15</v>
      </c>
      <c r="F293" s="20">
        <f t="shared" si="49"/>
        <v>1830.8581818181817</v>
      </c>
      <c r="G293" s="19">
        <f t="shared" si="50"/>
        <v>27462.872727272726</v>
      </c>
      <c r="H293" s="19">
        <f t="shared" si="51"/>
        <v>112746.07769454544</v>
      </c>
      <c r="I293" s="114" t="s">
        <v>1521</v>
      </c>
      <c r="J293" s="210">
        <f>VLOOKUP(I293,'Reajuste Atual'!$L$19:$M$25,2,FALSE)</f>
        <v>3.1053999999999999</v>
      </c>
      <c r="K293" s="190"/>
      <c r="L293" s="139"/>
      <c r="M293" s="128" t="e">
        <f>ROUND(#REF!,2)</f>
        <v>#REF!</v>
      </c>
      <c r="N293" s="128" t="e">
        <f>ROUND(#REF!,2)</f>
        <v>#REF!</v>
      </c>
      <c r="O293" s="122" t="e">
        <f t="shared" si="52"/>
        <v>#REF!</v>
      </c>
      <c r="Q293" s="765">
        <v>2517.4299999999998</v>
      </c>
      <c r="R293" s="765">
        <f t="shared" si="53"/>
        <v>1798.1642857142858</v>
      </c>
      <c r="S293" s="765">
        <f t="shared" si="54"/>
        <v>1830.8581818181817</v>
      </c>
      <c r="T293" s="765">
        <f t="shared" si="55"/>
        <v>1830.8581818181817</v>
      </c>
    </row>
    <row r="294" spans="1:20" s="98" customFormat="1" outlineLevel="1">
      <c r="A294" s="141" t="s">
        <v>3483</v>
      </c>
      <c r="B294" s="175" t="s">
        <v>1180</v>
      </c>
      <c r="C294" s="100" t="s">
        <v>2550</v>
      </c>
      <c r="D294" s="183" t="s">
        <v>1468</v>
      </c>
      <c r="E294" s="20">
        <v>4</v>
      </c>
      <c r="F294" s="20">
        <f t="shared" si="49"/>
        <v>2307.389090909091</v>
      </c>
      <c r="G294" s="19">
        <f t="shared" si="50"/>
        <v>9229.556363636364</v>
      </c>
      <c r="H294" s="19">
        <f t="shared" si="51"/>
        <v>37891.020695272724</v>
      </c>
      <c r="I294" s="114" t="s">
        <v>1521</v>
      </c>
      <c r="J294" s="210">
        <f>VLOOKUP(I294,'Reajuste Atual'!$L$19:$M$25,2,FALSE)</f>
        <v>3.1053999999999999</v>
      </c>
      <c r="K294" s="190"/>
      <c r="L294" s="139"/>
      <c r="M294" s="128" t="e">
        <f>ROUND(#REF!,2)</f>
        <v>#REF!</v>
      </c>
      <c r="N294" s="128" t="e">
        <f>ROUND(#REF!,2)</f>
        <v>#REF!</v>
      </c>
      <c r="O294" s="122" t="e">
        <f t="shared" si="52"/>
        <v>#REF!</v>
      </c>
      <c r="Q294" s="765">
        <v>3172.66</v>
      </c>
      <c r="R294" s="765">
        <f t="shared" si="53"/>
        <v>2266.1857142857143</v>
      </c>
      <c r="S294" s="765">
        <f t="shared" si="54"/>
        <v>2307.389090909091</v>
      </c>
      <c r="T294" s="765">
        <f t="shared" si="55"/>
        <v>2307.389090909091</v>
      </c>
    </row>
    <row r="295" spans="1:20" s="98" customFormat="1" outlineLevel="1">
      <c r="A295" s="141" t="s">
        <v>3483</v>
      </c>
      <c r="B295" s="175" t="s">
        <v>1181</v>
      </c>
      <c r="C295" s="100" t="s">
        <v>2551</v>
      </c>
      <c r="D295" s="183" t="s">
        <v>1468</v>
      </c>
      <c r="E295" s="20">
        <v>2</v>
      </c>
      <c r="F295" s="20">
        <f t="shared" si="49"/>
        <v>3094.909090909091</v>
      </c>
      <c r="G295" s="19">
        <f t="shared" si="50"/>
        <v>6189.818181818182</v>
      </c>
      <c r="H295" s="19">
        <f t="shared" si="51"/>
        <v>25411.67956363636</v>
      </c>
      <c r="I295" s="114" t="s">
        <v>1521</v>
      </c>
      <c r="J295" s="210">
        <f>VLOOKUP(I295,'Reajuste Atual'!$L$19:$M$25,2,FALSE)</f>
        <v>3.1053999999999999</v>
      </c>
      <c r="K295" s="190"/>
      <c r="L295" s="139"/>
      <c r="M295" s="128" t="e">
        <f>ROUND(#REF!,2)</f>
        <v>#REF!</v>
      </c>
      <c r="N295" s="128" t="e">
        <f>ROUND(#REF!,2)</f>
        <v>#REF!</v>
      </c>
      <c r="O295" s="122" t="e">
        <f t="shared" si="52"/>
        <v>#REF!</v>
      </c>
      <c r="Q295" s="765">
        <v>4255.5</v>
      </c>
      <c r="R295" s="765">
        <f t="shared" si="53"/>
        <v>3039.6428571428573</v>
      </c>
      <c r="S295" s="765">
        <f t="shared" si="54"/>
        <v>3094.909090909091</v>
      </c>
      <c r="T295" s="765">
        <f t="shared" si="55"/>
        <v>3094.909090909091</v>
      </c>
    </row>
    <row r="296" spans="1:20" s="98" customFormat="1" outlineLevel="1">
      <c r="A296" s="141" t="s">
        <v>3483</v>
      </c>
      <c r="B296" s="175" t="s">
        <v>1182</v>
      </c>
      <c r="C296" s="100" t="s">
        <v>2551</v>
      </c>
      <c r="D296" s="183" t="s">
        <v>1468</v>
      </c>
      <c r="E296" s="20">
        <v>3</v>
      </c>
      <c r="F296" s="20">
        <f t="shared" si="49"/>
        <v>3094.909090909091</v>
      </c>
      <c r="G296" s="19">
        <f t="shared" si="50"/>
        <v>9284.7272727272721</v>
      </c>
      <c r="H296" s="19">
        <f t="shared" si="51"/>
        <v>38117.519345454537</v>
      </c>
      <c r="I296" s="114" t="s">
        <v>1521</v>
      </c>
      <c r="J296" s="210">
        <f>VLOOKUP(I296,'Reajuste Atual'!$L$19:$M$25,2,FALSE)</f>
        <v>3.1053999999999999</v>
      </c>
      <c r="K296" s="190"/>
      <c r="L296" s="139"/>
      <c r="M296" s="128" t="e">
        <f>ROUND(#REF!,2)</f>
        <v>#REF!</v>
      </c>
      <c r="N296" s="128" t="e">
        <f>ROUND(#REF!,2)</f>
        <v>#REF!</v>
      </c>
      <c r="O296" s="122" t="e">
        <f t="shared" si="52"/>
        <v>#REF!</v>
      </c>
      <c r="Q296" s="765">
        <v>4255.5</v>
      </c>
      <c r="R296" s="765">
        <f t="shared" si="53"/>
        <v>3039.6428571428573</v>
      </c>
      <c r="S296" s="765">
        <f t="shared" si="54"/>
        <v>3094.909090909091</v>
      </c>
      <c r="T296" s="765">
        <f t="shared" si="55"/>
        <v>3094.909090909091</v>
      </c>
    </row>
    <row r="297" spans="1:20" s="98" customFormat="1" outlineLevel="1">
      <c r="A297" s="141" t="s">
        <v>3483</v>
      </c>
      <c r="B297" s="175" t="s">
        <v>1183</v>
      </c>
      <c r="C297" s="100" t="s">
        <v>2552</v>
      </c>
      <c r="D297" s="183" t="s">
        <v>1468</v>
      </c>
      <c r="E297" s="20">
        <v>42</v>
      </c>
      <c r="F297" s="20">
        <f t="shared" si="49"/>
        <v>145.45454545454547</v>
      </c>
      <c r="G297" s="19">
        <f t="shared" si="50"/>
        <v>6109.0909090909099</v>
      </c>
      <c r="H297" s="19">
        <f t="shared" si="51"/>
        <v>25080.261818181818</v>
      </c>
      <c r="I297" s="114" t="s">
        <v>1521</v>
      </c>
      <c r="J297" s="210">
        <f>VLOOKUP(I297,'Reajuste Atual'!$L$19:$M$25,2,FALSE)</f>
        <v>3.1053999999999999</v>
      </c>
      <c r="K297" s="190"/>
      <c r="L297" s="139"/>
      <c r="M297" s="128" t="e">
        <f>ROUND(#REF!,2)</f>
        <v>#REF!</v>
      </c>
      <c r="N297" s="128" t="e">
        <f>ROUND(#REF!,2)</f>
        <v>#REF!</v>
      </c>
      <c r="O297" s="122" t="e">
        <f t="shared" si="52"/>
        <v>#REF!</v>
      </c>
      <c r="Q297" s="765">
        <v>200</v>
      </c>
      <c r="R297" s="765">
        <f t="shared" si="53"/>
        <v>142.85714285714286</v>
      </c>
      <c r="S297" s="765">
        <f t="shared" si="54"/>
        <v>145.45454545454547</v>
      </c>
      <c r="T297" s="765">
        <f t="shared" si="55"/>
        <v>145.45454545454547</v>
      </c>
    </row>
    <row r="298" spans="1:20" s="98" customFormat="1" outlineLevel="1">
      <c r="A298" s="141" t="s">
        <v>3483</v>
      </c>
      <c r="B298" s="175" t="s">
        <v>1184</v>
      </c>
      <c r="C298" s="100" t="s">
        <v>2553</v>
      </c>
      <c r="D298" s="183" t="s">
        <v>1468</v>
      </c>
      <c r="E298" s="20">
        <v>42</v>
      </c>
      <c r="F298" s="20">
        <f t="shared" si="49"/>
        <v>216.27636363636364</v>
      </c>
      <c r="G298" s="19">
        <f t="shared" si="50"/>
        <v>9083.6072727272731</v>
      </c>
      <c r="H298" s="19">
        <f t="shared" si="51"/>
        <v>37291.841297454543</v>
      </c>
      <c r="I298" s="114" t="s">
        <v>1521</v>
      </c>
      <c r="J298" s="210">
        <f>VLOOKUP(I298,'Reajuste Atual'!$L$19:$M$25,2,FALSE)</f>
        <v>3.1053999999999999</v>
      </c>
      <c r="K298" s="190"/>
      <c r="L298" s="139"/>
      <c r="M298" s="128" t="e">
        <f>ROUND(#REF!,2)</f>
        <v>#REF!</v>
      </c>
      <c r="N298" s="128" t="e">
        <f>ROUND(#REF!,2)</f>
        <v>#REF!</v>
      </c>
      <c r="O298" s="122" t="e">
        <f t="shared" si="52"/>
        <v>#REF!</v>
      </c>
      <c r="Q298" s="765">
        <v>297.38</v>
      </c>
      <c r="R298" s="765">
        <f t="shared" si="53"/>
        <v>212.41428571428571</v>
      </c>
      <c r="S298" s="765">
        <f t="shared" si="54"/>
        <v>216.27636363636364</v>
      </c>
      <c r="T298" s="765">
        <f t="shared" si="55"/>
        <v>216.27636363636364</v>
      </c>
    </row>
    <row r="299" spans="1:20" s="98" customFormat="1" outlineLevel="1">
      <c r="A299" s="141" t="s">
        <v>3483</v>
      </c>
      <c r="B299" s="175" t="s">
        <v>1185</v>
      </c>
      <c r="C299" s="100" t="s">
        <v>2554</v>
      </c>
      <c r="D299" s="183" t="s">
        <v>1468</v>
      </c>
      <c r="E299" s="20">
        <v>202</v>
      </c>
      <c r="F299" s="20">
        <f t="shared" si="49"/>
        <v>181.12</v>
      </c>
      <c r="G299" s="19">
        <f t="shared" si="50"/>
        <v>36586.239999999998</v>
      </c>
      <c r="H299" s="19">
        <f t="shared" si="51"/>
        <v>150201.14969599998</v>
      </c>
      <c r="I299" s="114" t="s">
        <v>1521</v>
      </c>
      <c r="J299" s="210">
        <f>VLOOKUP(I299,'Reajuste Atual'!$L$19:$M$25,2,FALSE)</f>
        <v>3.1053999999999999</v>
      </c>
      <c r="K299" s="190"/>
      <c r="L299" s="139"/>
      <c r="M299" s="128" t="e">
        <f>ROUND(#REF!,2)</f>
        <v>#REF!</v>
      </c>
      <c r="N299" s="128" t="e">
        <f>ROUND(#REF!,2)</f>
        <v>#REF!</v>
      </c>
      <c r="O299" s="122" t="e">
        <f t="shared" si="52"/>
        <v>#REF!</v>
      </c>
      <c r="Q299" s="765">
        <v>249.04</v>
      </c>
      <c r="R299" s="765">
        <f t="shared" si="53"/>
        <v>177.8857142857143</v>
      </c>
      <c r="S299" s="765">
        <f t="shared" si="54"/>
        <v>181.12</v>
      </c>
      <c r="T299" s="765">
        <f t="shared" si="55"/>
        <v>181.12</v>
      </c>
    </row>
    <row r="300" spans="1:20" s="98" customFormat="1" outlineLevel="1">
      <c r="A300" s="141" t="s">
        <v>3483</v>
      </c>
      <c r="B300" s="175" t="s">
        <v>1186</v>
      </c>
      <c r="C300" s="100" t="s">
        <v>2555</v>
      </c>
      <c r="D300" s="183" t="s">
        <v>1468</v>
      </c>
      <c r="E300" s="20">
        <v>38</v>
      </c>
      <c r="F300" s="20">
        <f t="shared" si="49"/>
        <v>300.95272727272726</v>
      </c>
      <c r="G300" s="19">
        <f t="shared" si="50"/>
        <v>11436.203636363636</v>
      </c>
      <c r="H300" s="19">
        <f t="shared" si="51"/>
        <v>46950.190408727263</v>
      </c>
      <c r="I300" s="114" t="s">
        <v>1521</v>
      </c>
      <c r="J300" s="210">
        <f>VLOOKUP(I300,'Reajuste Atual'!$L$19:$M$25,2,FALSE)</f>
        <v>3.1053999999999999</v>
      </c>
      <c r="K300" s="190"/>
      <c r="L300" s="139"/>
      <c r="M300" s="128" t="e">
        <f>ROUND(#REF!,2)</f>
        <v>#REF!</v>
      </c>
      <c r="N300" s="128" t="e">
        <f>ROUND(#REF!,2)</f>
        <v>#REF!</v>
      </c>
      <c r="O300" s="122" t="e">
        <f t="shared" si="52"/>
        <v>#REF!</v>
      </c>
      <c r="Q300" s="765">
        <v>413.81</v>
      </c>
      <c r="R300" s="765">
        <f t="shared" si="53"/>
        <v>295.57857142857142</v>
      </c>
      <c r="S300" s="765">
        <f t="shared" si="54"/>
        <v>300.95272727272726</v>
      </c>
      <c r="T300" s="765">
        <f t="shared" si="55"/>
        <v>300.95272727272726</v>
      </c>
    </row>
    <row r="301" spans="1:20" s="98" customFormat="1" outlineLevel="1">
      <c r="A301" s="141" t="s">
        <v>3483</v>
      </c>
      <c r="B301" s="175" t="s">
        <v>1187</v>
      </c>
      <c r="C301" s="100" t="s">
        <v>2556</v>
      </c>
      <c r="D301" s="183" t="s">
        <v>1468</v>
      </c>
      <c r="E301" s="20">
        <v>38</v>
      </c>
      <c r="F301" s="20">
        <f t="shared" si="49"/>
        <v>324.85090909090911</v>
      </c>
      <c r="G301" s="19">
        <f t="shared" si="50"/>
        <v>12344.334545454547</v>
      </c>
      <c r="H301" s="19">
        <f t="shared" si="51"/>
        <v>50678.431042909091</v>
      </c>
      <c r="I301" s="114" t="s">
        <v>1521</v>
      </c>
      <c r="J301" s="210">
        <f>VLOOKUP(I301,'Reajuste Atual'!$L$19:$M$25,2,FALSE)</f>
        <v>3.1053999999999999</v>
      </c>
      <c r="K301" s="190"/>
      <c r="L301" s="139"/>
      <c r="M301" s="128" t="e">
        <f>ROUND(#REF!,2)</f>
        <v>#REF!</v>
      </c>
      <c r="N301" s="128" t="e">
        <f>ROUND(#REF!,2)</f>
        <v>#REF!</v>
      </c>
      <c r="O301" s="122" t="e">
        <f t="shared" si="52"/>
        <v>#REF!</v>
      </c>
      <c r="Q301" s="765">
        <v>446.67</v>
      </c>
      <c r="R301" s="765">
        <f t="shared" si="53"/>
        <v>319.05</v>
      </c>
      <c r="S301" s="765">
        <f t="shared" si="54"/>
        <v>324.85090909090911</v>
      </c>
      <c r="T301" s="765">
        <f t="shared" si="55"/>
        <v>324.85090909090911</v>
      </c>
    </row>
    <row r="302" spans="1:20" s="98" customFormat="1" outlineLevel="1">
      <c r="A302" s="141" t="s">
        <v>3483</v>
      </c>
      <c r="B302" s="175" t="s">
        <v>1188</v>
      </c>
      <c r="C302" s="100" t="s">
        <v>2557</v>
      </c>
      <c r="D302" s="183" t="s">
        <v>1468</v>
      </c>
      <c r="E302" s="20">
        <v>45</v>
      </c>
      <c r="F302" s="20">
        <f t="shared" si="49"/>
        <v>430.36363636363637</v>
      </c>
      <c r="G302" s="19">
        <f t="shared" si="50"/>
        <v>19366.363636363636</v>
      </c>
      <c r="H302" s="19">
        <f t="shared" si="51"/>
        <v>79506.66927272726</v>
      </c>
      <c r="I302" s="114" t="s">
        <v>1521</v>
      </c>
      <c r="J302" s="210">
        <f>VLOOKUP(I302,'Reajuste Atual'!$L$19:$M$25,2,FALSE)</f>
        <v>3.1053999999999999</v>
      </c>
      <c r="K302" s="190"/>
      <c r="L302" s="139"/>
      <c r="M302" s="128" t="e">
        <f>ROUND(#REF!,2)</f>
        <v>#REF!</v>
      </c>
      <c r="N302" s="128" t="e">
        <f>ROUND(#REF!,2)</f>
        <v>#REF!</v>
      </c>
      <c r="O302" s="122" t="e">
        <f t="shared" si="52"/>
        <v>#REF!</v>
      </c>
      <c r="Q302" s="765">
        <v>591.75</v>
      </c>
      <c r="R302" s="765">
        <f t="shared" si="53"/>
        <v>422.67857142857144</v>
      </c>
      <c r="S302" s="765">
        <f t="shared" si="54"/>
        <v>430.36363636363637</v>
      </c>
      <c r="T302" s="765">
        <f t="shared" si="55"/>
        <v>430.36363636363637</v>
      </c>
    </row>
    <row r="303" spans="1:20" s="98" customFormat="1" outlineLevel="1">
      <c r="A303" s="141" t="s">
        <v>3483</v>
      </c>
      <c r="B303" s="175" t="s">
        <v>1189</v>
      </c>
      <c r="C303" s="100" t="s">
        <v>2558</v>
      </c>
      <c r="D303" s="183" t="s">
        <v>1468</v>
      </c>
      <c r="E303" s="20">
        <v>45</v>
      </c>
      <c r="F303" s="20">
        <f t="shared" si="49"/>
        <v>325.87636363636364</v>
      </c>
      <c r="G303" s="19">
        <f t="shared" si="50"/>
        <v>14664.436363636363</v>
      </c>
      <c r="H303" s="19">
        <f t="shared" si="51"/>
        <v>60203.377047272719</v>
      </c>
      <c r="I303" s="114" t="s">
        <v>1521</v>
      </c>
      <c r="J303" s="210">
        <f>VLOOKUP(I303,'Reajuste Atual'!$L$19:$M$25,2,FALSE)</f>
        <v>3.1053999999999999</v>
      </c>
      <c r="K303" s="190"/>
      <c r="L303" s="139"/>
      <c r="M303" s="128" t="e">
        <f>ROUND(#REF!,2)</f>
        <v>#REF!</v>
      </c>
      <c r="N303" s="128" t="e">
        <f>ROUND(#REF!,2)</f>
        <v>#REF!</v>
      </c>
      <c r="O303" s="122" t="e">
        <f t="shared" si="52"/>
        <v>#REF!</v>
      </c>
      <c r="Q303" s="765">
        <v>448.08</v>
      </c>
      <c r="R303" s="765">
        <f t="shared" si="53"/>
        <v>320.05714285714288</v>
      </c>
      <c r="S303" s="765">
        <f t="shared" si="54"/>
        <v>325.87636363636364</v>
      </c>
      <c r="T303" s="765">
        <f t="shared" si="55"/>
        <v>325.87636363636364</v>
      </c>
    </row>
    <row r="304" spans="1:20" s="98" customFormat="1" outlineLevel="1">
      <c r="A304" s="141" t="s">
        <v>3483</v>
      </c>
      <c r="B304" s="175" t="s">
        <v>1190</v>
      </c>
      <c r="C304" s="100" t="s">
        <v>2559</v>
      </c>
      <c r="D304" s="183" t="s">
        <v>1468</v>
      </c>
      <c r="E304" s="20">
        <v>45</v>
      </c>
      <c r="F304" s="20">
        <f t="shared" si="49"/>
        <v>417.46181818181816</v>
      </c>
      <c r="G304" s="19">
        <f t="shared" si="50"/>
        <v>18785.781818181818</v>
      </c>
      <c r="H304" s="19">
        <f t="shared" si="51"/>
        <v>77123.148676363635</v>
      </c>
      <c r="I304" s="114" t="s">
        <v>1521</v>
      </c>
      <c r="J304" s="210">
        <f>VLOOKUP(I304,'Reajuste Atual'!$L$19:$M$25,2,FALSE)</f>
        <v>3.1053999999999999</v>
      </c>
      <c r="K304" s="190"/>
      <c r="L304" s="139"/>
      <c r="M304" s="128" t="e">
        <f>ROUND(#REF!,2)</f>
        <v>#REF!</v>
      </c>
      <c r="N304" s="128" t="e">
        <f>ROUND(#REF!,2)</f>
        <v>#REF!</v>
      </c>
      <c r="O304" s="122" t="e">
        <f t="shared" si="52"/>
        <v>#REF!</v>
      </c>
      <c r="Q304" s="765">
        <v>574.01</v>
      </c>
      <c r="R304" s="765">
        <f t="shared" si="53"/>
        <v>410.00714285714287</v>
      </c>
      <c r="S304" s="765">
        <f t="shared" si="54"/>
        <v>417.46181818181816</v>
      </c>
      <c r="T304" s="765">
        <f t="shared" si="55"/>
        <v>417.46181818181816</v>
      </c>
    </row>
    <row r="305" spans="1:20" s="98" customFormat="1" outlineLevel="1">
      <c r="A305" s="141" t="s">
        <v>3483</v>
      </c>
      <c r="B305" s="175" t="s">
        <v>1191</v>
      </c>
      <c r="C305" s="100" t="s">
        <v>2560</v>
      </c>
      <c r="D305" s="183" t="s">
        <v>1468</v>
      </c>
      <c r="E305" s="20">
        <v>31</v>
      </c>
      <c r="F305" s="20">
        <f t="shared" si="49"/>
        <v>50.49454545454546</v>
      </c>
      <c r="G305" s="19">
        <f t="shared" si="50"/>
        <v>1565.3309090909092</v>
      </c>
      <c r="H305" s="19">
        <f t="shared" si="51"/>
        <v>6426.3095141818176</v>
      </c>
      <c r="I305" s="114" t="s">
        <v>1521</v>
      </c>
      <c r="J305" s="210">
        <f>VLOOKUP(I305,'Reajuste Atual'!$L$19:$M$25,2,FALSE)</f>
        <v>3.1053999999999999</v>
      </c>
      <c r="K305" s="190"/>
      <c r="L305" s="139"/>
      <c r="M305" s="128" t="e">
        <f>ROUND(#REF!,2)</f>
        <v>#REF!</v>
      </c>
      <c r="N305" s="128" t="e">
        <f>ROUND(#REF!,2)</f>
        <v>#REF!</v>
      </c>
      <c r="O305" s="122" t="e">
        <f t="shared" si="52"/>
        <v>#REF!</v>
      </c>
      <c r="Q305" s="765">
        <v>69.430000000000007</v>
      </c>
      <c r="R305" s="765">
        <f t="shared" si="53"/>
        <v>49.592857142857149</v>
      </c>
      <c r="S305" s="765">
        <f t="shared" si="54"/>
        <v>50.49454545454546</v>
      </c>
      <c r="T305" s="765">
        <f t="shared" si="55"/>
        <v>50.49454545454546</v>
      </c>
    </row>
    <row r="306" spans="1:20" s="98" customFormat="1" outlineLevel="1">
      <c r="A306" s="141" t="s">
        <v>3483</v>
      </c>
      <c r="B306" s="175" t="s">
        <v>1192</v>
      </c>
      <c r="C306" s="100" t="s">
        <v>2561</v>
      </c>
      <c r="D306" s="183" t="s">
        <v>1468</v>
      </c>
      <c r="E306" s="20">
        <v>47</v>
      </c>
      <c r="F306" s="20">
        <f t="shared" si="49"/>
        <v>67.578181818181818</v>
      </c>
      <c r="G306" s="19">
        <f t="shared" si="50"/>
        <v>3176.1745454545453</v>
      </c>
      <c r="H306" s="19">
        <f t="shared" si="51"/>
        <v>13039.466978909089</v>
      </c>
      <c r="I306" s="114" t="s">
        <v>1521</v>
      </c>
      <c r="J306" s="210">
        <f>VLOOKUP(I306,'Reajuste Atual'!$L$19:$M$25,2,FALSE)</f>
        <v>3.1053999999999999</v>
      </c>
      <c r="K306" s="190"/>
      <c r="L306" s="139"/>
      <c r="M306" s="128" t="e">
        <f>ROUND(#REF!,2)</f>
        <v>#REF!</v>
      </c>
      <c r="N306" s="128" t="e">
        <f>ROUND(#REF!,2)</f>
        <v>#REF!</v>
      </c>
      <c r="O306" s="122" t="e">
        <f t="shared" si="52"/>
        <v>#REF!</v>
      </c>
      <c r="Q306" s="765">
        <v>92.92</v>
      </c>
      <c r="R306" s="765">
        <f t="shared" si="53"/>
        <v>66.371428571428581</v>
      </c>
      <c r="S306" s="765">
        <f t="shared" si="54"/>
        <v>67.578181818181818</v>
      </c>
      <c r="T306" s="765">
        <f t="shared" si="55"/>
        <v>67.578181818181818</v>
      </c>
    </row>
    <row r="307" spans="1:20" s="98" customFormat="1" outlineLevel="1">
      <c r="A307" s="141" t="s">
        <v>3483</v>
      </c>
      <c r="B307" s="175" t="s">
        <v>1193</v>
      </c>
      <c r="C307" s="100" t="s">
        <v>2562</v>
      </c>
      <c r="D307" s="183" t="s">
        <v>1468</v>
      </c>
      <c r="E307" s="20">
        <v>19</v>
      </c>
      <c r="F307" s="20">
        <f t="shared" si="49"/>
        <v>337.41818181818184</v>
      </c>
      <c r="G307" s="19">
        <f t="shared" si="50"/>
        <v>6410.9454545454546</v>
      </c>
      <c r="H307" s="19">
        <f t="shared" si="51"/>
        <v>26319.495469090907</v>
      </c>
      <c r="I307" s="114" t="s">
        <v>1521</v>
      </c>
      <c r="J307" s="210">
        <f>VLOOKUP(I307,'Reajuste Atual'!$L$19:$M$25,2,FALSE)</f>
        <v>3.1053999999999999</v>
      </c>
      <c r="K307" s="190"/>
      <c r="L307" s="139"/>
      <c r="M307" s="128" t="e">
        <f>ROUND(#REF!,2)</f>
        <v>#REF!</v>
      </c>
      <c r="N307" s="128" t="e">
        <f>ROUND(#REF!,2)</f>
        <v>#REF!</v>
      </c>
      <c r="O307" s="122" t="e">
        <f t="shared" si="52"/>
        <v>#REF!</v>
      </c>
      <c r="Q307" s="765">
        <v>463.95</v>
      </c>
      <c r="R307" s="765">
        <f t="shared" si="53"/>
        <v>331.39285714285717</v>
      </c>
      <c r="S307" s="765">
        <f t="shared" si="54"/>
        <v>337.41818181818184</v>
      </c>
      <c r="T307" s="765">
        <f t="shared" si="55"/>
        <v>337.41818181818184</v>
      </c>
    </row>
    <row r="308" spans="1:20" s="98" customFormat="1" outlineLevel="1">
      <c r="A308" s="141" t="s">
        <v>3483</v>
      </c>
      <c r="B308" s="175" t="s">
        <v>1194</v>
      </c>
      <c r="C308" s="100" t="s">
        <v>2563</v>
      </c>
      <c r="D308" s="183" t="s">
        <v>1468</v>
      </c>
      <c r="E308" s="20">
        <v>17</v>
      </c>
      <c r="F308" s="20">
        <f t="shared" si="49"/>
        <v>466.67636363636359</v>
      </c>
      <c r="G308" s="19">
        <f t="shared" si="50"/>
        <v>7933.4981818181814</v>
      </c>
      <c r="H308" s="19">
        <f t="shared" si="51"/>
        <v>32570.183435636358</v>
      </c>
      <c r="I308" s="114" t="s">
        <v>1521</v>
      </c>
      <c r="J308" s="210">
        <f>VLOOKUP(I308,'Reajuste Atual'!$L$19:$M$25,2,FALSE)</f>
        <v>3.1053999999999999</v>
      </c>
      <c r="K308" s="190"/>
      <c r="L308" s="139"/>
      <c r="M308" s="128" t="e">
        <f>ROUND(#REF!,2)</f>
        <v>#REF!</v>
      </c>
      <c r="N308" s="128" t="e">
        <f>ROUND(#REF!,2)</f>
        <v>#REF!</v>
      </c>
      <c r="O308" s="122" t="e">
        <f t="shared" si="52"/>
        <v>#REF!</v>
      </c>
      <c r="Q308" s="765">
        <v>641.67999999999995</v>
      </c>
      <c r="R308" s="765">
        <f t="shared" si="53"/>
        <v>458.34285714285716</v>
      </c>
      <c r="S308" s="765">
        <f t="shared" si="54"/>
        <v>466.67636363636359</v>
      </c>
      <c r="T308" s="765">
        <f t="shared" si="55"/>
        <v>466.67636363636359</v>
      </c>
    </row>
    <row r="309" spans="1:20" s="98" customFormat="1" outlineLevel="1">
      <c r="A309" s="141" t="s">
        <v>3483</v>
      </c>
      <c r="B309" s="175" t="s">
        <v>1195</v>
      </c>
      <c r="C309" s="100" t="s">
        <v>2564</v>
      </c>
      <c r="D309" s="183" t="s">
        <v>1468</v>
      </c>
      <c r="E309" s="20">
        <v>31</v>
      </c>
      <c r="F309" s="20">
        <f t="shared" si="49"/>
        <v>825.27272727272725</v>
      </c>
      <c r="G309" s="19">
        <f t="shared" si="50"/>
        <v>25583.454545454544</v>
      </c>
      <c r="H309" s="19">
        <f t="shared" si="51"/>
        <v>105030.31429090907</v>
      </c>
      <c r="I309" s="114" t="s">
        <v>1521</v>
      </c>
      <c r="J309" s="210">
        <f>VLOOKUP(I309,'Reajuste Atual'!$L$19:$M$25,2,FALSE)</f>
        <v>3.1053999999999999</v>
      </c>
      <c r="K309" s="190"/>
      <c r="L309" s="139"/>
      <c r="M309" s="128" t="e">
        <f>ROUND(#REF!,2)</f>
        <v>#REF!</v>
      </c>
      <c r="N309" s="128" t="e">
        <f>ROUND(#REF!,2)</f>
        <v>#REF!</v>
      </c>
      <c r="O309" s="122" t="e">
        <f t="shared" si="52"/>
        <v>#REF!</v>
      </c>
      <c r="Q309" s="765">
        <v>1134.75</v>
      </c>
      <c r="R309" s="765">
        <f t="shared" si="53"/>
        <v>810.53571428571433</v>
      </c>
      <c r="S309" s="765">
        <f t="shared" si="54"/>
        <v>825.27272727272725</v>
      </c>
      <c r="T309" s="765">
        <f t="shared" si="55"/>
        <v>825.27272727272725</v>
      </c>
    </row>
    <row r="310" spans="1:20" s="98" customFormat="1" outlineLevel="1">
      <c r="A310" s="141" t="s">
        <v>3483</v>
      </c>
      <c r="B310" s="175" t="s">
        <v>1196</v>
      </c>
      <c r="C310" s="100" t="s">
        <v>1617</v>
      </c>
      <c r="D310" s="183" t="s">
        <v>1468</v>
      </c>
      <c r="E310" s="20">
        <v>19</v>
      </c>
      <c r="F310" s="20">
        <f t="shared" si="49"/>
        <v>877.8981818181818</v>
      </c>
      <c r="G310" s="19">
        <f t="shared" si="50"/>
        <v>16680.065454545453</v>
      </c>
      <c r="H310" s="19">
        <f t="shared" si="51"/>
        <v>68478.34071709089</v>
      </c>
      <c r="I310" s="114" t="s">
        <v>1521</v>
      </c>
      <c r="J310" s="210">
        <f>VLOOKUP(I310,'Reajuste Atual'!$L$19:$M$25,2,FALSE)</f>
        <v>3.1053999999999999</v>
      </c>
      <c r="K310" s="190"/>
      <c r="L310" s="139"/>
      <c r="M310" s="128" t="e">
        <f>ROUND(#REF!,2)</f>
        <v>#REF!</v>
      </c>
      <c r="N310" s="128" t="e">
        <f>ROUND(#REF!,2)</f>
        <v>#REF!</v>
      </c>
      <c r="O310" s="122" t="e">
        <f t="shared" si="52"/>
        <v>#REF!</v>
      </c>
      <c r="Q310" s="765">
        <v>1207.1099999999999</v>
      </c>
      <c r="R310" s="765">
        <f t="shared" si="53"/>
        <v>862.22142857142853</v>
      </c>
      <c r="S310" s="765">
        <f t="shared" si="54"/>
        <v>877.8981818181818</v>
      </c>
      <c r="T310" s="765">
        <f t="shared" si="55"/>
        <v>877.8981818181818</v>
      </c>
    </row>
    <row r="311" spans="1:20" s="98" customFormat="1" outlineLevel="1">
      <c r="A311" s="141" t="s">
        <v>3483</v>
      </c>
      <c r="B311" s="175" t="s">
        <v>1197</v>
      </c>
      <c r="C311" s="100" t="s">
        <v>1618</v>
      </c>
      <c r="D311" s="183" t="s">
        <v>1468</v>
      </c>
      <c r="E311" s="20">
        <v>17</v>
      </c>
      <c r="F311" s="20">
        <f t="shared" si="49"/>
        <v>1257.3018181818181</v>
      </c>
      <c r="G311" s="19">
        <f t="shared" si="50"/>
        <v>21374.130909090909</v>
      </c>
      <c r="H311" s="19">
        <f t="shared" si="51"/>
        <v>87749.357034181812</v>
      </c>
      <c r="I311" s="114" t="s">
        <v>1521</v>
      </c>
      <c r="J311" s="210">
        <f>VLOOKUP(I311,'Reajuste Atual'!$L$19:$M$25,2,FALSE)</f>
        <v>3.1053999999999999</v>
      </c>
      <c r="K311" s="190"/>
      <c r="L311" s="139"/>
      <c r="M311" s="128" t="e">
        <f>ROUND(#REF!,2)</f>
        <v>#REF!</v>
      </c>
      <c r="N311" s="128" t="e">
        <f>ROUND(#REF!,2)</f>
        <v>#REF!</v>
      </c>
      <c r="O311" s="122" t="e">
        <f t="shared" si="52"/>
        <v>#REF!</v>
      </c>
      <c r="Q311" s="765">
        <v>1728.79</v>
      </c>
      <c r="R311" s="765">
        <f t="shared" si="53"/>
        <v>1234.8500000000001</v>
      </c>
      <c r="S311" s="765">
        <f t="shared" si="54"/>
        <v>1257.3018181818181</v>
      </c>
      <c r="T311" s="765">
        <f t="shared" si="55"/>
        <v>1257.3018181818181</v>
      </c>
    </row>
    <row r="312" spans="1:20" s="98" customFormat="1" outlineLevel="1" collapsed="1">
      <c r="A312" s="141" t="s">
        <v>3483</v>
      </c>
      <c r="B312" s="175" t="s">
        <v>1198</v>
      </c>
      <c r="C312" s="100" t="s">
        <v>2565</v>
      </c>
      <c r="D312" s="183" t="s">
        <v>1468</v>
      </c>
      <c r="E312" s="20">
        <v>42</v>
      </c>
      <c r="F312" s="20">
        <f t="shared" si="49"/>
        <v>276.9309090909091</v>
      </c>
      <c r="G312" s="19">
        <f t="shared" si="50"/>
        <v>11631.098181818183</v>
      </c>
      <c r="H312" s="19">
        <f t="shared" si="51"/>
        <v>47750.310475636361</v>
      </c>
      <c r="I312" s="114" t="s">
        <v>1521</v>
      </c>
      <c r="J312" s="210">
        <f>VLOOKUP(I312,'Reajuste Atual'!$L$19:$M$25,2,FALSE)</f>
        <v>3.1053999999999999</v>
      </c>
      <c r="K312" s="195"/>
      <c r="L312" s="139"/>
      <c r="M312" s="128" t="e">
        <f>ROUND(#REF!,2)</f>
        <v>#REF!</v>
      </c>
      <c r="N312" s="128" t="e">
        <f>ROUND(#REF!,2)</f>
        <v>#REF!</v>
      </c>
      <c r="O312" s="122" t="e">
        <f t="shared" si="52"/>
        <v>#REF!</v>
      </c>
      <c r="Q312" s="771">
        <v>380.78</v>
      </c>
      <c r="R312" s="771">
        <f t="shared" si="53"/>
        <v>271.98571428571427</v>
      </c>
      <c r="S312" s="771">
        <f t="shared" si="54"/>
        <v>276.9309090909091</v>
      </c>
      <c r="T312" s="765">
        <f t="shared" si="55"/>
        <v>276.9309090909091</v>
      </c>
    </row>
    <row r="313" spans="1:20">
      <c r="L313"/>
    </row>
    <row r="314" spans="1:20">
      <c r="B314" s="48" t="s">
        <v>3586</v>
      </c>
      <c r="C314" s="1"/>
      <c r="E314" s="1"/>
      <c r="L314"/>
    </row>
    <row r="315" spans="1:20" ht="15">
      <c r="B315" s="777" t="s">
        <v>3587</v>
      </c>
      <c r="C315" s="1"/>
      <c r="D315" s="1"/>
      <c r="E315" s="1"/>
      <c r="L315"/>
    </row>
    <row r="316" spans="1:20">
      <c r="B316" s="777" t="s">
        <v>3588</v>
      </c>
      <c r="L316"/>
    </row>
    <row r="317" spans="1:20">
      <c r="B317" s="777" t="s">
        <v>3589</v>
      </c>
      <c r="L317"/>
    </row>
    <row r="319" spans="1:20">
      <c r="B319" s="48" t="s">
        <v>3633</v>
      </c>
    </row>
    <row r="320" spans="1:20">
      <c r="B320" s="777" t="s">
        <v>3634</v>
      </c>
    </row>
    <row r="321" spans="2:73" s="166" customFormat="1">
      <c r="B321" s="777"/>
      <c r="C321" s="49"/>
      <c r="D321" s="141"/>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row>
    <row r="322" spans="2:73" s="166" customFormat="1">
      <c r="B322" s="48"/>
      <c r="C322" s="49"/>
      <c r="D322" s="141"/>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row>
    <row r="323" spans="2:73" s="166" customFormat="1">
      <c r="B323" s="48"/>
      <c r="C323" s="49"/>
      <c r="D323" s="141"/>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row>
    <row r="324" spans="2:73" s="166" customFormat="1">
      <c r="B324" s="48"/>
      <c r="C324" s="49"/>
      <c r="D324" s="141"/>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row>
    <row r="325" spans="2:73" s="166" customFormat="1">
      <c r="B325" s="48"/>
      <c r="C325" s="49"/>
      <c r="D325" s="141"/>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row>
    <row r="326" spans="2:73" s="166" customFormat="1">
      <c r="B326" s="48"/>
      <c r="C326" s="49"/>
      <c r="D326" s="141"/>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row>
    <row r="327" spans="2:73" s="166" customFormat="1">
      <c r="B327" s="48"/>
      <c r="C327" s="49"/>
      <c r="D327" s="141"/>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row>
    <row r="328" spans="2:73" s="166" customFormat="1">
      <c r="B328" s="48"/>
      <c r="C328" s="49"/>
      <c r="D328" s="141"/>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row>
    <row r="329" spans="2:73" s="166" customFormat="1">
      <c r="B329" s="48"/>
      <c r="C329" s="49"/>
      <c r="D329" s="141"/>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row>
    <row r="330" spans="2:73" s="166" customFormat="1">
      <c r="B330" s="48"/>
      <c r="C330" s="49"/>
      <c r="D330" s="141"/>
      <c r="E330" s="50"/>
      <c r="F330" s="50"/>
      <c r="G330" s="50"/>
      <c r="H330" s="211">
        <f>SUM(H241:H252)</f>
        <v>57642830.647470534</v>
      </c>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row>
    <row r="331" spans="2:73" s="166" customFormat="1">
      <c r="B331" s="48"/>
      <c r="C331" s="49"/>
      <c r="D331" s="141"/>
      <c r="E331" s="50"/>
      <c r="F331" s="50"/>
      <c r="G331" s="50"/>
      <c r="H331" s="813">
        <f>H330/H120</f>
        <v>0.91643036658063992</v>
      </c>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row>
    <row r="332" spans="2:73" s="166" customFormat="1">
      <c r="B332" s="48"/>
      <c r="C332" s="49"/>
      <c r="D332" s="141"/>
      <c r="E332" s="50"/>
      <c r="F332" s="50"/>
      <c r="G332" s="50"/>
      <c r="H332" s="813">
        <f>H330/H74</f>
        <v>0.77049572001662814</v>
      </c>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row>
    <row r="333" spans="2:73" s="166" customFormat="1">
      <c r="B333" s="48"/>
      <c r="C333" s="49"/>
      <c r="D333" s="141"/>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row>
    <row r="334" spans="2:73" s="166" customFormat="1">
      <c r="B334" s="48"/>
      <c r="C334" s="49"/>
      <c r="D334" s="141"/>
      <c r="E334" s="50"/>
      <c r="F334" s="50"/>
      <c r="G334" s="50"/>
      <c r="H334" s="212">
        <f>H330*100%/H332</f>
        <v>74812655.216600731</v>
      </c>
      <c r="I334" s="212"/>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row>
    <row r="335" spans="2:73" s="166" customFormat="1">
      <c r="B335" s="48"/>
      <c r="C335" s="49"/>
      <c r="D335" s="141"/>
      <c r="E335" s="50"/>
      <c r="F335" s="50"/>
      <c r="G335" s="50"/>
      <c r="H335" s="212">
        <f>H334-H330</f>
        <v>17169824.569130197</v>
      </c>
      <c r="I335" s="212"/>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row>
    <row r="336" spans="2:73" s="166" customFormat="1">
      <c r="B336" s="48"/>
      <c r="C336" s="49"/>
      <c r="D336" s="141"/>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row>
    <row r="337" spans="2:73" s="166" customFormat="1">
      <c r="B337" s="48"/>
      <c r="C337" s="49"/>
      <c r="D337" s="141"/>
      <c r="E337" s="50"/>
      <c r="F337" s="50"/>
      <c r="G337" s="50"/>
      <c r="H337" s="50"/>
      <c r="I337" s="212"/>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row>
    <row r="338" spans="2:73" s="166" customFormat="1">
      <c r="B338" s="48"/>
      <c r="C338" s="49"/>
      <c r="D338" s="141"/>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row>
    <row r="339" spans="2:73" s="166" customFormat="1">
      <c r="B339" s="48"/>
      <c r="C339" s="49"/>
      <c r="D339" s="141"/>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row>
    <row r="340" spans="2:73" s="166" customFormat="1">
      <c r="B340" s="48"/>
      <c r="C340" s="49"/>
      <c r="D340" s="141"/>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row>
    <row r="341" spans="2:73" s="166" customFormat="1">
      <c r="B341" s="48"/>
      <c r="C341" s="49"/>
      <c r="D341" s="141"/>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c r="BI341" s="50"/>
      <c r="BJ341" s="50"/>
      <c r="BK341" s="50"/>
      <c r="BL341" s="50"/>
      <c r="BM341" s="50"/>
      <c r="BN341" s="50"/>
      <c r="BO341" s="50"/>
      <c r="BP341" s="50"/>
      <c r="BQ341" s="50"/>
      <c r="BR341" s="50"/>
      <c r="BS341" s="50"/>
      <c r="BT341" s="50"/>
      <c r="BU341" s="50"/>
    </row>
    <row r="342" spans="2:73" s="166" customFormat="1">
      <c r="B342" s="48"/>
      <c r="C342" s="49"/>
      <c r="D342" s="141"/>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c r="BI342" s="50"/>
      <c r="BJ342" s="50"/>
      <c r="BK342" s="50"/>
      <c r="BL342" s="50"/>
      <c r="BM342" s="50"/>
      <c r="BN342" s="50"/>
      <c r="BO342" s="50"/>
      <c r="BP342" s="50"/>
      <c r="BQ342" s="50"/>
      <c r="BR342" s="50"/>
      <c r="BS342" s="50"/>
      <c r="BT342" s="50"/>
      <c r="BU342" s="50"/>
    </row>
    <row r="343" spans="2:73" s="166" customFormat="1">
      <c r="B343" s="48"/>
      <c r="C343" s="49"/>
      <c r="D343" s="141"/>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c r="BA343" s="50"/>
      <c r="BB343" s="50"/>
      <c r="BC343" s="50"/>
      <c r="BD343" s="50"/>
      <c r="BE343" s="50"/>
      <c r="BF343" s="50"/>
      <c r="BG343" s="50"/>
      <c r="BH343" s="50"/>
      <c r="BI343" s="50"/>
      <c r="BJ343" s="50"/>
      <c r="BK343" s="50"/>
      <c r="BL343" s="50"/>
      <c r="BM343" s="50"/>
      <c r="BN343" s="50"/>
      <c r="BO343" s="50"/>
      <c r="BP343" s="50"/>
      <c r="BQ343" s="50"/>
      <c r="BR343" s="50"/>
      <c r="BS343" s="50"/>
      <c r="BT343" s="50"/>
      <c r="BU343" s="50"/>
    </row>
    <row r="344" spans="2:73" s="166" customFormat="1">
      <c r="B344" s="48"/>
      <c r="C344" s="49"/>
      <c r="D344" s="141"/>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c r="BI344" s="50"/>
      <c r="BJ344" s="50"/>
      <c r="BK344" s="50"/>
      <c r="BL344" s="50"/>
      <c r="BM344" s="50"/>
      <c r="BN344" s="50"/>
      <c r="BO344" s="50"/>
      <c r="BP344" s="50"/>
      <c r="BQ344" s="50"/>
      <c r="BR344" s="50"/>
      <c r="BS344" s="50"/>
      <c r="BT344" s="50"/>
      <c r="BU344" s="50"/>
    </row>
    <row r="345" spans="2:73" s="166" customFormat="1">
      <c r="B345" s="48"/>
      <c r="C345" s="49"/>
      <c r="D345" s="141"/>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row>
    <row r="346" spans="2:73" s="166" customFormat="1">
      <c r="B346" s="48"/>
      <c r="C346" s="49"/>
      <c r="D346" s="141"/>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row>
    <row r="347" spans="2:73" s="166" customFormat="1">
      <c r="B347" s="48"/>
      <c r="C347" s="49"/>
      <c r="D347" s="141"/>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row>
    <row r="348" spans="2:73" s="166" customFormat="1">
      <c r="B348" s="48"/>
      <c r="C348" s="49"/>
      <c r="D348" s="141"/>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row>
    <row r="349" spans="2:73" s="166" customFormat="1">
      <c r="B349" s="48"/>
      <c r="C349" s="49"/>
      <c r="D349" s="141"/>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row>
    <row r="350" spans="2:73" s="166" customFormat="1">
      <c r="B350" s="48"/>
      <c r="C350" s="49"/>
      <c r="D350" s="141"/>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row>
    <row r="351" spans="2:73" s="166" customFormat="1">
      <c r="B351" s="48"/>
      <c r="C351" s="49"/>
      <c r="D351" s="141"/>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row>
    <row r="352" spans="2:73" s="166" customFormat="1">
      <c r="B352" s="48"/>
      <c r="C352" s="49"/>
      <c r="D352" s="141"/>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row>
    <row r="353" spans="2:73" s="166" customFormat="1">
      <c r="B353" s="48"/>
      <c r="C353" s="49"/>
      <c r="D353" s="141"/>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row>
    <row r="355" spans="2:73" s="166" customFormat="1">
      <c r="B355" s="48"/>
      <c r="C355" s="49"/>
      <c r="D355" s="141"/>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row>
    <row r="356" spans="2:73" s="166" customFormat="1">
      <c r="B356" s="48"/>
      <c r="C356" s="49"/>
      <c r="D356" s="141"/>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row>
    <row r="357" spans="2:73" s="166" customFormat="1">
      <c r="B357" s="48"/>
      <c r="C357" s="49"/>
      <c r="D357" s="141"/>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row>
    <row r="358" spans="2:73" s="166" customFormat="1">
      <c r="B358" s="48"/>
      <c r="C358" s="49"/>
      <c r="D358" s="141"/>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row>
    <row r="359" spans="2:73" s="166" customFormat="1">
      <c r="B359" s="48"/>
      <c r="C359" s="49"/>
      <c r="D359" s="141"/>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row>
    <row r="360" spans="2:73" s="166" customFormat="1">
      <c r="B360" s="48"/>
      <c r="C360" s="49"/>
      <c r="D360" s="141"/>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row>
    <row r="361" spans="2:73" s="166" customFormat="1">
      <c r="B361" s="48"/>
      <c r="C361" s="49"/>
      <c r="D361" s="141"/>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row>
    <row r="362" spans="2:73" s="166" customFormat="1">
      <c r="B362" s="48"/>
      <c r="C362" s="49"/>
      <c r="D362" s="141"/>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row>
    <row r="363" spans="2:73" s="166" customFormat="1">
      <c r="B363" s="48"/>
      <c r="C363" s="49"/>
      <c r="D363" s="141"/>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row>
    <row r="364" spans="2:73" s="166" customFormat="1">
      <c r="B364" s="48"/>
      <c r="C364" s="49"/>
      <c r="D364" s="141"/>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row>
    <row r="365" spans="2:73" s="166" customFormat="1">
      <c r="B365" s="48"/>
      <c r="C365" s="49"/>
      <c r="D365" s="141"/>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row>
    <row r="366" spans="2:73" s="166" customFormat="1">
      <c r="B366" s="48"/>
      <c r="C366" s="49"/>
      <c r="D366" s="141"/>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row>
    <row r="367" spans="2:73" s="166" customFormat="1">
      <c r="B367" s="48"/>
      <c r="C367" s="49"/>
      <c r="D367" s="141"/>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row>
    <row r="368" spans="2:73" s="166" customFormat="1">
      <c r="B368" s="48"/>
      <c r="C368" s="49"/>
      <c r="D368" s="141"/>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row>
    <row r="369" spans="2:73" s="166" customFormat="1">
      <c r="B369" s="48"/>
      <c r="C369" s="49"/>
      <c r="D369" s="141"/>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row>
    <row r="370" spans="2:73" s="166" customFormat="1">
      <c r="B370" s="48"/>
      <c r="C370" s="49"/>
      <c r="D370" s="141"/>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row>
    <row r="371" spans="2:73" s="166" customFormat="1">
      <c r="B371" s="48"/>
      <c r="C371" s="49"/>
      <c r="D371" s="141"/>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row>
  </sheetData>
  <autoFilter ref="B22:J312"/>
  <mergeCells count="9">
    <mergeCell ref="J15:J19"/>
    <mergeCell ref="E21:G21"/>
    <mergeCell ref="I21:J21"/>
    <mergeCell ref="B4:J4"/>
    <mergeCell ref="B5:J5"/>
    <mergeCell ref="B6:J6"/>
    <mergeCell ref="B8:J8"/>
    <mergeCell ref="J9:J11"/>
    <mergeCell ref="J12:J14"/>
  </mergeCells>
  <printOptions horizontalCentered="1"/>
  <pageMargins left="0.39370078740157483" right="0.39370078740157483" top="0.39370078740157483" bottom="0.39370078740157483" header="0" footer="0"/>
  <pageSetup paperSize="9" scale="56"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0"/>
  <sheetViews>
    <sheetView showGridLines="0" topLeftCell="A4" zoomScaleNormal="100" zoomScaleSheetLayoutView="100" workbookViewId="0">
      <selection activeCell="E6" sqref="E6:E7"/>
    </sheetView>
  </sheetViews>
  <sheetFormatPr defaultRowHeight="15"/>
  <cols>
    <col min="1" max="1" width="7.85546875" style="718" customWidth="1"/>
    <col min="2" max="2" width="49.140625" style="718" customWidth="1"/>
    <col min="3" max="3" width="10.7109375" style="718" customWidth="1"/>
    <col min="4" max="4" width="13.5703125" style="718" customWidth="1"/>
    <col min="5" max="5" width="13.42578125" style="718" customWidth="1"/>
    <col min="6" max="6" width="11.85546875" style="718" customWidth="1"/>
    <col min="7" max="7" width="14.28515625" style="718" customWidth="1"/>
    <col min="8" max="8" width="9.140625" style="439"/>
    <col min="9" max="9" width="20.42578125" style="439" customWidth="1"/>
    <col min="10" max="10" width="15.28515625" style="439" customWidth="1"/>
    <col min="11" max="11" width="6.7109375" style="439" customWidth="1"/>
    <col min="12" max="12" width="13.5703125" style="439" customWidth="1"/>
    <col min="13" max="256" width="9.140625" style="439"/>
    <col min="257" max="257" width="7.85546875" style="439" customWidth="1"/>
    <col min="258" max="258" width="56.7109375" style="439" customWidth="1"/>
    <col min="259" max="259" width="10.7109375" style="439" customWidth="1"/>
    <col min="260" max="260" width="13.5703125" style="439" customWidth="1"/>
    <col min="261" max="262" width="11.85546875" style="439" customWidth="1"/>
    <col min="263" max="263" width="13.140625" style="439" customWidth="1"/>
    <col min="264" max="264" width="9.140625" style="439"/>
    <col min="265" max="265" width="12.7109375" style="439" bestFit="1" customWidth="1"/>
    <col min="266" max="512" width="9.140625" style="439"/>
    <col min="513" max="513" width="7.85546875" style="439" customWidth="1"/>
    <col min="514" max="514" width="56.7109375" style="439" customWidth="1"/>
    <col min="515" max="515" width="10.7109375" style="439" customWidth="1"/>
    <col min="516" max="516" width="13.5703125" style="439" customWidth="1"/>
    <col min="517" max="518" width="11.85546875" style="439" customWidth="1"/>
    <col min="519" max="519" width="13.140625" style="439" customWidth="1"/>
    <col min="520" max="520" width="9.140625" style="439"/>
    <col min="521" max="521" width="12.7109375" style="439" bestFit="1" customWidth="1"/>
    <col min="522" max="768" width="9.140625" style="439"/>
    <col min="769" max="769" width="7.85546875" style="439" customWidth="1"/>
    <col min="770" max="770" width="56.7109375" style="439" customWidth="1"/>
    <col min="771" max="771" width="10.7109375" style="439" customWidth="1"/>
    <col min="772" max="772" width="13.5703125" style="439" customWidth="1"/>
    <col min="773" max="774" width="11.85546875" style="439" customWidth="1"/>
    <col min="775" max="775" width="13.140625" style="439" customWidth="1"/>
    <col min="776" max="776" width="9.140625" style="439"/>
    <col min="777" max="777" width="12.7109375" style="439" bestFit="1" customWidth="1"/>
    <col min="778" max="1024" width="9.140625" style="439"/>
    <col min="1025" max="1025" width="7.85546875" style="439" customWidth="1"/>
    <col min="1026" max="1026" width="56.7109375" style="439" customWidth="1"/>
    <col min="1027" max="1027" width="10.7109375" style="439" customWidth="1"/>
    <col min="1028" max="1028" width="13.5703125" style="439" customWidth="1"/>
    <col min="1029" max="1030" width="11.85546875" style="439" customWidth="1"/>
    <col min="1031" max="1031" width="13.140625" style="439" customWidth="1"/>
    <col min="1032" max="1032" width="9.140625" style="439"/>
    <col min="1033" max="1033" width="12.7109375" style="439" bestFit="1" customWidth="1"/>
    <col min="1034" max="1280" width="9.140625" style="439"/>
    <col min="1281" max="1281" width="7.85546875" style="439" customWidth="1"/>
    <col min="1282" max="1282" width="56.7109375" style="439" customWidth="1"/>
    <col min="1283" max="1283" width="10.7109375" style="439" customWidth="1"/>
    <col min="1284" max="1284" width="13.5703125" style="439" customWidth="1"/>
    <col min="1285" max="1286" width="11.85546875" style="439" customWidth="1"/>
    <col min="1287" max="1287" width="13.140625" style="439" customWidth="1"/>
    <col min="1288" max="1288" width="9.140625" style="439"/>
    <col min="1289" max="1289" width="12.7109375" style="439" bestFit="1" customWidth="1"/>
    <col min="1290" max="1536" width="9.140625" style="439"/>
    <col min="1537" max="1537" width="7.85546875" style="439" customWidth="1"/>
    <col min="1538" max="1538" width="56.7109375" style="439" customWidth="1"/>
    <col min="1539" max="1539" width="10.7109375" style="439" customWidth="1"/>
    <col min="1540" max="1540" width="13.5703125" style="439" customWidth="1"/>
    <col min="1541" max="1542" width="11.85546875" style="439" customWidth="1"/>
    <col min="1543" max="1543" width="13.140625" style="439" customWidth="1"/>
    <col min="1544" max="1544" width="9.140625" style="439"/>
    <col min="1545" max="1545" width="12.7109375" style="439" bestFit="1" customWidth="1"/>
    <col min="1546" max="1792" width="9.140625" style="439"/>
    <col min="1793" max="1793" width="7.85546875" style="439" customWidth="1"/>
    <col min="1794" max="1794" width="56.7109375" style="439" customWidth="1"/>
    <col min="1795" max="1795" width="10.7109375" style="439" customWidth="1"/>
    <col min="1796" max="1796" width="13.5703125" style="439" customWidth="1"/>
    <col min="1797" max="1798" width="11.85546875" style="439" customWidth="1"/>
    <col min="1799" max="1799" width="13.140625" style="439" customWidth="1"/>
    <col min="1800" max="1800" width="9.140625" style="439"/>
    <col min="1801" max="1801" width="12.7109375" style="439" bestFit="1" customWidth="1"/>
    <col min="1802" max="2048" width="9.140625" style="439"/>
    <col min="2049" max="2049" width="7.85546875" style="439" customWidth="1"/>
    <col min="2050" max="2050" width="56.7109375" style="439" customWidth="1"/>
    <col min="2051" max="2051" width="10.7109375" style="439" customWidth="1"/>
    <col min="2052" max="2052" width="13.5703125" style="439" customWidth="1"/>
    <col min="2053" max="2054" width="11.85546875" style="439" customWidth="1"/>
    <col min="2055" max="2055" width="13.140625" style="439" customWidth="1"/>
    <col min="2056" max="2056" width="9.140625" style="439"/>
    <col min="2057" max="2057" width="12.7109375" style="439" bestFit="1" customWidth="1"/>
    <col min="2058" max="2304" width="9.140625" style="439"/>
    <col min="2305" max="2305" width="7.85546875" style="439" customWidth="1"/>
    <col min="2306" max="2306" width="56.7109375" style="439" customWidth="1"/>
    <col min="2307" max="2307" width="10.7109375" style="439" customWidth="1"/>
    <col min="2308" max="2308" width="13.5703125" style="439" customWidth="1"/>
    <col min="2309" max="2310" width="11.85546875" style="439" customWidth="1"/>
    <col min="2311" max="2311" width="13.140625" style="439" customWidth="1"/>
    <col min="2312" max="2312" width="9.140625" style="439"/>
    <col min="2313" max="2313" width="12.7109375" style="439" bestFit="1" customWidth="1"/>
    <col min="2314" max="2560" width="9.140625" style="439"/>
    <col min="2561" max="2561" width="7.85546875" style="439" customWidth="1"/>
    <col min="2562" max="2562" width="56.7109375" style="439" customWidth="1"/>
    <col min="2563" max="2563" width="10.7109375" style="439" customWidth="1"/>
    <col min="2564" max="2564" width="13.5703125" style="439" customWidth="1"/>
    <col min="2565" max="2566" width="11.85546875" style="439" customWidth="1"/>
    <col min="2567" max="2567" width="13.140625" style="439" customWidth="1"/>
    <col min="2568" max="2568" width="9.140625" style="439"/>
    <col min="2569" max="2569" width="12.7109375" style="439" bestFit="1" customWidth="1"/>
    <col min="2570" max="2816" width="9.140625" style="439"/>
    <col min="2817" max="2817" width="7.85546875" style="439" customWidth="1"/>
    <col min="2818" max="2818" width="56.7109375" style="439" customWidth="1"/>
    <col min="2819" max="2819" width="10.7109375" style="439" customWidth="1"/>
    <col min="2820" max="2820" width="13.5703125" style="439" customWidth="1"/>
    <col min="2821" max="2822" width="11.85546875" style="439" customWidth="1"/>
    <col min="2823" max="2823" width="13.140625" style="439" customWidth="1"/>
    <col min="2824" max="2824" width="9.140625" style="439"/>
    <col min="2825" max="2825" width="12.7109375" style="439" bestFit="1" customWidth="1"/>
    <col min="2826" max="3072" width="9.140625" style="439"/>
    <col min="3073" max="3073" width="7.85546875" style="439" customWidth="1"/>
    <col min="3074" max="3074" width="56.7109375" style="439" customWidth="1"/>
    <col min="3075" max="3075" width="10.7109375" style="439" customWidth="1"/>
    <col min="3076" max="3076" width="13.5703125" style="439" customWidth="1"/>
    <col min="3077" max="3078" width="11.85546875" style="439" customWidth="1"/>
    <col min="3079" max="3079" width="13.140625" style="439" customWidth="1"/>
    <col min="3080" max="3080" width="9.140625" style="439"/>
    <col min="3081" max="3081" width="12.7109375" style="439" bestFit="1" customWidth="1"/>
    <col min="3082" max="3328" width="9.140625" style="439"/>
    <col min="3329" max="3329" width="7.85546875" style="439" customWidth="1"/>
    <col min="3330" max="3330" width="56.7109375" style="439" customWidth="1"/>
    <col min="3331" max="3331" width="10.7109375" style="439" customWidth="1"/>
    <col min="3332" max="3332" width="13.5703125" style="439" customWidth="1"/>
    <col min="3333" max="3334" width="11.85546875" style="439" customWidth="1"/>
    <col min="3335" max="3335" width="13.140625" style="439" customWidth="1"/>
    <col min="3336" max="3336" width="9.140625" style="439"/>
    <col min="3337" max="3337" width="12.7109375" style="439" bestFit="1" customWidth="1"/>
    <col min="3338" max="3584" width="9.140625" style="439"/>
    <col min="3585" max="3585" width="7.85546875" style="439" customWidth="1"/>
    <col min="3586" max="3586" width="56.7109375" style="439" customWidth="1"/>
    <col min="3587" max="3587" width="10.7109375" style="439" customWidth="1"/>
    <col min="3588" max="3588" width="13.5703125" style="439" customWidth="1"/>
    <col min="3589" max="3590" width="11.85546875" style="439" customWidth="1"/>
    <col min="3591" max="3591" width="13.140625" style="439" customWidth="1"/>
    <col min="3592" max="3592" width="9.140625" style="439"/>
    <col min="3593" max="3593" width="12.7109375" style="439" bestFit="1" customWidth="1"/>
    <col min="3594" max="3840" width="9.140625" style="439"/>
    <col min="3841" max="3841" width="7.85546875" style="439" customWidth="1"/>
    <col min="3842" max="3842" width="56.7109375" style="439" customWidth="1"/>
    <col min="3843" max="3843" width="10.7109375" style="439" customWidth="1"/>
    <col min="3844" max="3844" width="13.5703125" style="439" customWidth="1"/>
    <col min="3845" max="3846" width="11.85546875" style="439" customWidth="1"/>
    <col min="3847" max="3847" width="13.140625" style="439" customWidth="1"/>
    <col min="3848" max="3848" width="9.140625" style="439"/>
    <col min="3849" max="3849" width="12.7109375" style="439" bestFit="1" customWidth="1"/>
    <col min="3850" max="4096" width="9.140625" style="439"/>
    <col min="4097" max="4097" width="7.85546875" style="439" customWidth="1"/>
    <col min="4098" max="4098" width="56.7109375" style="439" customWidth="1"/>
    <col min="4099" max="4099" width="10.7109375" style="439" customWidth="1"/>
    <col min="4100" max="4100" width="13.5703125" style="439" customWidth="1"/>
    <col min="4101" max="4102" width="11.85546875" style="439" customWidth="1"/>
    <col min="4103" max="4103" width="13.140625" style="439" customWidth="1"/>
    <col min="4104" max="4104" width="9.140625" style="439"/>
    <col min="4105" max="4105" width="12.7109375" style="439" bestFit="1" customWidth="1"/>
    <col min="4106" max="4352" width="9.140625" style="439"/>
    <col min="4353" max="4353" width="7.85546875" style="439" customWidth="1"/>
    <col min="4354" max="4354" width="56.7109375" style="439" customWidth="1"/>
    <col min="4355" max="4355" width="10.7109375" style="439" customWidth="1"/>
    <col min="4356" max="4356" width="13.5703125" style="439" customWidth="1"/>
    <col min="4357" max="4358" width="11.85546875" style="439" customWidth="1"/>
    <col min="4359" max="4359" width="13.140625" style="439" customWidth="1"/>
    <col min="4360" max="4360" width="9.140625" style="439"/>
    <col min="4361" max="4361" width="12.7109375" style="439" bestFit="1" customWidth="1"/>
    <col min="4362" max="4608" width="9.140625" style="439"/>
    <col min="4609" max="4609" width="7.85546875" style="439" customWidth="1"/>
    <col min="4610" max="4610" width="56.7109375" style="439" customWidth="1"/>
    <col min="4611" max="4611" width="10.7109375" style="439" customWidth="1"/>
    <col min="4612" max="4612" width="13.5703125" style="439" customWidth="1"/>
    <col min="4613" max="4614" width="11.85546875" style="439" customWidth="1"/>
    <col min="4615" max="4615" width="13.140625" style="439" customWidth="1"/>
    <col min="4616" max="4616" width="9.140625" style="439"/>
    <col min="4617" max="4617" width="12.7109375" style="439" bestFit="1" customWidth="1"/>
    <col min="4618" max="4864" width="9.140625" style="439"/>
    <col min="4865" max="4865" width="7.85546875" style="439" customWidth="1"/>
    <col min="4866" max="4866" width="56.7109375" style="439" customWidth="1"/>
    <col min="4867" max="4867" width="10.7109375" style="439" customWidth="1"/>
    <col min="4868" max="4868" width="13.5703125" style="439" customWidth="1"/>
    <col min="4869" max="4870" width="11.85546875" style="439" customWidth="1"/>
    <col min="4871" max="4871" width="13.140625" style="439" customWidth="1"/>
    <col min="4872" max="4872" width="9.140625" style="439"/>
    <col min="4873" max="4873" width="12.7109375" style="439" bestFit="1" customWidth="1"/>
    <col min="4874" max="5120" width="9.140625" style="439"/>
    <col min="5121" max="5121" width="7.85546875" style="439" customWidth="1"/>
    <col min="5122" max="5122" width="56.7109375" style="439" customWidth="1"/>
    <col min="5123" max="5123" width="10.7109375" style="439" customWidth="1"/>
    <col min="5124" max="5124" width="13.5703125" style="439" customWidth="1"/>
    <col min="5125" max="5126" width="11.85546875" style="439" customWidth="1"/>
    <col min="5127" max="5127" width="13.140625" style="439" customWidth="1"/>
    <col min="5128" max="5128" width="9.140625" style="439"/>
    <col min="5129" max="5129" width="12.7109375" style="439" bestFit="1" customWidth="1"/>
    <col min="5130" max="5376" width="9.140625" style="439"/>
    <col min="5377" max="5377" width="7.85546875" style="439" customWidth="1"/>
    <col min="5378" max="5378" width="56.7109375" style="439" customWidth="1"/>
    <col min="5379" max="5379" width="10.7109375" style="439" customWidth="1"/>
    <col min="5380" max="5380" width="13.5703125" style="439" customWidth="1"/>
    <col min="5381" max="5382" width="11.85546875" style="439" customWidth="1"/>
    <col min="5383" max="5383" width="13.140625" style="439" customWidth="1"/>
    <col min="5384" max="5384" width="9.140625" style="439"/>
    <col min="5385" max="5385" width="12.7109375" style="439" bestFit="1" customWidth="1"/>
    <col min="5386" max="5632" width="9.140625" style="439"/>
    <col min="5633" max="5633" width="7.85546875" style="439" customWidth="1"/>
    <col min="5634" max="5634" width="56.7109375" style="439" customWidth="1"/>
    <col min="5635" max="5635" width="10.7109375" style="439" customWidth="1"/>
    <col min="5636" max="5636" width="13.5703125" style="439" customWidth="1"/>
    <col min="5637" max="5638" width="11.85546875" style="439" customWidth="1"/>
    <col min="5639" max="5639" width="13.140625" style="439" customWidth="1"/>
    <col min="5640" max="5640" width="9.140625" style="439"/>
    <col min="5641" max="5641" width="12.7109375" style="439" bestFit="1" customWidth="1"/>
    <col min="5642" max="5888" width="9.140625" style="439"/>
    <col min="5889" max="5889" width="7.85546875" style="439" customWidth="1"/>
    <col min="5890" max="5890" width="56.7109375" style="439" customWidth="1"/>
    <col min="5891" max="5891" width="10.7109375" style="439" customWidth="1"/>
    <col min="5892" max="5892" width="13.5703125" style="439" customWidth="1"/>
    <col min="5893" max="5894" width="11.85546875" style="439" customWidth="1"/>
    <col min="5895" max="5895" width="13.140625" style="439" customWidth="1"/>
    <col min="5896" max="5896" width="9.140625" style="439"/>
    <col min="5897" max="5897" width="12.7109375" style="439" bestFit="1" customWidth="1"/>
    <col min="5898" max="6144" width="9.140625" style="439"/>
    <col min="6145" max="6145" width="7.85546875" style="439" customWidth="1"/>
    <col min="6146" max="6146" width="56.7109375" style="439" customWidth="1"/>
    <col min="6147" max="6147" width="10.7109375" style="439" customWidth="1"/>
    <col min="6148" max="6148" width="13.5703125" style="439" customWidth="1"/>
    <col min="6149" max="6150" width="11.85546875" style="439" customWidth="1"/>
    <col min="6151" max="6151" width="13.140625" style="439" customWidth="1"/>
    <col min="6152" max="6152" width="9.140625" style="439"/>
    <col min="6153" max="6153" width="12.7109375" style="439" bestFit="1" customWidth="1"/>
    <col min="6154" max="6400" width="9.140625" style="439"/>
    <col min="6401" max="6401" width="7.85546875" style="439" customWidth="1"/>
    <col min="6402" max="6402" width="56.7109375" style="439" customWidth="1"/>
    <col min="6403" max="6403" width="10.7109375" style="439" customWidth="1"/>
    <col min="6404" max="6404" width="13.5703125" style="439" customWidth="1"/>
    <col min="6405" max="6406" width="11.85546875" style="439" customWidth="1"/>
    <col min="6407" max="6407" width="13.140625" style="439" customWidth="1"/>
    <col min="6408" max="6408" width="9.140625" style="439"/>
    <col min="6409" max="6409" width="12.7109375" style="439" bestFit="1" customWidth="1"/>
    <col min="6410" max="6656" width="9.140625" style="439"/>
    <col min="6657" max="6657" width="7.85546875" style="439" customWidth="1"/>
    <col min="6658" max="6658" width="56.7109375" style="439" customWidth="1"/>
    <col min="6659" max="6659" width="10.7109375" style="439" customWidth="1"/>
    <col min="6660" max="6660" width="13.5703125" style="439" customWidth="1"/>
    <col min="6661" max="6662" width="11.85546875" style="439" customWidth="1"/>
    <col min="6663" max="6663" width="13.140625" style="439" customWidth="1"/>
    <col min="6664" max="6664" width="9.140625" style="439"/>
    <col min="6665" max="6665" width="12.7109375" style="439" bestFit="1" customWidth="1"/>
    <col min="6666" max="6912" width="9.140625" style="439"/>
    <col min="6913" max="6913" width="7.85546875" style="439" customWidth="1"/>
    <col min="6914" max="6914" width="56.7109375" style="439" customWidth="1"/>
    <col min="6915" max="6915" width="10.7109375" style="439" customWidth="1"/>
    <col min="6916" max="6916" width="13.5703125" style="439" customWidth="1"/>
    <col min="6917" max="6918" width="11.85546875" style="439" customWidth="1"/>
    <col min="6919" max="6919" width="13.140625" style="439" customWidth="1"/>
    <col min="6920" max="6920" width="9.140625" style="439"/>
    <col min="6921" max="6921" width="12.7109375" style="439" bestFit="1" customWidth="1"/>
    <col min="6922" max="7168" width="9.140625" style="439"/>
    <col min="7169" max="7169" width="7.85546875" style="439" customWidth="1"/>
    <col min="7170" max="7170" width="56.7109375" style="439" customWidth="1"/>
    <col min="7171" max="7171" width="10.7109375" style="439" customWidth="1"/>
    <col min="7172" max="7172" width="13.5703125" style="439" customWidth="1"/>
    <col min="7173" max="7174" width="11.85546875" style="439" customWidth="1"/>
    <col min="7175" max="7175" width="13.140625" style="439" customWidth="1"/>
    <col min="7176" max="7176" width="9.140625" style="439"/>
    <col min="7177" max="7177" width="12.7109375" style="439" bestFit="1" customWidth="1"/>
    <col min="7178" max="7424" width="9.140625" style="439"/>
    <col min="7425" max="7425" width="7.85546875" style="439" customWidth="1"/>
    <col min="7426" max="7426" width="56.7109375" style="439" customWidth="1"/>
    <col min="7427" max="7427" width="10.7109375" style="439" customWidth="1"/>
    <col min="7428" max="7428" width="13.5703125" style="439" customWidth="1"/>
    <col min="7429" max="7430" width="11.85546875" style="439" customWidth="1"/>
    <col min="7431" max="7431" width="13.140625" style="439" customWidth="1"/>
    <col min="7432" max="7432" width="9.140625" style="439"/>
    <col min="7433" max="7433" width="12.7109375" style="439" bestFit="1" customWidth="1"/>
    <col min="7434" max="7680" width="9.140625" style="439"/>
    <col min="7681" max="7681" width="7.85546875" style="439" customWidth="1"/>
    <col min="7682" max="7682" width="56.7109375" style="439" customWidth="1"/>
    <col min="7683" max="7683" width="10.7109375" style="439" customWidth="1"/>
    <col min="7684" max="7684" width="13.5703125" style="439" customWidth="1"/>
    <col min="7685" max="7686" width="11.85546875" style="439" customWidth="1"/>
    <col min="7687" max="7687" width="13.140625" style="439" customWidth="1"/>
    <col min="7688" max="7688" width="9.140625" style="439"/>
    <col min="7689" max="7689" width="12.7109375" style="439" bestFit="1" customWidth="1"/>
    <col min="7690" max="7936" width="9.140625" style="439"/>
    <col min="7937" max="7937" width="7.85546875" style="439" customWidth="1"/>
    <col min="7938" max="7938" width="56.7109375" style="439" customWidth="1"/>
    <col min="7939" max="7939" width="10.7109375" style="439" customWidth="1"/>
    <col min="7940" max="7940" width="13.5703125" style="439" customWidth="1"/>
    <col min="7941" max="7942" width="11.85546875" style="439" customWidth="1"/>
    <col min="7943" max="7943" width="13.140625" style="439" customWidth="1"/>
    <col min="7944" max="7944" width="9.140625" style="439"/>
    <col min="7945" max="7945" width="12.7109375" style="439" bestFit="1" customWidth="1"/>
    <col min="7946" max="8192" width="9.140625" style="439"/>
    <col min="8193" max="8193" width="7.85546875" style="439" customWidth="1"/>
    <col min="8194" max="8194" width="56.7109375" style="439" customWidth="1"/>
    <col min="8195" max="8195" width="10.7109375" style="439" customWidth="1"/>
    <col min="8196" max="8196" width="13.5703125" style="439" customWidth="1"/>
    <col min="8197" max="8198" width="11.85546875" style="439" customWidth="1"/>
    <col min="8199" max="8199" width="13.140625" style="439" customWidth="1"/>
    <col min="8200" max="8200" width="9.140625" style="439"/>
    <col min="8201" max="8201" width="12.7109375" style="439" bestFit="1" customWidth="1"/>
    <col min="8202" max="8448" width="9.140625" style="439"/>
    <col min="8449" max="8449" width="7.85546875" style="439" customWidth="1"/>
    <col min="8450" max="8450" width="56.7109375" style="439" customWidth="1"/>
    <col min="8451" max="8451" width="10.7109375" style="439" customWidth="1"/>
    <col min="8452" max="8452" width="13.5703125" style="439" customWidth="1"/>
    <col min="8453" max="8454" width="11.85546875" style="439" customWidth="1"/>
    <col min="8455" max="8455" width="13.140625" style="439" customWidth="1"/>
    <col min="8456" max="8456" width="9.140625" style="439"/>
    <col min="8457" max="8457" width="12.7109375" style="439" bestFit="1" customWidth="1"/>
    <col min="8458" max="8704" width="9.140625" style="439"/>
    <col min="8705" max="8705" width="7.85546875" style="439" customWidth="1"/>
    <col min="8706" max="8706" width="56.7109375" style="439" customWidth="1"/>
    <col min="8707" max="8707" width="10.7109375" style="439" customWidth="1"/>
    <col min="8708" max="8708" width="13.5703125" style="439" customWidth="1"/>
    <col min="8709" max="8710" width="11.85546875" style="439" customWidth="1"/>
    <col min="8711" max="8711" width="13.140625" style="439" customWidth="1"/>
    <col min="8712" max="8712" width="9.140625" style="439"/>
    <col min="8713" max="8713" width="12.7109375" style="439" bestFit="1" customWidth="1"/>
    <col min="8714" max="8960" width="9.140625" style="439"/>
    <col min="8961" max="8961" width="7.85546875" style="439" customWidth="1"/>
    <col min="8962" max="8962" width="56.7109375" style="439" customWidth="1"/>
    <col min="8963" max="8963" width="10.7109375" style="439" customWidth="1"/>
    <col min="8964" max="8964" width="13.5703125" style="439" customWidth="1"/>
    <col min="8965" max="8966" width="11.85546875" style="439" customWidth="1"/>
    <col min="8967" max="8967" width="13.140625" style="439" customWidth="1"/>
    <col min="8968" max="8968" width="9.140625" style="439"/>
    <col min="8969" max="8969" width="12.7109375" style="439" bestFit="1" customWidth="1"/>
    <col min="8970" max="9216" width="9.140625" style="439"/>
    <col min="9217" max="9217" width="7.85546875" style="439" customWidth="1"/>
    <col min="9218" max="9218" width="56.7109375" style="439" customWidth="1"/>
    <col min="9219" max="9219" width="10.7109375" style="439" customWidth="1"/>
    <col min="9220" max="9220" width="13.5703125" style="439" customWidth="1"/>
    <col min="9221" max="9222" width="11.85546875" style="439" customWidth="1"/>
    <col min="9223" max="9223" width="13.140625" style="439" customWidth="1"/>
    <col min="9224" max="9224" width="9.140625" style="439"/>
    <col min="9225" max="9225" width="12.7109375" style="439" bestFit="1" customWidth="1"/>
    <col min="9226" max="9472" width="9.140625" style="439"/>
    <col min="9473" max="9473" width="7.85546875" style="439" customWidth="1"/>
    <col min="9474" max="9474" width="56.7109375" style="439" customWidth="1"/>
    <col min="9475" max="9475" width="10.7109375" style="439" customWidth="1"/>
    <col min="9476" max="9476" width="13.5703125" style="439" customWidth="1"/>
    <col min="9477" max="9478" width="11.85546875" style="439" customWidth="1"/>
    <col min="9479" max="9479" width="13.140625" style="439" customWidth="1"/>
    <col min="9480" max="9480" width="9.140625" style="439"/>
    <col min="9481" max="9481" width="12.7109375" style="439" bestFit="1" customWidth="1"/>
    <col min="9482" max="9728" width="9.140625" style="439"/>
    <col min="9729" max="9729" width="7.85546875" style="439" customWidth="1"/>
    <col min="9730" max="9730" width="56.7109375" style="439" customWidth="1"/>
    <col min="9731" max="9731" width="10.7109375" style="439" customWidth="1"/>
    <col min="9732" max="9732" width="13.5703125" style="439" customWidth="1"/>
    <col min="9733" max="9734" width="11.85546875" style="439" customWidth="1"/>
    <col min="9735" max="9735" width="13.140625" style="439" customWidth="1"/>
    <col min="9736" max="9736" width="9.140625" style="439"/>
    <col min="9737" max="9737" width="12.7109375" style="439" bestFit="1" customWidth="1"/>
    <col min="9738" max="9984" width="9.140625" style="439"/>
    <col min="9985" max="9985" width="7.85546875" style="439" customWidth="1"/>
    <col min="9986" max="9986" width="56.7109375" style="439" customWidth="1"/>
    <col min="9987" max="9987" width="10.7109375" style="439" customWidth="1"/>
    <col min="9988" max="9988" width="13.5703125" style="439" customWidth="1"/>
    <col min="9989" max="9990" width="11.85546875" style="439" customWidth="1"/>
    <col min="9991" max="9991" width="13.140625" style="439" customWidth="1"/>
    <col min="9992" max="9992" width="9.140625" style="439"/>
    <col min="9993" max="9993" width="12.7109375" style="439" bestFit="1" customWidth="1"/>
    <col min="9994" max="10240" width="9.140625" style="439"/>
    <col min="10241" max="10241" width="7.85546875" style="439" customWidth="1"/>
    <col min="10242" max="10242" width="56.7109375" style="439" customWidth="1"/>
    <col min="10243" max="10243" width="10.7109375" style="439" customWidth="1"/>
    <col min="10244" max="10244" width="13.5703125" style="439" customWidth="1"/>
    <col min="10245" max="10246" width="11.85546875" style="439" customWidth="1"/>
    <col min="10247" max="10247" width="13.140625" style="439" customWidth="1"/>
    <col min="10248" max="10248" width="9.140625" style="439"/>
    <col min="10249" max="10249" width="12.7109375" style="439" bestFit="1" customWidth="1"/>
    <col min="10250" max="10496" width="9.140625" style="439"/>
    <col min="10497" max="10497" width="7.85546875" style="439" customWidth="1"/>
    <col min="10498" max="10498" width="56.7109375" style="439" customWidth="1"/>
    <col min="10499" max="10499" width="10.7109375" style="439" customWidth="1"/>
    <col min="10500" max="10500" width="13.5703125" style="439" customWidth="1"/>
    <col min="10501" max="10502" width="11.85546875" style="439" customWidth="1"/>
    <col min="10503" max="10503" width="13.140625" style="439" customWidth="1"/>
    <col min="10504" max="10504" width="9.140625" style="439"/>
    <col min="10505" max="10505" width="12.7109375" style="439" bestFit="1" customWidth="1"/>
    <col min="10506" max="10752" width="9.140625" style="439"/>
    <col min="10753" max="10753" width="7.85546875" style="439" customWidth="1"/>
    <col min="10754" max="10754" width="56.7109375" style="439" customWidth="1"/>
    <col min="10755" max="10755" width="10.7109375" style="439" customWidth="1"/>
    <col min="10756" max="10756" width="13.5703125" style="439" customWidth="1"/>
    <col min="10757" max="10758" width="11.85546875" style="439" customWidth="1"/>
    <col min="10759" max="10759" width="13.140625" style="439" customWidth="1"/>
    <col min="10760" max="10760" width="9.140625" style="439"/>
    <col min="10761" max="10761" width="12.7109375" style="439" bestFit="1" customWidth="1"/>
    <col min="10762" max="11008" width="9.140625" style="439"/>
    <col min="11009" max="11009" width="7.85546875" style="439" customWidth="1"/>
    <col min="11010" max="11010" width="56.7109375" style="439" customWidth="1"/>
    <col min="11011" max="11011" width="10.7109375" style="439" customWidth="1"/>
    <col min="11012" max="11012" width="13.5703125" style="439" customWidth="1"/>
    <col min="11013" max="11014" width="11.85546875" style="439" customWidth="1"/>
    <col min="11015" max="11015" width="13.140625" style="439" customWidth="1"/>
    <col min="11016" max="11016" width="9.140625" style="439"/>
    <col min="11017" max="11017" width="12.7109375" style="439" bestFit="1" customWidth="1"/>
    <col min="11018" max="11264" width="9.140625" style="439"/>
    <col min="11265" max="11265" width="7.85546875" style="439" customWidth="1"/>
    <col min="11266" max="11266" width="56.7109375" style="439" customWidth="1"/>
    <col min="11267" max="11267" width="10.7109375" style="439" customWidth="1"/>
    <col min="11268" max="11268" width="13.5703125" style="439" customWidth="1"/>
    <col min="11269" max="11270" width="11.85546875" style="439" customWidth="1"/>
    <col min="11271" max="11271" width="13.140625" style="439" customWidth="1"/>
    <col min="11272" max="11272" width="9.140625" style="439"/>
    <col min="11273" max="11273" width="12.7109375" style="439" bestFit="1" customWidth="1"/>
    <col min="11274" max="11520" width="9.140625" style="439"/>
    <col min="11521" max="11521" width="7.85546875" style="439" customWidth="1"/>
    <col min="11522" max="11522" width="56.7109375" style="439" customWidth="1"/>
    <col min="11523" max="11523" width="10.7109375" style="439" customWidth="1"/>
    <col min="11524" max="11524" width="13.5703125" style="439" customWidth="1"/>
    <col min="11525" max="11526" width="11.85546875" style="439" customWidth="1"/>
    <col min="11527" max="11527" width="13.140625" style="439" customWidth="1"/>
    <col min="11528" max="11528" width="9.140625" style="439"/>
    <col min="11529" max="11529" width="12.7109375" style="439" bestFit="1" customWidth="1"/>
    <col min="11530" max="11776" width="9.140625" style="439"/>
    <col min="11777" max="11777" width="7.85546875" style="439" customWidth="1"/>
    <col min="11778" max="11778" width="56.7109375" style="439" customWidth="1"/>
    <col min="11779" max="11779" width="10.7109375" style="439" customWidth="1"/>
    <col min="11780" max="11780" width="13.5703125" style="439" customWidth="1"/>
    <col min="11781" max="11782" width="11.85546875" style="439" customWidth="1"/>
    <col min="11783" max="11783" width="13.140625" style="439" customWidth="1"/>
    <col min="11784" max="11784" width="9.140625" style="439"/>
    <col min="11785" max="11785" width="12.7109375" style="439" bestFit="1" customWidth="1"/>
    <col min="11786" max="12032" width="9.140625" style="439"/>
    <col min="12033" max="12033" width="7.85546875" style="439" customWidth="1"/>
    <col min="12034" max="12034" width="56.7109375" style="439" customWidth="1"/>
    <col min="12035" max="12035" width="10.7109375" style="439" customWidth="1"/>
    <col min="12036" max="12036" width="13.5703125" style="439" customWidth="1"/>
    <col min="12037" max="12038" width="11.85546875" style="439" customWidth="1"/>
    <col min="12039" max="12039" width="13.140625" style="439" customWidth="1"/>
    <col min="12040" max="12040" width="9.140625" style="439"/>
    <col min="12041" max="12041" width="12.7109375" style="439" bestFit="1" customWidth="1"/>
    <col min="12042" max="12288" width="9.140625" style="439"/>
    <col min="12289" max="12289" width="7.85546875" style="439" customWidth="1"/>
    <col min="12290" max="12290" width="56.7109375" style="439" customWidth="1"/>
    <col min="12291" max="12291" width="10.7109375" style="439" customWidth="1"/>
    <col min="12292" max="12292" width="13.5703125" style="439" customWidth="1"/>
    <col min="12293" max="12294" width="11.85546875" style="439" customWidth="1"/>
    <col min="12295" max="12295" width="13.140625" style="439" customWidth="1"/>
    <col min="12296" max="12296" width="9.140625" style="439"/>
    <col min="12297" max="12297" width="12.7109375" style="439" bestFit="1" customWidth="1"/>
    <col min="12298" max="12544" width="9.140625" style="439"/>
    <col min="12545" max="12545" width="7.85546875" style="439" customWidth="1"/>
    <col min="12546" max="12546" width="56.7109375" style="439" customWidth="1"/>
    <col min="12547" max="12547" width="10.7109375" style="439" customWidth="1"/>
    <col min="12548" max="12548" width="13.5703125" style="439" customWidth="1"/>
    <col min="12549" max="12550" width="11.85546875" style="439" customWidth="1"/>
    <col min="12551" max="12551" width="13.140625" style="439" customWidth="1"/>
    <col min="12552" max="12552" width="9.140625" style="439"/>
    <col min="12553" max="12553" width="12.7109375" style="439" bestFit="1" customWidth="1"/>
    <col min="12554" max="12800" width="9.140625" style="439"/>
    <col min="12801" max="12801" width="7.85546875" style="439" customWidth="1"/>
    <col min="12802" max="12802" width="56.7109375" style="439" customWidth="1"/>
    <col min="12803" max="12803" width="10.7109375" style="439" customWidth="1"/>
    <col min="12804" max="12804" width="13.5703125" style="439" customWidth="1"/>
    <col min="12805" max="12806" width="11.85546875" style="439" customWidth="1"/>
    <col min="12807" max="12807" width="13.140625" style="439" customWidth="1"/>
    <col min="12808" max="12808" width="9.140625" style="439"/>
    <col min="12809" max="12809" width="12.7109375" style="439" bestFit="1" customWidth="1"/>
    <col min="12810" max="13056" width="9.140625" style="439"/>
    <col min="13057" max="13057" width="7.85546875" style="439" customWidth="1"/>
    <col min="13058" max="13058" width="56.7109375" style="439" customWidth="1"/>
    <col min="13059" max="13059" width="10.7109375" style="439" customWidth="1"/>
    <col min="13060" max="13060" width="13.5703125" style="439" customWidth="1"/>
    <col min="13061" max="13062" width="11.85546875" style="439" customWidth="1"/>
    <col min="13063" max="13063" width="13.140625" style="439" customWidth="1"/>
    <col min="13064" max="13064" width="9.140625" style="439"/>
    <col min="13065" max="13065" width="12.7109375" style="439" bestFit="1" customWidth="1"/>
    <col min="13066" max="13312" width="9.140625" style="439"/>
    <col min="13313" max="13313" width="7.85546875" style="439" customWidth="1"/>
    <col min="13314" max="13314" width="56.7109375" style="439" customWidth="1"/>
    <col min="13315" max="13315" width="10.7109375" style="439" customWidth="1"/>
    <col min="13316" max="13316" width="13.5703125" style="439" customWidth="1"/>
    <col min="13317" max="13318" width="11.85546875" style="439" customWidth="1"/>
    <col min="13319" max="13319" width="13.140625" style="439" customWidth="1"/>
    <col min="13320" max="13320" width="9.140625" style="439"/>
    <col min="13321" max="13321" width="12.7109375" style="439" bestFit="1" customWidth="1"/>
    <col min="13322" max="13568" width="9.140625" style="439"/>
    <col min="13569" max="13569" width="7.85546875" style="439" customWidth="1"/>
    <col min="13570" max="13570" width="56.7109375" style="439" customWidth="1"/>
    <col min="13571" max="13571" width="10.7109375" style="439" customWidth="1"/>
    <col min="13572" max="13572" width="13.5703125" style="439" customWidth="1"/>
    <col min="13573" max="13574" width="11.85546875" style="439" customWidth="1"/>
    <col min="13575" max="13575" width="13.140625" style="439" customWidth="1"/>
    <col min="13576" max="13576" width="9.140625" style="439"/>
    <col min="13577" max="13577" width="12.7109375" style="439" bestFit="1" customWidth="1"/>
    <col min="13578" max="13824" width="9.140625" style="439"/>
    <col min="13825" max="13825" width="7.85546875" style="439" customWidth="1"/>
    <col min="13826" max="13826" width="56.7109375" style="439" customWidth="1"/>
    <col min="13827" max="13827" width="10.7109375" style="439" customWidth="1"/>
    <col min="13828" max="13828" width="13.5703125" style="439" customWidth="1"/>
    <col min="13829" max="13830" width="11.85546875" style="439" customWidth="1"/>
    <col min="13831" max="13831" width="13.140625" style="439" customWidth="1"/>
    <col min="13832" max="13832" width="9.140625" style="439"/>
    <col min="13833" max="13833" width="12.7109375" style="439" bestFit="1" customWidth="1"/>
    <col min="13834" max="14080" width="9.140625" style="439"/>
    <col min="14081" max="14081" width="7.85546875" style="439" customWidth="1"/>
    <col min="14082" max="14082" width="56.7109375" style="439" customWidth="1"/>
    <col min="14083" max="14083" width="10.7109375" style="439" customWidth="1"/>
    <col min="14084" max="14084" width="13.5703125" style="439" customWidth="1"/>
    <col min="14085" max="14086" width="11.85546875" style="439" customWidth="1"/>
    <col min="14087" max="14087" width="13.140625" style="439" customWidth="1"/>
    <col min="14088" max="14088" width="9.140625" style="439"/>
    <col min="14089" max="14089" width="12.7109375" style="439" bestFit="1" customWidth="1"/>
    <col min="14090" max="14336" width="9.140625" style="439"/>
    <col min="14337" max="14337" width="7.85546875" style="439" customWidth="1"/>
    <col min="14338" max="14338" width="56.7109375" style="439" customWidth="1"/>
    <col min="14339" max="14339" width="10.7109375" style="439" customWidth="1"/>
    <col min="14340" max="14340" width="13.5703125" style="439" customWidth="1"/>
    <col min="14341" max="14342" width="11.85546875" style="439" customWidth="1"/>
    <col min="14343" max="14343" width="13.140625" style="439" customWidth="1"/>
    <col min="14344" max="14344" width="9.140625" style="439"/>
    <col min="14345" max="14345" width="12.7109375" style="439" bestFit="1" customWidth="1"/>
    <col min="14346" max="14592" width="9.140625" style="439"/>
    <col min="14593" max="14593" width="7.85546875" style="439" customWidth="1"/>
    <col min="14594" max="14594" width="56.7109375" style="439" customWidth="1"/>
    <col min="14595" max="14595" width="10.7109375" style="439" customWidth="1"/>
    <col min="14596" max="14596" width="13.5703125" style="439" customWidth="1"/>
    <col min="14597" max="14598" width="11.85546875" style="439" customWidth="1"/>
    <col min="14599" max="14599" width="13.140625" style="439" customWidth="1"/>
    <col min="14600" max="14600" width="9.140625" style="439"/>
    <col min="14601" max="14601" width="12.7109375" style="439" bestFit="1" customWidth="1"/>
    <col min="14602" max="14848" width="9.140625" style="439"/>
    <col min="14849" max="14849" width="7.85546875" style="439" customWidth="1"/>
    <col min="14850" max="14850" width="56.7109375" style="439" customWidth="1"/>
    <col min="14851" max="14851" width="10.7109375" style="439" customWidth="1"/>
    <col min="14852" max="14852" width="13.5703125" style="439" customWidth="1"/>
    <col min="14853" max="14854" width="11.85546875" style="439" customWidth="1"/>
    <col min="14855" max="14855" width="13.140625" style="439" customWidth="1"/>
    <col min="14856" max="14856" width="9.140625" style="439"/>
    <col min="14857" max="14857" width="12.7109375" style="439" bestFit="1" customWidth="1"/>
    <col min="14858" max="15104" width="9.140625" style="439"/>
    <col min="15105" max="15105" width="7.85546875" style="439" customWidth="1"/>
    <col min="15106" max="15106" width="56.7109375" style="439" customWidth="1"/>
    <col min="15107" max="15107" width="10.7109375" style="439" customWidth="1"/>
    <col min="15108" max="15108" width="13.5703125" style="439" customWidth="1"/>
    <col min="15109" max="15110" width="11.85546875" style="439" customWidth="1"/>
    <col min="15111" max="15111" width="13.140625" style="439" customWidth="1"/>
    <col min="15112" max="15112" width="9.140625" style="439"/>
    <col min="15113" max="15113" width="12.7109375" style="439" bestFit="1" customWidth="1"/>
    <col min="15114" max="15360" width="9.140625" style="439"/>
    <col min="15361" max="15361" width="7.85546875" style="439" customWidth="1"/>
    <col min="15362" max="15362" width="56.7109375" style="439" customWidth="1"/>
    <col min="15363" max="15363" width="10.7109375" style="439" customWidth="1"/>
    <col min="15364" max="15364" width="13.5703125" style="439" customWidth="1"/>
    <col min="15365" max="15366" width="11.85546875" style="439" customWidth="1"/>
    <col min="15367" max="15367" width="13.140625" style="439" customWidth="1"/>
    <col min="15368" max="15368" width="9.140625" style="439"/>
    <col min="15369" max="15369" width="12.7109375" style="439" bestFit="1" customWidth="1"/>
    <col min="15370" max="15616" width="9.140625" style="439"/>
    <col min="15617" max="15617" width="7.85546875" style="439" customWidth="1"/>
    <col min="15618" max="15618" width="56.7109375" style="439" customWidth="1"/>
    <col min="15619" max="15619" width="10.7109375" style="439" customWidth="1"/>
    <col min="15620" max="15620" width="13.5703125" style="439" customWidth="1"/>
    <col min="15621" max="15622" width="11.85546875" style="439" customWidth="1"/>
    <col min="15623" max="15623" width="13.140625" style="439" customWidth="1"/>
    <col min="15624" max="15624" width="9.140625" style="439"/>
    <col min="15625" max="15625" width="12.7109375" style="439" bestFit="1" customWidth="1"/>
    <col min="15626" max="15872" width="9.140625" style="439"/>
    <col min="15873" max="15873" width="7.85546875" style="439" customWidth="1"/>
    <col min="15874" max="15874" width="56.7109375" style="439" customWidth="1"/>
    <col min="15875" max="15875" width="10.7109375" style="439" customWidth="1"/>
    <col min="15876" max="15876" width="13.5703125" style="439" customWidth="1"/>
    <col min="15877" max="15878" width="11.85546875" style="439" customWidth="1"/>
    <col min="15879" max="15879" width="13.140625" style="439" customWidth="1"/>
    <col min="15880" max="15880" width="9.140625" style="439"/>
    <col min="15881" max="15881" width="12.7109375" style="439" bestFit="1" customWidth="1"/>
    <col min="15882" max="16128" width="9.140625" style="439"/>
    <col min="16129" max="16129" width="7.85546875" style="439" customWidth="1"/>
    <col min="16130" max="16130" width="56.7109375" style="439" customWidth="1"/>
    <col min="16131" max="16131" width="10.7109375" style="439" customWidth="1"/>
    <col min="16132" max="16132" width="13.5703125" style="439" customWidth="1"/>
    <col min="16133" max="16134" width="11.85546875" style="439" customWidth="1"/>
    <col min="16135" max="16135" width="13.140625" style="439" customWidth="1"/>
    <col min="16136" max="16136" width="9.140625" style="439"/>
    <col min="16137" max="16137" width="12.7109375" style="439" bestFit="1" customWidth="1"/>
    <col min="16138" max="16384" width="9.140625" style="439"/>
  </cols>
  <sheetData>
    <row r="1" spans="1:10">
      <c r="A1" s="1058" t="s">
        <v>3527</v>
      </c>
      <c r="B1" s="1058"/>
      <c r="C1" s="1058"/>
      <c r="D1" s="1058"/>
      <c r="E1" s="1058"/>
      <c r="F1" s="1058"/>
      <c r="G1" s="1058"/>
    </row>
    <row r="2" spans="1:10">
      <c r="A2" s="1059" t="s">
        <v>3528</v>
      </c>
      <c r="B2" s="1059"/>
      <c r="C2" s="1059"/>
      <c r="D2" s="1059"/>
      <c r="E2" s="1059"/>
      <c r="F2" s="1059"/>
      <c r="G2" s="1059"/>
      <c r="H2" s="716"/>
    </row>
    <row r="3" spans="1:10" ht="14.25">
      <c r="A3" s="717"/>
      <c r="B3" s="717"/>
      <c r="C3" s="717"/>
      <c r="D3" s="717"/>
      <c r="E3" s="717"/>
      <c r="F3" s="717"/>
      <c r="G3" s="717"/>
      <c r="J3" s="712"/>
    </row>
    <row r="4" spans="1:10" ht="15" customHeight="1">
      <c r="A4" s="1062" t="s">
        <v>3529</v>
      </c>
      <c r="B4" s="1062"/>
      <c r="C4" s="1062"/>
      <c r="D4" s="1062"/>
      <c r="E4" s="1062"/>
      <c r="F4" s="1062"/>
      <c r="G4" s="1062"/>
    </row>
    <row r="5" spans="1:10" ht="14.25" customHeight="1">
      <c r="A5" s="948"/>
      <c r="B5" s="948"/>
      <c r="C5" s="948"/>
      <c r="D5" s="948"/>
      <c r="E5" s="948"/>
      <c r="F5" s="948"/>
      <c r="G5" s="948"/>
    </row>
    <row r="6" spans="1:10" ht="18.75" customHeight="1">
      <c r="A6" s="948"/>
      <c r="B6" s="948"/>
      <c r="C6" s="948"/>
      <c r="D6" s="948"/>
      <c r="E6" s="1063" t="s">
        <v>3309</v>
      </c>
      <c r="F6" s="779" t="s">
        <v>3526</v>
      </c>
      <c r="G6" s="814">
        <v>0.2462</v>
      </c>
      <c r="J6" s="956"/>
    </row>
    <row r="7" spans="1:10" ht="18.75" customHeight="1">
      <c r="A7" s="948"/>
      <c r="B7" s="948"/>
      <c r="C7" s="948"/>
      <c r="D7" s="948"/>
      <c r="E7" s="1063"/>
      <c r="F7" s="815" t="s">
        <v>3454</v>
      </c>
      <c r="G7" s="814">
        <v>0.15279999999999999</v>
      </c>
      <c r="J7" s="956"/>
    </row>
    <row r="8" spans="1:10" ht="9" customHeight="1">
      <c r="D8" s="719"/>
    </row>
    <row r="9" spans="1:10" ht="12.75">
      <c r="A9" s="1060" t="s">
        <v>0</v>
      </c>
      <c r="B9" s="1060" t="s">
        <v>1489</v>
      </c>
      <c r="C9" s="1060" t="s">
        <v>3246</v>
      </c>
      <c r="D9" s="1060" t="s">
        <v>3247</v>
      </c>
      <c r="E9" s="1060" t="s">
        <v>3530</v>
      </c>
      <c r="F9" s="1060"/>
      <c r="G9" s="1061"/>
    </row>
    <row r="10" spans="1:10" ht="12.75">
      <c r="A10" s="1060"/>
      <c r="B10" s="1060"/>
      <c r="C10" s="1060"/>
      <c r="D10" s="1060"/>
      <c r="E10" s="720" t="s">
        <v>3531</v>
      </c>
      <c r="F10" s="720" t="s">
        <v>3309</v>
      </c>
      <c r="G10" s="720" t="s">
        <v>3532</v>
      </c>
    </row>
    <row r="11" spans="1:10" ht="12.75">
      <c r="A11" s="721"/>
      <c r="B11" s="722" t="s">
        <v>3533</v>
      </c>
      <c r="C11" s="721"/>
      <c r="D11" s="721"/>
      <c r="E11" s="722"/>
      <c r="F11" s="722"/>
      <c r="G11" s="722"/>
    </row>
    <row r="12" spans="1:10" ht="12.75">
      <c r="A12" s="721"/>
      <c r="B12" s="722"/>
      <c r="C12" s="721"/>
      <c r="D12" s="721"/>
      <c r="E12" s="722"/>
      <c r="F12" s="722"/>
      <c r="G12" s="722"/>
    </row>
    <row r="13" spans="1:10" ht="12.75">
      <c r="A13" s="780" t="s">
        <v>3635</v>
      </c>
      <c r="B13" s="725" t="s">
        <v>1433</v>
      </c>
      <c r="C13" s="726"/>
      <c r="D13" s="727"/>
      <c r="E13" s="723">
        <f>E14+E15</f>
        <v>86056907.874494657</v>
      </c>
      <c r="F13" s="729"/>
      <c r="G13" s="723">
        <f>G14+G15</f>
        <v>100256616.59596471</v>
      </c>
    </row>
    <row r="14" spans="1:10" ht="12.75">
      <c r="A14" s="724" t="s">
        <v>917</v>
      </c>
      <c r="B14" s="737" t="s">
        <v>1407</v>
      </c>
      <c r="C14" s="724" t="s">
        <v>3536</v>
      </c>
      <c r="D14" s="797">
        <v>1</v>
      </c>
      <c r="E14" s="728">
        <f>'REDE PRESSURIZADA'!H24</f>
        <v>11244252.657893931</v>
      </c>
      <c r="F14" s="783">
        <f>$G$6</f>
        <v>0.2462</v>
      </c>
      <c r="G14" s="728">
        <f>D14*((E14*F14)+E14)</f>
        <v>14012587.662267417</v>
      </c>
    </row>
    <row r="15" spans="1:10" ht="12.75">
      <c r="A15" s="724" t="s">
        <v>960</v>
      </c>
      <c r="B15" s="737" t="s">
        <v>3565</v>
      </c>
      <c r="C15" s="732"/>
      <c r="D15" s="733"/>
      <c r="E15" s="728">
        <f>SUM(E16:E20)</f>
        <v>74812655.216600731</v>
      </c>
      <c r="F15" s="735"/>
      <c r="G15" s="728">
        <f>SUM(G16:G20)</f>
        <v>86244028.933697298</v>
      </c>
    </row>
    <row r="16" spans="1:10" ht="12.75">
      <c r="A16" s="732" t="s">
        <v>961</v>
      </c>
      <c r="B16" s="731" t="s">
        <v>3636</v>
      </c>
      <c r="C16" s="732" t="s">
        <v>3536</v>
      </c>
      <c r="D16" s="733">
        <v>1</v>
      </c>
      <c r="E16" s="734">
        <f>'REDE PRESSURIZADA'!H75</f>
        <v>6910845.9778458169</v>
      </c>
      <c r="F16" s="735">
        <f>$G$7</f>
        <v>0.15279999999999999</v>
      </c>
      <c r="G16" s="734">
        <f>D16*((E16*F16)+E16)</f>
        <v>7966823.2432606574</v>
      </c>
    </row>
    <row r="17" spans="1:9" ht="12.75">
      <c r="A17" s="732" t="s">
        <v>977</v>
      </c>
      <c r="B17" s="731" t="s">
        <v>3637</v>
      </c>
      <c r="C17" s="732" t="s">
        <v>3536</v>
      </c>
      <c r="D17" s="733">
        <v>1</v>
      </c>
      <c r="E17" s="734">
        <f>'REDE PRESSURIZADA'!H91</f>
        <v>2296802.4811505456</v>
      </c>
      <c r="F17" s="735">
        <f>$G$7</f>
        <v>0.15279999999999999</v>
      </c>
      <c r="G17" s="734">
        <f>D17*((E17*F17)+E17)</f>
        <v>2647753.9002703489</v>
      </c>
    </row>
    <row r="18" spans="1:9" ht="12.75">
      <c r="A18" s="732" t="s">
        <v>992</v>
      </c>
      <c r="B18" s="731" t="s">
        <v>3638</v>
      </c>
      <c r="C18" s="732" t="s">
        <v>3536</v>
      </c>
      <c r="D18" s="733">
        <v>1</v>
      </c>
      <c r="E18" s="734">
        <f>'REDE PRESSURIZADA'!H106</f>
        <v>538885.01524945442</v>
      </c>
      <c r="F18" s="735">
        <f>$G$7</f>
        <v>0.15279999999999999</v>
      </c>
      <c r="G18" s="734">
        <f>D18*((E18*F18)+E18)</f>
        <v>621226.64557957102</v>
      </c>
    </row>
    <row r="19" spans="1:9" ht="12.75">
      <c r="A19" s="732" t="s">
        <v>1006</v>
      </c>
      <c r="B19" s="731" t="s">
        <v>3639</v>
      </c>
      <c r="C19" s="732" t="s">
        <v>3536</v>
      </c>
      <c r="D19" s="733">
        <v>1</v>
      </c>
      <c r="E19" s="734">
        <f>'REDE PRESSURIZADA'!H120</f>
        <v>62899302.281466179</v>
      </c>
      <c r="F19" s="735">
        <f>$G$7</f>
        <v>0.15279999999999999</v>
      </c>
      <c r="G19" s="734">
        <f>D19*((E19*F19)+E19)</f>
        <v>72510315.67007421</v>
      </c>
    </row>
    <row r="20" spans="1:9" ht="12.75">
      <c r="A20" s="732" t="s">
        <v>1152</v>
      </c>
      <c r="B20" s="731" t="s">
        <v>3640</v>
      </c>
      <c r="C20" s="732" t="s">
        <v>3536</v>
      </c>
      <c r="D20" s="733">
        <v>1</v>
      </c>
      <c r="E20" s="734">
        <f>'REDE PRESSURIZADA'!H266</f>
        <v>2166819.4608887271</v>
      </c>
      <c r="F20" s="735">
        <f>$G$7</f>
        <v>0.15279999999999999</v>
      </c>
      <c r="G20" s="734">
        <f>D20*((E20*F20)+E20)</f>
        <v>2497909.4745125244</v>
      </c>
      <c r="I20" s="738"/>
    </row>
    <row r="21" spans="1:9" ht="12.75">
      <c r="A21" s="732"/>
      <c r="B21" s="739"/>
      <c r="C21" s="740"/>
      <c r="D21" s="741"/>
      <c r="E21" s="734"/>
      <c r="F21" s="742"/>
      <c r="G21" s="742"/>
    </row>
    <row r="22" spans="1:9" ht="12.75">
      <c r="A22" s="1084" t="s">
        <v>3641</v>
      </c>
      <c r="B22" s="1085"/>
      <c r="C22" s="1085"/>
      <c r="D22" s="1086"/>
      <c r="E22" s="816">
        <f>E15+E14</f>
        <v>86056907.874494657</v>
      </c>
      <c r="F22" s="817"/>
      <c r="G22" s="816">
        <f>G15+G14</f>
        <v>100256616.59596471</v>
      </c>
    </row>
    <row r="23" spans="1:9">
      <c r="A23" s="745"/>
      <c r="B23" s="746"/>
      <c r="C23" s="746"/>
      <c r="D23" s="746"/>
      <c r="E23" s="746"/>
    </row>
    <row r="24" spans="1:9">
      <c r="A24" s="747"/>
      <c r="H24" s="718"/>
    </row>
    <row r="25" spans="1:9">
      <c r="A25" s="747"/>
      <c r="G25" s="748"/>
      <c r="H25" s="718"/>
      <c r="I25" s="749"/>
    </row>
    <row r="26" spans="1:9">
      <c r="A26" s="747"/>
      <c r="G26" s="719"/>
      <c r="H26" s="718"/>
      <c r="I26" s="749"/>
    </row>
    <row r="27" spans="1:9">
      <c r="H27" s="718"/>
    </row>
    <row r="28" spans="1:9">
      <c r="H28" s="718"/>
    </row>
    <row r="29" spans="1:9">
      <c r="G29" s="749"/>
    </row>
    <row r="30" spans="1:9">
      <c r="G30" s="719"/>
    </row>
  </sheetData>
  <mergeCells count="10">
    <mergeCell ref="A22:D22"/>
    <mergeCell ref="A1:G1"/>
    <mergeCell ref="A2:G2"/>
    <mergeCell ref="A9:A10"/>
    <mergeCell ref="B9:B10"/>
    <mergeCell ref="C9:C10"/>
    <mergeCell ref="D9:D10"/>
    <mergeCell ref="E9:G9"/>
    <mergeCell ref="A4:G4"/>
    <mergeCell ref="E6:E7"/>
  </mergeCells>
  <conditionalFormatting sqref="G6:G7 J6:J7">
    <cfRule type="expression" dxfId="13" priority="1" stopIfTrue="1">
      <formula>#REF!="Não"</formula>
    </cfRule>
  </conditionalFormatting>
  <printOptions horizontalCentered="1"/>
  <pageMargins left="0.51181102362204722" right="0.51181102362204722" top="0.78740157480314965" bottom="0.78740157480314965" header="0.31496062992125984" footer="0.31496062992125984"/>
  <pageSetup paperSize="9" scale="74"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pageSetUpPr autoPageBreaks="0" fitToPage="1"/>
  </sheetPr>
  <dimension ref="A1:BO255"/>
  <sheetViews>
    <sheetView showGridLines="0" showZeros="0" showRuler="0" showWhiteSpace="0" view="pageBreakPreview" zoomScale="70" zoomScaleNormal="55" zoomScaleSheetLayoutView="70" zoomScalePageLayoutView="60" workbookViewId="0">
      <pane ySplit="22" topLeftCell="A188" activePane="bottomLeft" state="frozen"/>
      <selection activeCell="H197" sqref="H197"/>
      <selection pane="bottomLeft" activeCell="B199" sqref="B199:B205"/>
    </sheetView>
  </sheetViews>
  <sheetFormatPr defaultColWidth="9.140625" defaultRowHeight="15.75" outlineLevelRow="1"/>
  <cols>
    <col min="1" max="1" width="10.5703125" style="50" customWidth="1"/>
    <col min="2" max="2" width="12" style="48" customWidth="1"/>
    <col min="3" max="3" width="98" style="49" customWidth="1"/>
    <col min="4" max="4" width="9.140625" style="141" customWidth="1"/>
    <col min="5" max="5" width="19.7109375" style="50" customWidth="1"/>
    <col min="6" max="6" width="17.42578125" style="50" customWidth="1"/>
    <col min="7" max="8" width="22" style="50" customWidth="1"/>
    <col min="9" max="9" width="28.85546875" style="50" customWidth="1"/>
    <col min="10" max="10" width="14" style="50" customWidth="1"/>
    <col min="11" max="11" width="22.7109375" style="50" customWidth="1"/>
    <col min="12" max="12" width="18.7109375" style="50" customWidth="1"/>
    <col min="13" max="13" width="16.85546875" style="50" customWidth="1"/>
    <col min="14" max="14" width="19.140625" style="50" customWidth="1"/>
    <col min="15" max="15" width="20.5703125" style="50" customWidth="1"/>
    <col min="16" max="16384" width="9.140625" style="50"/>
  </cols>
  <sheetData>
    <row r="1" spans="2:11">
      <c r="G1" s="244"/>
      <c r="H1" s="244"/>
    </row>
    <row r="3" spans="2:11" hidden="1">
      <c r="B3" s="142"/>
      <c r="C3" s="143"/>
      <c r="D3" s="144"/>
      <c r="E3" s="143"/>
      <c r="F3" s="143"/>
      <c r="G3" s="143"/>
      <c r="H3" s="143"/>
      <c r="I3" s="143"/>
      <c r="J3" s="143"/>
      <c r="K3" s="186"/>
    </row>
    <row r="4" spans="2:11" ht="18.75" hidden="1">
      <c r="B4" s="1065" t="s">
        <v>3056</v>
      </c>
      <c r="C4" s="1066"/>
      <c r="D4" s="1066"/>
      <c r="E4" s="1066"/>
      <c r="F4" s="1066"/>
      <c r="G4" s="1066"/>
      <c r="H4" s="1066"/>
      <c r="I4" s="1066"/>
      <c r="J4" s="1066"/>
      <c r="K4" s="187"/>
    </row>
    <row r="5" spans="2:11" ht="18.75" hidden="1">
      <c r="B5" s="1067" t="s">
        <v>4</v>
      </c>
      <c r="C5" s="1068"/>
      <c r="D5" s="1068"/>
      <c r="E5" s="1068"/>
      <c r="F5" s="1068"/>
      <c r="G5" s="1068"/>
      <c r="H5" s="1068"/>
      <c r="I5" s="1068"/>
      <c r="J5" s="1068"/>
      <c r="K5" s="187"/>
    </row>
    <row r="6" spans="2:11" ht="18.75" hidden="1">
      <c r="B6" s="1067" t="s">
        <v>1527</v>
      </c>
      <c r="C6" s="1068"/>
      <c r="D6" s="1068"/>
      <c r="E6" s="1068"/>
      <c r="F6" s="1068"/>
      <c r="G6" s="1068"/>
      <c r="H6" s="1068"/>
      <c r="I6" s="1068"/>
      <c r="J6" s="1068"/>
      <c r="K6" s="187"/>
    </row>
    <row r="7" spans="2:11" ht="16.5" hidden="1" thickBot="1">
      <c r="B7" s="147"/>
      <c r="C7" s="148"/>
      <c r="D7" s="149"/>
      <c r="E7" s="150"/>
      <c r="F7" s="150"/>
      <c r="G7" s="150"/>
      <c r="H7" s="150"/>
      <c r="I7" s="150"/>
      <c r="J7" s="150"/>
      <c r="K7" s="188"/>
    </row>
    <row r="8" spans="2:11" ht="24" hidden="1" thickBot="1">
      <c r="B8" s="1069" t="s">
        <v>3058</v>
      </c>
      <c r="C8" s="1070"/>
      <c r="D8" s="1070"/>
      <c r="E8" s="1070"/>
      <c r="F8" s="1070"/>
      <c r="G8" s="1070"/>
      <c r="H8" s="1070"/>
      <c r="I8" s="1070"/>
      <c r="J8" s="1070"/>
      <c r="K8" s="189"/>
    </row>
    <row r="9" spans="2:11" hidden="1">
      <c r="B9" s="152" t="s">
        <v>7</v>
      </c>
      <c r="C9" s="153" t="s">
        <v>1519</v>
      </c>
      <c r="D9" s="154"/>
      <c r="E9" s="196" t="s">
        <v>1535</v>
      </c>
      <c r="F9" s="145"/>
      <c r="G9" s="145"/>
      <c r="H9" s="145"/>
      <c r="I9" s="198"/>
      <c r="J9" s="1071" t="e">
        <f>CONCATENATE(#REF!," ",#REF!)</f>
        <v>#REF!</v>
      </c>
      <c r="K9" s="160"/>
    </row>
    <row r="10" spans="2:11" hidden="1">
      <c r="B10" s="155" t="s">
        <v>6</v>
      </c>
      <c r="C10" s="156" t="s">
        <v>1530</v>
      </c>
      <c r="D10" s="157"/>
      <c r="E10" s="197" t="s">
        <v>5</v>
      </c>
      <c r="F10" s="146"/>
      <c r="G10" s="159"/>
      <c r="H10" s="159"/>
      <c r="I10" s="756"/>
      <c r="J10" s="1072"/>
      <c r="K10" s="160"/>
    </row>
    <row r="11" spans="2:11" hidden="1">
      <c r="B11" s="155" t="s">
        <v>8</v>
      </c>
      <c r="C11" s="156" t="s">
        <v>1483</v>
      </c>
      <c r="D11" s="157"/>
      <c r="E11" s="197" t="s">
        <v>1537</v>
      </c>
      <c r="F11" s="146"/>
      <c r="G11" s="159"/>
      <c r="H11" s="159"/>
      <c r="I11" s="756"/>
      <c r="J11" s="1072"/>
      <c r="K11" s="160"/>
    </row>
    <row r="12" spans="2:11" hidden="1">
      <c r="B12" s="155" t="s">
        <v>9</v>
      </c>
      <c r="C12" s="156" t="s">
        <v>1488</v>
      </c>
      <c r="D12" s="157"/>
      <c r="E12" s="197" t="s">
        <v>3057</v>
      </c>
      <c r="F12" s="146"/>
      <c r="G12" s="159"/>
      <c r="H12" s="159"/>
      <c r="I12" s="199"/>
      <c r="J12" s="1072" t="e">
        <f>CONCATENATE(#REF!," ",#REF!)</f>
        <v>#REF!</v>
      </c>
      <c r="K12" s="161"/>
    </row>
    <row r="13" spans="2:11" hidden="1">
      <c r="B13" s="155" t="s">
        <v>10</v>
      </c>
      <c r="C13" s="162">
        <v>79745584.319999993</v>
      </c>
      <c r="D13" s="163"/>
      <c r="E13" s="197" t="e">
        <f>#REF!</f>
        <v>#REF!</v>
      </c>
      <c r="F13" s="146"/>
      <c r="G13" s="159"/>
      <c r="H13" s="159"/>
      <c r="I13" s="756"/>
      <c r="J13" s="1072"/>
      <c r="K13" s="160"/>
    </row>
    <row r="14" spans="2:11" hidden="1">
      <c r="B14" s="164" t="s">
        <v>1529</v>
      </c>
      <c r="C14" s="157"/>
      <c r="D14" s="163"/>
      <c r="E14" s="197" t="e">
        <f>#REF!</f>
        <v>#REF!</v>
      </c>
      <c r="F14" s="146"/>
      <c r="G14" s="159"/>
      <c r="H14" s="159"/>
      <c r="I14" s="756"/>
      <c r="J14" s="1072"/>
      <c r="K14" s="160"/>
    </row>
    <row r="15" spans="2:11" hidden="1">
      <c r="B15" s="165"/>
      <c r="C15" s="157"/>
      <c r="D15" s="163"/>
      <c r="E15" s="197" t="e">
        <f>#REF!</f>
        <v>#REF!</v>
      </c>
      <c r="F15" s="146"/>
      <c r="G15" s="146"/>
      <c r="H15" s="146"/>
      <c r="I15" s="199"/>
      <c r="J15" s="1087" t="e">
        <f>CONCATENATE(#REF!," ",#REF!)</f>
        <v>#REF!</v>
      </c>
      <c r="K15" s="161"/>
    </row>
    <row r="16" spans="2:11" hidden="1">
      <c r="B16" s="165"/>
      <c r="C16" s="157"/>
      <c r="D16" s="163"/>
      <c r="E16" s="158"/>
      <c r="F16" s="146"/>
      <c r="G16" s="146"/>
      <c r="H16" s="146"/>
      <c r="I16" s="199"/>
      <c r="J16" s="1074"/>
      <c r="K16" s="161"/>
    </row>
    <row r="17" spans="1:15" hidden="1">
      <c r="B17" s="165"/>
      <c r="C17" s="157"/>
      <c r="D17" s="163"/>
      <c r="E17" s="158"/>
      <c r="F17" s="146"/>
      <c r="G17" s="146"/>
      <c r="H17" s="146"/>
      <c r="I17" s="199"/>
      <c r="J17" s="1074"/>
      <c r="K17" s="161"/>
    </row>
    <row r="18" spans="1:15" hidden="1">
      <c r="B18" s="165"/>
      <c r="C18" s="157"/>
      <c r="D18" s="163"/>
      <c r="E18" s="158"/>
      <c r="F18" s="146"/>
      <c r="G18" s="146"/>
      <c r="H18" s="146"/>
      <c r="I18" s="756"/>
      <c r="J18" s="1074"/>
      <c r="K18" s="160"/>
    </row>
    <row r="19" spans="1:15" ht="16.5" hidden="1" thickBot="1">
      <c r="B19" s="165"/>
      <c r="C19" s="168"/>
      <c r="D19" s="169"/>
      <c r="E19" s="170"/>
      <c r="F19" s="151"/>
      <c r="G19" s="151"/>
      <c r="H19" s="151"/>
      <c r="I19" s="168"/>
      <c r="J19" s="1075"/>
      <c r="K19" s="138"/>
    </row>
    <row r="20" spans="1:15">
      <c r="B20" s="955"/>
      <c r="C20" s="372"/>
      <c r="D20" s="373"/>
      <c r="E20" s="126"/>
      <c r="F20" s="126"/>
      <c r="G20" s="757"/>
      <c r="H20" s="757"/>
      <c r="I20" s="126"/>
      <c r="J20" s="126"/>
      <c r="K20" s="126"/>
    </row>
    <row r="21" spans="1:15" ht="24" customHeight="1">
      <c r="B21" s="818"/>
      <c r="C21" s="818"/>
      <c r="D21" s="818" t="s">
        <v>11</v>
      </c>
      <c r="E21" s="1088" t="s">
        <v>3053</v>
      </c>
      <c r="F21" s="1088"/>
      <c r="G21" s="1088"/>
      <c r="H21" s="819"/>
      <c r="I21" s="1089" t="s">
        <v>2745</v>
      </c>
      <c r="J21" s="1090"/>
      <c r="K21" s="137"/>
    </row>
    <row r="22" spans="1:15" ht="38.25" customHeight="1" thickBot="1">
      <c r="B22" s="375" t="s">
        <v>0</v>
      </c>
      <c r="C22" s="376" t="s">
        <v>1520</v>
      </c>
      <c r="D22" s="375"/>
      <c r="E22" s="108" t="s">
        <v>1531</v>
      </c>
      <c r="F22" s="108" t="s">
        <v>3571</v>
      </c>
      <c r="G22" s="108" t="s">
        <v>3190</v>
      </c>
      <c r="H22" s="108" t="s">
        <v>3191</v>
      </c>
      <c r="I22" s="377" t="s">
        <v>1491</v>
      </c>
      <c r="J22" s="377" t="s">
        <v>1490</v>
      </c>
      <c r="K22" s="209"/>
      <c r="L22" s="761" t="s">
        <v>3471</v>
      </c>
      <c r="M22" s="762" t="s">
        <v>1400</v>
      </c>
      <c r="N22" s="762" t="s">
        <v>1546</v>
      </c>
      <c r="O22" s="762" t="s">
        <v>3472</v>
      </c>
    </row>
    <row r="23" spans="1:15" s="98" customFormat="1">
      <c r="B23" s="176" t="s">
        <v>1205</v>
      </c>
      <c r="C23" s="101" t="s">
        <v>3304</v>
      </c>
      <c r="D23" s="74"/>
      <c r="E23" s="75"/>
      <c r="F23" s="75"/>
      <c r="G23" s="75">
        <f>G24+G33</f>
        <v>13565820.004441559</v>
      </c>
      <c r="H23" s="75">
        <f>H24+H33</f>
        <v>55625307.713257164</v>
      </c>
      <c r="I23" s="110">
        <v>0</v>
      </c>
      <c r="J23" s="73"/>
      <c r="K23" s="191"/>
      <c r="L23" s="763"/>
      <c r="M23" s="764">
        <v>0.4</v>
      </c>
      <c r="N23" s="764">
        <v>0.375</v>
      </c>
      <c r="O23" s="763"/>
    </row>
    <row r="24" spans="1:15" s="98" customFormat="1" outlineLevel="1">
      <c r="B24" s="178" t="s">
        <v>1206</v>
      </c>
      <c r="C24" s="103" t="s">
        <v>3642</v>
      </c>
      <c r="D24" s="85"/>
      <c r="E24" s="64"/>
      <c r="F24" s="64"/>
      <c r="G24" s="64">
        <f>SUM(G25:G32)</f>
        <v>2629871.1237142854</v>
      </c>
      <c r="H24" s="64">
        <f t="shared" ref="H24" si="0">SUM(H25:H32)</f>
        <v>10728863.178319428</v>
      </c>
      <c r="I24" s="111">
        <v>0</v>
      </c>
      <c r="J24" s="86"/>
      <c r="K24" s="190"/>
      <c r="L24" s="763"/>
      <c r="M24" s="763"/>
      <c r="N24" s="763"/>
      <c r="O24" s="763"/>
    </row>
    <row r="25" spans="1:15" s="98" customFormat="1" outlineLevel="1">
      <c r="A25" s="141" t="s">
        <v>3478</v>
      </c>
      <c r="B25" s="175" t="s">
        <v>1207</v>
      </c>
      <c r="C25" s="100" t="s">
        <v>2567</v>
      </c>
      <c r="D25" s="99" t="s">
        <v>1469</v>
      </c>
      <c r="E25" s="435">
        <v>5281.82</v>
      </c>
      <c r="F25" s="20">
        <f>O25</f>
        <v>63.285714285714285</v>
      </c>
      <c r="G25" s="19">
        <f t="shared" ref="G25:G32" si="1">E25*F25</f>
        <v>334263.75142857141</v>
      </c>
      <c r="H25" s="19">
        <f>G25*(1+J25)</f>
        <v>1519563.0139942854</v>
      </c>
      <c r="I25" s="114" t="s">
        <v>1522</v>
      </c>
      <c r="J25" s="210">
        <f>VLOOKUP(I25,'Reajuste Atual'!$L$19:$M$25,2,FALSE)</f>
        <v>3.5459999999999998</v>
      </c>
      <c r="K25" s="190"/>
      <c r="L25" s="765">
        <v>88.6</v>
      </c>
      <c r="M25" s="765">
        <f>L25/($M$23+1)</f>
        <v>63.285714285714285</v>
      </c>
      <c r="N25" s="765">
        <f>L25/($N$23+1)</f>
        <v>64.436363636363637</v>
      </c>
      <c r="O25" s="765">
        <f>IF(A25="S",M25,N25)</f>
        <v>63.285714285714285</v>
      </c>
    </row>
    <row r="26" spans="1:15" s="98" customFormat="1" ht="31.5" outlineLevel="1">
      <c r="A26" s="141" t="s">
        <v>3478</v>
      </c>
      <c r="B26" s="175" t="s">
        <v>1208</v>
      </c>
      <c r="C26" s="100" t="s">
        <v>2568</v>
      </c>
      <c r="D26" s="99" t="s">
        <v>1469</v>
      </c>
      <c r="E26" s="435">
        <v>137.36000000000001</v>
      </c>
      <c r="F26" s="20">
        <f t="shared" ref="F26:F32" si="2">O26</f>
        <v>1354.764285714286</v>
      </c>
      <c r="G26" s="19">
        <f t="shared" si="1"/>
        <v>186090.42228571433</v>
      </c>
      <c r="H26" s="19">
        <f t="shared" ref="H26:H32" si="3">G26*(1+J26)</f>
        <v>845967.05971085723</v>
      </c>
      <c r="I26" s="114" t="s">
        <v>1522</v>
      </c>
      <c r="J26" s="210">
        <f>VLOOKUP(I26,'Reajuste Atual'!$L$19:$M$25,2,FALSE)</f>
        <v>3.5459999999999998</v>
      </c>
      <c r="K26" s="190"/>
      <c r="L26" s="765">
        <v>1896.67</v>
      </c>
      <c r="M26" s="765">
        <f t="shared" ref="M26:M89" si="4">L26/($M$23+1)</f>
        <v>1354.764285714286</v>
      </c>
      <c r="N26" s="765">
        <f t="shared" ref="N26:N89" si="5">L26/($N$23+1)</f>
        <v>1379.3963636363637</v>
      </c>
      <c r="O26" s="765">
        <f t="shared" ref="O26:O89" si="6">IF(A26="S",M26,N26)</f>
        <v>1354.764285714286</v>
      </c>
    </row>
    <row r="27" spans="1:15" s="98" customFormat="1" outlineLevel="1">
      <c r="A27" s="141" t="s">
        <v>3478</v>
      </c>
      <c r="B27" s="175" t="s">
        <v>1209</v>
      </c>
      <c r="C27" s="100" t="s">
        <v>2569</v>
      </c>
      <c r="D27" s="181" t="s">
        <v>1468</v>
      </c>
      <c r="E27" s="491">
        <v>4579</v>
      </c>
      <c r="F27" s="20">
        <f t="shared" si="2"/>
        <v>155.42142857142858</v>
      </c>
      <c r="G27" s="19">
        <f t="shared" si="1"/>
        <v>711674.7214285715</v>
      </c>
      <c r="H27" s="19">
        <f t="shared" si="3"/>
        <v>3235273.2836142858</v>
      </c>
      <c r="I27" s="114" t="s">
        <v>1522</v>
      </c>
      <c r="J27" s="210">
        <f>VLOOKUP(I27,'Reajuste Atual'!$L$19:$M$25,2,FALSE)</f>
        <v>3.5459999999999998</v>
      </c>
      <c r="K27" s="190"/>
      <c r="L27" s="765">
        <v>217.59</v>
      </c>
      <c r="M27" s="765">
        <f t="shared" si="4"/>
        <v>155.42142857142858</v>
      </c>
      <c r="N27" s="765">
        <f t="shared" si="5"/>
        <v>158.24727272727273</v>
      </c>
      <c r="O27" s="765">
        <f t="shared" si="6"/>
        <v>155.42142857142858</v>
      </c>
    </row>
    <row r="28" spans="1:15" s="98" customFormat="1" ht="31.5" outlineLevel="1">
      <c r="A28" s="141" t="s">
        <v>3478</v>
      </c>
      <c r="B28" s="175" t="s">
        <v>1210</v>
      </c>
      <c r="C28" s="100" t="s">
        <v>2570</v>
      </c>
      <c r="D28" s="99" t="s">
        <v>1467</v>
      </c>
      <c r="E28" s="491">
        <v>124255</v>
      </c>
      <c r="F28" s="20">
        <f t="shared" si="2"/>
        <v>2.3071428571428574</v>
      </c>
      <c r="G28" s="19">
        <f t="shared" si="1"/>
        <v>286674.03571428574</v>
      </c>
      <c r="H28" s="19">
        <f t="shared" si="3"/>
        <v>990315.45637500007</v>
      </c>
      <c r="I28" s="114" t="s">
        <v>1523</v>
      </c>
      <c r="J28" s="210">
        <f>VLOOKUP(I28,'Reajuste Atual'!$L$19:$M$25,2,FALSE)</f>
        <v>2.4544999999999999</v>
      </c>
      <c r="K28" s="190"/>
      <c r="L28" s="765">
        <v>3.23</v>
      </c>
      <c r="M28" s="765">
        <f t="shared" si="4"/>
        <v>2.3071428571428574</v>
      </c>
      <c r="N28" s="765">
        <f t="shared" si="5"/>
        <v>2.3490909090909091</v>
      </c>
      <c r="O28" s="765">
        <f t="shared" si="6"/>
        <v>2.3071428571428574</v>
      </c>
    </row>
    <row r="29" spans="1:15" s="98" customFormat="1" outlineLevel="1">
      <c r="A29" s="141" t="s">
        <v>3478</v>
      </c>
      <c r="B29" s="175" t="s">
        <v>1211</v>
      </c>
      <c r="C29" s="100" t="s">
        <v>1635</v>
      </c>
      <c r="D29" s="99" t="s">
        <v>1467</v>
      </c>
      <c r="E29" s="491">
        <v>124255</v>
      </c>
      <c r="F29" s="20">
        <f t="shared" si="2"/>
        <v>5.2928571428571436</v>
      </c>
      <c r="G29" s="19">
        <f t="shared" si="1"/>
        <v>657663.96428571432</v>
      </c>
      <c r="H29" s="19">
        <f t="shared" si="3"/>
        <v>2271900.1646250002</v>
      </c>
      <c r="I29" s="114" t="s">
        <v>1523</v>
      </c>
      <c r="J29" s="210">
        <f>VLOOKUP(I29,'Reajuste Atual'!$L$19:$M$25,2,FALSE)</f>
        <v>2.4544999999999999</v>
      </c>
      <c r="K29" s="190"/>
      <c r="L29" s="765">
        <v>7.41</v>
      </c>
      <c r="M29" s="765">
        <f t="shared" si="4"/>
        <v>5.2928571428571436</v>
      </c>
      <c r="N29" s="765">
        <f t="shared" si="5"/>
        <v>5.3890909090909096</v>
      </c>
      <c r="O29" s="765">
        <f t="shared" si="6"/>
        <v>5.2928571428571436</v>
      </c>
    </row>
    <row r="30" spans="1:15" s="98" customFormat="1" ht="31.5" outlineLevel="1">
      <c r="A30" s="141" t="s">
        <v>3478</v>
      </c>
      <c r="B30" s="175" t="s">
        <v>1212</v>
      </c>
      <c r="C30" s="100" t="s">
        <v>2571</v>
      </c>
      <c r="D30" s="181" t="s">
        <v>1468</v>
      </c>
      <c r="E30" s="491">
        <v>4848</v>
      </c>
      <c r="F30" s="20">
        <f t="shared" si="2"/>
        <v>1.8857142857142859</v>
      </c>
      <c r="G30" s="19">
        <f t="shared" si="1"/>
        <v>9141.942857142858</v>
      </c>
      <c r="H30" s="19">
        <f t="shared" si="3"/>
        <v>41559.272228571426</v>
      </c>
      <c r="I30" s="114" t="s">
        <v>1522</v>
      </c>
      <c r="J30" s="210">
        <f>VLOOKUP(I30,'Reajuste Atual'!$L$19:$M$25,2,FALSE)</f>
        <v>3.5459999999999998</v>
      </c>
      <c r="K30" s="190"/>
      <c r="L30" s="765">
        <v>2.64</v>
      </c>
      <c r="M30" s="765">
        <f t="shared" si="4"/>
        <v>1.8857142857142859</v>
      </c>
      <c r="N30" s="765">
        <f t="shared" si="5"/>
        <v>1.9200000000000002</v>
      </c>
      <c r="O30" s="765">
        <f t="shared" si="6"/>
        <v>1.8857142857142859</v>
      </c>
    </row>
    <row r="31" spans="1:15" s="98" customFormat="1" ht="31.5" outlineLevel="1">
      <c r="A31" s="141" t="s">
        <v>3478</v>
      </c>
      <c r="B31" s="175" t="s">
        <v>1213</v>
      </c>
      <c r="C31" s="100" t="s">
        <v>2572</v>
      </c>
      <c r="D31" s="99" t="s">
        <v>1472</v>
      </c>
      <c r="E31" s="491">
        <v>79679</v>
      </c>
      <c r="F31" s="20">
        <f t="shared" si="2"/>
        <v>1.2571428571428573</v>
      </c>
      <c r="G31" s="19">
        <f t="shared" si="1"/>
        <v>100167.88571428573</v>
      </c>
      <c r="H31" s="19">
        <f t="shared" si="3"/>
        <v>411229.23801142856</v>
      </c>
      <c r="I31" s="114" t="s">
        <v>1521</v>
      </c>
      <c r="J31" s="210">
        <f>VLOOKUP(I31,'Reajuste Atual'!$L$19:$M$25,2,FALSE)</f>
        <v>3.1053999999999999</v>
      </c>
      <c r="K31" s="190"/>
      <c r="L31" s="765">
        <v>1.76</v>
      </c>
      <c r="M31" s="765">
        <f t="shared" si="4"/>
        <v>1.2571428571428573</v>
      </c>
      <c r="N31" s="765">
        <f t="shared" si="5"/>
        <v>1.28</v>
      </c>
      <c r="O31" s="765">
        <f t="shared" si="6"/>
        <v>1.2571428571428573</v>
      </c>
    </row>
    <row r="32" spans="1:15" s="98" customFormat="1" ht="31.5" outlineLevel="1">
      <c r="A32" s="141" t="s">
        <v>3478</v>
      </c>
      <c r="B32" s="175" t="s">
        <v>1214</v>
      </c>
      <c r="C32" s="100" t="s">
        <v>2573</v>
      </c>
      <c r="D32" s="99" t="s">
        <v>1472</v>
      </c>
      <c r="E32" s="491">
        <v>273791</v>
      </c>
      <c r="F32" s="20">
        <f t="shared" si="2"/>
        <v>1.2571428571428573</v>
      </c>
      <c r="G32" s="19">
        <f t="shared" si="1"/>
        <v>344194.40000000008</v>
      </c>
      <c r="H32" s="19">
        <f t="shared" si="3"/>
        <v>1413055.6897600002</v>
      </c>
      <c r="I32" s="114" t="s">
        <v>1521</v>
      </c>
      <c r="J32" s="210">
        <f>VLOOKUP(I32,'Reajuste Atual'!$L$19:$M$25,2,FALSE)</f>
        <v>3.1053999999999999</v>
      </c>
      <c r="K32" s="191"/>
      <c r="L32" s="765">
        <v>1.76</v>
      </c>
      <c r="M32" s="765">
        <f t="shared" si="4"/>
        <v>1.2571428571428573</v>
      </c>
      <c r="N32" s="765">
        <f t="shared" si="5"/>
        <v>1.28</v>
      </c>
      <c r="O32" s="765">
        <f t="shared" si="6"/>
        <v>1.2571428571428573</v>
      </c>
    </row>
    <row r="33" spans="1:15" s="98" customFormat="1" outlineLevel="1">
      <c r="B33" s="178" t="s">
        <v>1215</v>
      </c>
      <c r="C33" s="103" t="s">
        <v>3565</v>
      </c>
      <c r="D33" s="85"/>
      <c r="E33" s="64"/>
      <c r="F33" s="64"/>
      <c r="G33" s="64">
        <f>G34+G81+G103+G116+G121+G124+G139+G152+G171+G180+G190+G196</f>
        <v>10935948.880727274</v>
      </c>
      <c r="H33" s="64">
        <f>H34+H81+H103+H116+H121+H124+H139+H152+H171+H180+H190+H196</f>
        <v>44896444.534937739</v>
      </c>
      <c r="I33" s="111">
        <v>0</v>
      </c>
      <c r="J33" s="111"/>
      <c r="K33" s="192"/>
      <c r="L33" s="765"/>
      <c r="M33" s="765">
        <f t="shared" si="4"/>
        <v>0</v>
      </c>
      <c r="N33" s="765">
        <f t="shared" si="5"/>
        <v>0</v>
      </c>
      <c r="O33" s="765">
        <f t="shared" si="6"/>
        <v>0</v>
      </c>
    </row>
    <row r="34" spans="1:15" s="98" customFormat="1" outlineLevel="1">
      <c r="B34" s="179" t="s">
        <v>1216</v>
      </c>
      <c r="C34" s="106" t="s">
        <v>1445</v>
      </c>
      <c r="D34" s="82" t="s">
        <v>3204</v>
      </c>
      <c r="E34" s="82"/>
      <c r="F34" s="82"/>
      <c r="G34" s="89">
        <f>SUM(G35:G79)</f>
        <v>3195268.8509090906</v>
      </c>
      <c r="H34" s="89">
        <f t="shared" ref="H34" si="7">SUM(H35:H79)</f>
        <v>13117856.74052218</v>
      </c>
      <c r="I34" s="112">
        <v>0</v>
      </c>
      <c r="J34" s="84"/>
      <c r="K34" s="190"/>
      <c r="L34" s="765"/>
      <c r="M34" s="765">
        <f t="shared" si="4"/>
        <v>0</v>
      </c>
      <c r="N34" s="765">
        <f t="shared" si="5"/>
        <v>0</v>
      </c>
      <c r="O34" s="765">
        <f t="shared" si="6"/>
        <v>0</v>
      </c>
    </row>
    <row r="35" spans="1:15" s="98" customFormat="1" outlineLevel="1">
      <c r="A35" s="141" t="s">
        <v>3483</v>
      </c>
      <c r="B35" s="175" t="s">
        <v>1217</v>
      </c>
      <c r="C35" s="100" t="s">
        <v>2574</v>
      </c>
      <c r="D35" s="183" t="s">
        <v>1468</v>
      </c>
      <c r="E35" s="20">
        <v>0</v>
      </c>
      <c r="F35" s="20">
        <f t="shared" ref="F35:F79" si="8">O35</f>
        <v>940.58181818181811</v>
      </c>
      <c r="G35" s="19">
        <f t="shared" ref="G35:G79" si="9">E35*F35</f>
        <v>0</v>
      </c>
      <c r="H35" s="19">
        <f t="shared" ref="H35:H79" si="10">G35*(1+J35)</f>
        <v>0</v>
      </c>
      <c r="I35" s="114" t="s">
        <v>1521</v>
      </c>
      <c r="J35" s="210">
        <f>VLOOKUP(I35,'Reajuste Atual'!$L$19:$M$25,2,FALSE)</f>
        <v>3.1053999999999999</v>
      </c>
      <c r="K35" s="190"/>
      <c r="L35" s="765">
        <v>1293.3</v>
      </c>
      <c r="M35" s="765">
        <f t="shared" si="4"/>
        <v>923.78571428571433</v>
      </c>
      <c r="N35" s="765">
        <f t="shared" si="5"/>
        <v>940.58181818181811</v>
      </c>
      <c r="O35" s="765">
        <f t="shared" si="6"/>
        <v>940.58181818181811</v>
      </c>
    </row>
    <row r="36" spans="1:15" s="98" customFormat="1" outlineLevel="1">
      <c r="A36" s="141" t="s">
        <v>3483</v>
      </c>
      <c r="B36" s="175" t="s">
        <v>1218</v>
      </c>
      <c r="C36" s="100" t="s">
        <v>2575</v>
      </c>
      <c r="D36" s="183" t="s">
        <v>1468</v>
      </c>
      <c r="E36" s="20">
        <v>0</v>
      </c>
      <c r="F36" s="20">
        <f t="shared" si="8"/>
        <v>916.5090909090909</v>
      </c>
      <c r="G36" s="19">
        <f t="shared" si="9"/>
        <v>0</v>
      </c>
      <c r="H36" s="19">
        <f t="shared" si="10"/>
        <v>0</v>
      </c>
      <c r="I36" s="114" t="s">
        <v>1521</v>
      </c>
      <c r="J36" s="210">
        <f>VLOOKUP(I36,'Reajuste Atual'!$L$19:$M$25,2,FALSE)</f>
        <v>3.1053999999999999</v>
      </c>
      <c r="K36" s="190"/>
      <c r="L36" s="765">
        <v>1260.2</v>
      </c>
      <c r="M36" s="765">
        <f t="shared" si="4"/>
        <v>900.14285714285722</v>
      </c>
      <c r="N36" s="765">
        <f t="shared" si="5"/>
        <v>916.5090909090909</v>
      </c>
      <c r="O36" s="765">
        <f t="shared" si="6"/>
        <v>916.5090909090909</v>
      </c>
    </row>
    <row r="37" spans="1:15" s="98" customFormat="1" outlineLevel="1">
      <c r="A37" s="141" t="s">
        <v>3483</v>
      </c>
      <c r="B37" s="175" t="s">
        <v>1219</v>
      </c>
      <c r="C37" s="100" t="s">
        <v>2576</v>
      </c>
      <c r="D37" s="183" t="s">
        <v>1468</v>
      </c>
      <c r="E37" s="20">
        <v>0</v>
      </c>
      <c r="F37" s="20">
        <f t="shared" si="8"/>
        <v>38.029090909090911</v>
      </c>
      <c r="G37" s="19">
        <f t="shared" si="9"/>
        <v>0</v>
      </c>
      <c r="H37" s="19">
        <f t="shared" si="10"/>
        <v>0</v>
      </c>
      <c r="I37" s="114" t="s">
        <v>1521</v>
      </c>
      <c r="J37" s="210">
        <f>VLOOKUP(I37,'Reajuste Atual'!$L$19:$M$25,2,FALSE)</f>
        <v>3.1053999999999999</v>
      </c>
      <c r="K37" s="190"/>
      <c r="L37" s="765">
        <v>52.29</v>
      </c>
      <c r="M37" s="765">
        <f t="shared" si="4"/>
        <v>37.35</v>
      </c>
      <c r="N37" s="765">
        <f t="shared" si="5"/>
        <v>38.029090909090911</v>
      </c>
      <c r="O37" s="765">
        <f t="shared" si="6"/>
        <v>38.029090909090911</v>
      </c>
    </row>
    <row r="38" spans="1:15" s="98" customFormat="1" outlineLevel="1">
      <c r="A38" s="141" t="s">
        <v>3483</v>
      </c>
      <c r="B38" s="175" t="s">
        <v>1220</v>
      </c>
      <c r="C38" s="100" t="s">
        <v>2577</v>
      </c>
      <c r="D38" s="183" t="s">
        <v>1468</v>
      </c>
      <c r="E38" s="20">
        <v>0</v>
      </c>
      <c r="F38" s="20">
        <f t="shared" si="8"/>
        <v>27.469090909090912</v>
      </c>
      <c r="G38" s="19">
        <f t="shared" si="9"/>
        <v>0</v>
      </c>
      <c r="H38" s="19">
        <f t="shared" si="10"/>
        <v>0</v>
      </c>
      <c r="I38" s="114" t="s">
        <v>1521</v>
      </c>
      <c r="J38" s="210">
        <f>VLOOKUP(I38,'Reajuste Atual'!$L$19:$M$25,2,FALSE)</f>
        <v>3.1053999999999999</v>
      </c>
      <c r="K38" s="190"/>
      <c r="L38" s="765">
        <v>37.770000000000003</v>
      </c>
      <c r="M38" s="765">
        <f t="shared" si="4"/>
        <v>26.978571428571431</v>
      </c>
      <c r="N38" s="765">
        <f t="shared" si="5"/>
        <v>27.469090909090912</v>
      </c>
      <c r="O38" s="765">
        <f t="shared" si="6"/>
        <v>27.469090909090912</v>
      </c>
    </row>
    <row r="39" spans="1:15" s="98" customFormat="1" outlineLevel="1">
      <c r="A39" s="141" t="s">
        <v>3483</v>
      </c>
      <c r="B39" s="175" t="s">
        <v>1221</v>
      </c>
      <c r="C39" s="100" t="s">
        <v>2578</v>
      </c>
      <c r="D39" s="183" t="s">
        <v>1468</v>
      </c>
      <c r="E39" s="20">
        <v>0</v>
      </c>
      <c r="F39" s="20">
        <f t="shared" si="8"/>
        <v>6.8218181818181822</v>
      </c>
      <c r="G39" s="19">
        <f t="shared" si="9"/>
        <v>0</v>
      </c>
      <c r="H39" s="19">
        <f t="shared" si="10"/>
        <v>0</v>
      </c>
      <c r="I39" s="114" t="s">
        <v>1521</v>
      </c>
      <c r="J39" s="210">
        <f>VLOOKUP(I39,'Reajuste Atual'!$L$19:$M$25,2,FALSE)</f>
        <v>3.1053999999999999</v>
      </c>
      <c r="K39" s="190"/>
      <c r="L39" s="765">
        <v>9.3800000000000008</v>
      </c>
      <c r="M39" s="765">
        <f t="shared" si="4"/>
        <v>6.7000000000000011</v>
      </c>
      <c r="N39" s="765">
        <f t="shared" si="5"/>
        <v>6.8218181818181822</v>
      </c>
      <c r="O39" s="765">
        <f t="shared" si="6"/>
        <v>6.8218181818181822</v>
      </c>
    </row>
    <row r="40" spans="1:15" s="98" customFormat="1" outlineLevel="1">
      <c r="A40" s="141" t="s">
        <v>3483</v>
      </c>
      <c r="B40" s="175" t="s">
        <v>1222</v>
      </c>
      <c r="C40" s="100" t="s">
        <v>2579</v>
      </c>
      <c r="D40" s="183" t="s">
        <v>1468</v>
      </c>
      <c r="E40" s="20">
        <v>0</v>
      </c>
      <c r="F40" s="20">
        <f t="shared" si="8"/>
        <v>4.1963636363636363</v>
      </c>
      <c r="G40" s="19">
        <f t="shared" si="9"/>
        <v>0</v>
      </c>
      <c r="H40" s="19">
        <f t="shared" si="10"/>
        <v>0</v>
      </c>
      <c r="I40" s="114" t="s">
        <v>1521</v>
      </c>
      <c r="J40" s="210">
        <f>VLOOKUP(I40,'Reajuste Atual'!$L$19:$M$25,2,FALSE)</f>
        <v>3.1053999999999999</v>
      </c>
      <c r="K40" s="190"/>
      <c r="L40" s="765">
        <v>5.77</v>
      </c>
      <c r="M40" s="765">
        <f t="shared" si="4"/>
        <v>4.121428571428571</v>
      </c>
      <c r="N40" s="765">
        <f t="shared" si="5"/>
        <v>4.1963636363636363</v>
      </c>
      <c r="O40" s="765">
        <f t="shared" si="6"/>
        <v>4.1963636363636363</v>
      </c>
    </row>
    <row r="41" spans="1:15" s="98" customFormat="1" outlineLevel="1">
      <c r="A41" s="141" t="s">
        <v>3483</v>
      </c>
      <c r="B41" s="175" t="s">
        <v>1223</v>
      </c>
      <c r="C41" s="100" t="s">
        <v>2580</v>
      </c>
      <c r="D41" s="183" t="s">
        <v>1468</v>
      </c>
      <c r="E41" s="20">
        <v>0</v>
      </c>
      <c r="F41" s="20">
        <f t="shared" si="8"/>
        <v>16.349090909090908</v>
      </c>
      <c r="G41" s="19">
        <f t="shared" si="9"/>
        <v>0</v>
      </c>
      <c r="H41" s="19">
        <f t="shared" si="10"/>
        <v>0</v>
      </c>
      <c r="I41" s="114" t="s">
        <v>1521</v>
      </c>
      <c r="J41" s="210">
        <f>VLOOKUP(I41,'Reajuste Atual'!$L$19:$M$25,2,FALSE)</f>
        <v>3.1053999999999999</v>
      </c>
      <c r="K41" s="190"/>
      <c r="L41" s="765">
        <v>22.48</v>
      </c>
      <c r="M41" s="765">
        <f t="shared" si="4"/>
        <v>16.057142857142857</v>
      </c>
      <c r="N41" s="765">
        <f t="shared" si="5"/>
        <v>16.349090909090908</v>
      </c>
      <c r="O41" s="765">
        <f t="shared" si="6"/>
        <v>16.349090909090908</v>
      </c>
    </row>
    <row r="42" spans="1:15" s="98" customFormat="1" outlineLevel="1">
      <c r="A42" s="141" t="s">
        <v>3483</v>
      </c>
      <c r="B42" s="175" t="s">
        <v>1224</v>
      </c>
      <c r="C42" s="100" t="s">
        <v>2581</v>
      </c>
      <c r="D42" s="183" t="s">
        <v>1468</v>
      </c>
      <c r="E42" s="20">
        <v>0</v>
      </c>
      <c r="F42" s="20">
        <f t="shared" si="8"/>
        <v>13.629090909090907</v>
      </c>
      <c r="G42" s="19">
        <f t="shared" si="9"/>
        <v>0</v>
      </c>
      <c r="H42" s="19">
        <f t="shared" si="10"/>
        <v>0</v>
      </c>
      <c r="I42" s="114" t="s">
        <v>1521</v>
      </c>
      <c r="J42" s="210">
        <f>VLOOKUP(I42,'Reajuste Atual'!$L$19:$M$25,2,FALSE)</f>
        <v>3.1053999999999999</v>
      </c>
      <c r="K42" s="190"/>
      <c r="L42" s="765">
        <v>18.739999999999998</v>
      </c>
      <c r="M42" s="765">
        <f t="shared" si="4"/>
        <v>13.385714285714286</v>
      </c>
      <c r="N42" s="765">
        <f t="shared" si="5"/>
        <v>13.629090909090907</v>
      </c>
      <c r="O42" s="765">
        <f t="shared" si="6"/>
        <v>13.629090909090907</v>
      </c>
    </row>
    <row r="43" spans="1:15" s="98" customFormat="1" outlineLevel="1">
      <c r="A43" s="141" t="s">
        <v>3483</v>
      </c>
      <c r="B43" s="175" t="s">
        <v>1225</v>
      </c>
      <c r="C43" s="100" t="s">
        <v>2582</v>
      </c>
      <c r="D43" s="183" t="s">
        <v>1468</v>
      </c>
      <c r="E43" s="20">
        <v>0</v>
      </c>
      <c r="F43" s="20">
        <f t="shared" si="8"/>
        <v>0.25454545454545452</v>
      </c>
      <c r="G43" s="19">
        <f t="shared" si="9"/>
        <v>0</v>
      </c>
      <c r="H43" s="19">
        <f t="shared" si="10"/>
        <v>0</v>
      </c>
      <c r="I43" s="114" t="s">
        <v>1521</v>
      </c>
      <c r="J43" s="210">
        <f>VLOOKUP(I43,'Reajuste Atual'!$L$19:$M$25,2,FALSE)</f>
        <v>3.1053999999999999</v>
      </c>
      <c r="K43" s="190"/>
      <c r="L43" s="765">
        <v>0.35</v>
      </c>
      <c r="M43" s="765">
        <f t="shared" si="4"/>
        <v>0.25</v>
      </c>
      <c r="N43" s="765">
        <f t="shared" si="5"/>
        <v>0.25454545454545452</v>
      </c>
      <c r="O43" s="765">
        <f t="shared" si="6"/>
        <v>0.25454545454545452</v>
      </c>
    </row>
    <row r="44" spans="1:15" s="98" customFormat="1" outlineLevel="1">
      <c r="A44" s="141" t="s">
        <v>3483</v>
      </c>
      <c r="B44" s="175" t="s">
        <v>1226</v>
      </c>
      <c r="C44" s="100" t="s">
        <v>2583</v>
      </c>
      <c r="D44" s="183" t="s">
        <v>1468</v>
      </c>
      <c r="E44" s="20">
        <v>0</v>
      </c>
      <c r="F44" s="20">
        <f t="shared" si="8"/>
        <v>61.301818181818184</v>
      </c>
      <c r="G44" s="19">
        <f t="shared" si="9"/>
        <v>0</v>
      </c>
      <c r="H44" s="19">
        <f t="shared" si="10"/>
        <v>0</v>
      </c>
      <c r="I44" s="114" t="s">
        <v>1521</v>
      </c>
      <c r="J44" s="210">
        <f>VLOOKUP(I44,'Reajuste Atual'!$L$19:$M$25,2,FALSE)</f>
        <v>3.1053999999999999</v>
      </c>
      <c r="K44" s="190"/>
      <c r="L44" s="765">
        <v>84.29</v>
      </c>
      <c r="M44" s="765">
        <f t="shared" si="4"/>
        <v>60.207142857142863</v>
      </c>
      <c r="N44" s="765">
        <f t="shared" si="5"/>
        <v>61.301818181818184</v>
      </c>
      <c r="O44" s="765">
        <f t="shared" si="6"/>
        <v>61.301818181818184</v>
      </c>
    </row>
    <row r="45" spans="1:15" s="98" customFormat="1" outlineLevel="1">
      <c r="A45" s="141" t="s">
        <v>3483</v>
      </c>
      <c r="B45" s="175" t="s">
        <v>1227</v>
      </c>
      <c r="C45" s="100" t="s">
        <v>2584</v>
      </c>
      <c r="D45" s="183" t="s">
        <v>1468</v>
      </c>
      <c r="E45" s="20">
        <v>0</v>
      </c>
      <c r="F45" s="20">
        <f t="shared" si="8"/>
        <v>26.261818181818182</v>
      </c>
      <c r="G45" s="19">
        <f t="shared" si="9"/>
        <v>0</v>
      </c>
      <c r="H45" s="19">
        <f t="shared" si="10"/>
        <v>0</v>
      </c>
      <c r="I45" s="114" t="s">
        <v>1521</v>
      </c>
      <c r="J45" s="210">
        <f>VLOOKUP(I45,'Reajuste Atual'!$L$19:$M$25,2,FALSE)</f>
        <v>3.1053999999999999</v>
      </c>
      <c r="K45" s="190"/>
      <c r="L45" s="765">
        <v>36.11</v>
      </c>
      <c r="M45" s="765">
        <f t="shared" si="4"/>
        <v>25.792857142857144</v>
      </c>
      <c r="N45" s="765">
        <f t="shared" si="5"/>
        <v>26.261818181818182</v>
      </c>
      <c r="O45" s="765">
        <f t="shared" si="6"/>
        <v>26.261818181818182</v>
      </c>
    </row>
    <row r="46" spans="1:15" s="98" customFormat="1" outlineLevel="1">
      <c r="A46" s="141" t="s">
        <v>3483</v>
      </c>
      <c r="B46" s="175" t="s">
        <v>1228</v>
      </c>
      <c r="C46" s="100" t="s">
        <v>2585</v>
      </c>
      <c r="D46" s="183" t="s">
        <v>1468</v>
      </c>
      <c r="E46" s="20">
        <v>0</v>
      </c>
      <c r="F46" s="20">
        <f t="shared" si="8"/>
        <v>13.214545454545457</v>
      </c>
      <c r="G46" s="19">
        <f t="shared" si="9"/>
        <v>0</v>
      </c>
      <c r="H46" s="19">
        <f t="shared" si="10"/>
        <v>0</v>
      </c>
      <c r="I46" s="114" t="s">
        <v>1521</v>
      </c>
      <c r="J46" s="210">
        <f>VLOOKUP(I46,'Reajuste Atual'!$L$19:$M$25,2,FALSE)</f>
        <v>3.1053999999999999</v>
      </c>
      <c r="K46" s="190"/>
      <c r="L46" s="765">
        <v>18.170000000000002</v>
      </c>
      <c r="M46" s="765">
        <f t="shared" si="4"/>
        <v>12.978571428571431</v>
      </c>
      <c r="N46" s="765">
        <f t="shared" si="5"/>
        <v>13.214545454545457</v>
      </c>
      <c r="O46" s="765">
        <f t="shared" si="6"/>
        <v>13.214545454545457</v>
      </c>
    </row>
    <row r="47" spans="1:15" s="98" customFormat="1" outlineLevel="1">
      <c r="A47" s="141" t="s">
        <v>3483</v>
      </c>
      <c r="B47" s="175" t="s">
        <v>1229</v>
      </c>
      <c r="C47" s="100" t="s">
        <v>2586</v>
      </c>
      <c r="D47" s="183" t="s">
        <v>1468</v>
      </c>
      <c r="E47" s="20">
        <v>0</v>
      </c>
      <c r="F47" s="20">
        <f t="shared" si="8"/>
        <v>22.807272727272728</v>
      </c>
      <c r="G47" s="19">
        <f t="shared" si="9"/>
        <v>0</v>
      </c>
      <c r="H47" s="19">
        <f t="shared" si="10"/>
        <v>0</v>
      </c>
      <c r="I47" s="114" t="s">
        <v>1521</v>
      </c>
      <c r="J47" s="210">
        <f>VLOOKUP(I47,'Reajuste Atual'!$L$19:$M$25,2,FALSE)</f>
        <v>3.1053999999999999</v>
      </c>
      <c r="K47" s="190"/>
      <c r="L47" s="765">
        <v>31.36</v>
      </c>
      <c r="M47" s="765">
        <f t="shared" si="4"/>
        <v>22.400000000000002</v>
      </c>
      <c r="N47" s="765">
        <f t="shared" si="5"/>
        <v>22.807272727272728</v>
      </c>
      <c r="O47" s="765">
        <f t="shared" si="6"/>
        <v>22.807272727272728</v>
      </c>
    </row>
    <row r="48" spans="1:15" s="98" customFormat="1" outlineLevel="1">
      <c r="A48" s="141" t="s">
        <v>3483</v>
      </c>
      <c r="B48" s="175" t="s">
        <v>1230</v>
      </c>
      <c r="C48" s="100" t="s">
        <v>2587</v>
      </c>
      <c r="D48" s="183" t="s">
        <v>1468</v>
      </c>
      <c r="E48" s="20">
        <v>0</v>
      </c>
      <c r="F48" s="20">
        <f t="shared" si="8"/>
        <v>13.970909090909091</v>
      </c>
      <c r="G48" s="19">
        <f t="shared" si="9"/>
        <v>0</v>
      </c>
      <c r="H48" s="19">
        <f t="shared" si="10"/>
        <v>0</v>
      </c>
      <c r="I48" s="114" t="s">
        <v>1521</v>
      </c>
      <c r="J48" s="210">
        <f>VLOOKUP(I48,'Reajuste Atual'!$L$19:$M$25,2,FALSE)</f>
        <v>3.1053999999999999</v>
      </c>
      <c r="K48" s="190"/>
      <c r="L48" s="765">
        <v>19.21</v>
      </c>
      <c r="M48" s="765">
        <f t="shared" si="4"/>
        <v>13.721428571428573</v>
      </c>
      <c r="N48" s="765">
        <f t="shared" si="5"/>
        <v>13.970909090909091</v>
      </c>
      <c r="O48" s="765">
        <f t="shared" si="6"/>
        <v>13.970909090909091</v>
      </c>
    </row>
    <row r="49" spans="1:15" s="98" customFormat="1" outlineLevel="1">
      <c r="A49" s="141" t="s">
        <v>3483</v>
      </c>
      <c r="B49" s="175" t="s">
        <v>1231</v>
      </c>
      <c r="C49" s="100" t="s">
        <v>2588</v>
      </c>
      <c r="D49" s="183" t="s">
        <v>1468</v>
      </c>
      <c r="E49" s="491">
        <v>14152</v>
      </c>
      <c r="F49" s="20">
        <f t="shared" si="8"/>
        <v>68.414545454545447</v>
      </c>
      <c r="G49" s="19">
        <f t="shared" si="9"/>
        <v>968202.64727272722</v>
      </c>
      <c r="H49" s="19">
        <f t="shared" si="10"/>
        <v>3974859.1481134538</v>
      </c>
      <c r="I49" s="114" t="s">
        <v>1521</v>
      </c>
      <c r="J49" s="210">
        <f>VLOOKUP(I49,'Reajuste Atual'!$L$19:$M$25,2,FALSE)</f>
        <v>3.1053999999999999</v>
      </c>
      <c r="K49" s="190"/>
      <c r="L49" s="765">
        <v>94.07</v>
      </c>
      <c r="M49" s="765">
        <f t="shared" si="4"/>
        <v>67.192857142857136</v>
      </c>
      <c r="N49" s="765">
        <f t="shared" si="5"/>
        <v>68.414545454545447</v>
      </c>
      <c r="O49" s="765">
        <f t="shared" si="6"/>
        <v>68.414545454545447</v>
      </c>
    </row>
    <row r="50" spans="1:15" s="98" customFormat="1" outlineLevel="1">
      <c r="A50" s="141" t="s">
        <v>3483</v>
      </c>
      <c r="B50" s="175" t="s">
        <v>1232</v>
      </c>
      <c r="C50" s="100" t="s">
        <v>2589</v>
      </c>
      <c r="D50" s="183" t="s">
        <v>1468</v>
      </c>
      <c r="E50" s="491">
        <v>47106</v>
      </c>
      <c r="F50" s="20">
        <f t="shared" si="8"/>
        <v>41.927272727272729</v>
      </c>
      <c r="G50" s="19">
        <f t="shared" si="9"/>
        <v>1975026.1090909091</v>
      </c>
      <c r="H50" s="19">
        <f t="shared" si="10"/>
        <v>8108272.1882618172</v>
      </c>
      <c r="I50" s="114" t="s">
        <v>1521</v>
      </c>
      <c r="J50" s="210">
        <f>VLOOKUP(I50,'Reajuste Atual'!$L$19:$M$25,2,FALSE)</f>
        <v>3.1053999999999999</v>
      </c>
      <c r="K50" s="190"/>
      <c r="L50" s="765">
        <v>57.65</v>
      </c>
      <c r="M50" s="765">
        <f t="shared" si="4"/>
        <v>41.178571428571431</v>
      </c>
      <c r="N50" s="765">
        <f t="shared" si="5"/>
        <v>41.927272727272729</v>
      </c>
      <c r="O50" s="765">
        <f t="shared" si="6"/>
        <v>41.927272727272729</v>
      </c>
    </row>
    <row r="51" spans="1:15" s="98" customFormat="1" outlineLevel="1">
      <c r="A51" s="141" t="s">
        <v>3483</v>
      </c>
      <c r="B51" s="175" t="s">
        <v>1233</v>
      </c>
      <c r="C51" s="100" t="s">
        <v>2590</v>
      </c>
      <c r="D51" s="183" t="s">
        <v>1468</v>
      </c>
      <c r="E51" s="20">
        <v>0</v>
      </c>
      <c r="F51" s="20">
        <f t="shared" si="8"/>
        <v>793.25818181818181</v>
      </c>
      <c r="G51" s="19">
        <f t="shared" si="9"/>
        <v>0</v>
      </c>
      <c r="H51" s="19">
        <f t="shared" si="10"/>
        <v>0</v>
      </c>
      <c r="I51" s="114" t="s">
        <v>1521</v>
      </c>
      <c r="J51" s="210">
        <f>VLOOKUP(I51,'Reajuste Atual'!$L$19:$M$25,2,FALSE)</f>
        <v>3.1053999999999999</v>
      </c>
      <c r="K51" s="190"/>
      <c r="L51" s="765">
        <v>1090.73</v>
      </c>
      <c r="M51" s="765">
        <f t="shared" si="4"/>
        <v>779.09285714285716</v>
      </c>
      <c r="N51" s="765">
        <f t="shared" si="5"/>
        <v>793.25818181818181</v>
      </c>
      <c r="O51" s="765">
        <f t="shared" si="6"/>
        <v>793.25818181818181</v>
      </c>
    </row>
    <row r="52" spans="1:15" s="98" customFormat="1" outlineLevel="1">
      <c r="A52" s="141" t="s">
        <v>3483</v>
      </c>
      <c r="B52" s="175" t="s">
        <v>1234</v>
      </c>
      <c r="C52" s="100" t="s">
        <v>2591</v>
      </c>
      <c r="D52" s="183" t="s">
        <v>1468</v>
      </c>
      <c r="E52" s="20">
        <v>0</v>
      </c>
      <c r="F52" s="20">
        <f t="shared" si="8"/>
        <v>5.0181818181818185</v>
      </c>
      <c r="G52" s="19">
        <f t="shared" si="9"/>
        <v>0</v>
      </c>
      <c r="H52" s="19">
        <f t="shared" si="10"/>
        <v>0</v>
      </c>
      <c r="I52" s="114" t="s">
        <v>1521</v>
      </c>
      <c r="J52" s="210">
        <f>VLOOKUP(I52,'Reajuste Atual'!$L$19:$M$25,2,FALSE)</f>
        <v>3.1053999999999999</v>
      </c>
      <c r="K52" s="190"/>
      <c r="L52" s="765">
        <v>6.9</v>
      </c>
      <c r="M52" s="765">
        <f t="shared" si="4"/>
        <v>4.9285714285714288</v>
      </c>
      <c r="N52" s="765">
        <f t="shared" si="5"/>
        <v>5.0181818181818185</v>
      </c>
      <c r="O52" s="765">
        <f t="shared" si="6"/>
        <v>5.0181818181818185</v>
      </c>
    </row>
    <row r="53" spans="1:15" s="98" customFormat="1" outlineLevel="1">
      <c r="A53" s="141" t="s">
        <v>3483</v>
      </c>
      <c r="B53" s="175" t="s">
        <v>1235</v>
      </c>
      <c r="C53" s="100" t="s">
        <v>2592</v>
      </c>
      <c r="D53" s="183" t="s">
        <v>1468</v>
      </c>
      <c r="E53" s="20">
        <v>0</v>
      </c>
      <c r="F53" s="20">
        <f t="shared" si="8"/>
        <v>42.96</v>
      </c>
      <c r="G53" s="19">
        <f t="shared" si="9"/>
        <v>0</v>
      </c>
      <c r="H53" s="19">
        <f t="shared" si="10"/>
        <v>0</v>
      </c>
      <c r="I53" s="114" t="s">
        <v>1521</v>
      </c>
      <c r="J53" s="210">
        <f>VLOOKUP(I53,'Reajuste Atual'!$L$19:$M$25,2,FALSE)</f>
        <v>3.1053999999999999</v>
      </c>
      <c r="K53" s="190"/>
      <c r="L53" s="765">
        <v>59.07</v>
      </c>
      <c r="M53" s="765">
        <f t="shared" si="4"/>
        <v>42.192857142857143</v>
      </c>
      <c r="N53" s="765">
        <f t="shared" si="5"/>
        <v>42.96</v>
      </c>
      <c r="O53" s="765">
        <f t="shared" si="6"/>
        <v>42.96</v>
      </c>
    </row>
    <row r="54" spans="1:15" s="98" customFormat="1" outlineLevel="1">
      <c r="A54" s="141" t="s">
        <v>3483</v>
      </c>
      <c r="B54" s="175" t="s">
        <v>1236</v>
      </c>
      <c r="C54" s="100" t="s">
        <v>2593</v>
      </c>
      <c r="D54" s="183" t="s">
        <v>1468</v>
      </c>
      <c r="E54" s="20">
        <v>0</v>
      </c>
      <c r="F54" s="20">
        <f t="shared" si="8"/>
        <v>19.047272727272727</v>
      </c>
      <c r="G54" s="19">
        <f t="shared" si="9"/>
        <v>0</v>
      </c>
      <c r="H54" s="19">
        <f t="shared" si="10"/>
        <v>0</v>
      </c>
      <c r="I54" s="114" t="s">
        <v>1521</v>
      </c>
      <c r="J54" s="210">
        <f>VLOOKUP(I54,'Reajuste Atual'!$L$19:$M$25,2,FALSE)</f>
        <v>3.1053999999999999</v>
      </c>
      <c r="K54" s="190"/>
      <c r="L54" s="765">
        <v>26.19</v>
      </c>
      <c r="M54" s="765">
        <f t="shared" si="4"/>
        <v>18.707142857142859</v>
      </c>
      <c r="N54" s="765">
        <f t="shared" si="5"/>
        <v>19.047272727272727</v>
      </c>
      <c r="O54" s="765">
        <f t="shared" si="6"/>
        <v>19.047272727272727</v>
      </c>
    </row>
    <row r="55" spans="1:15" s="98" customFormat="1" outlineLevel="1">
      <c r="A55" s="141" t="s">
        <v>3483</v>
      </c>
      <c r="B55" s="175" t="s">
        <v>1237</v>
      </c>
      <c r="C55" s="100" t="s">
        <v>2594</v>
      </c>
      <c r="D55" s="183" t="s">
        <v>1468</v>
      </c>
      <c r="E55" s="20">
        <v>0</v>
      </c>
      <c r="F55" s="20">
        <f t="shared" si="8"/>
        <v>2.08</v>
      </c>
      <c r="G55" s="19">
        <f t="shared" si="9"/>
        <v>0</v>
      </c>
      <c r="H55" s="19">
        <f t="shared" si="10"/>
        <v>0</v>
      </c>
      <c r="I55" s="114" t="s">
        <v>1521</v>
      </c>
      <c r="J55" s="210">
        <f>VLOOKUP(I55,'Reajuste Atual'!$L$19:$M$25,2,FALSE)</f>
        <v>3.1053999999999999</v>
      </c>
      <c r="K55" s="190"/>
      <c r="L55" s="765">
        <v>2.86</v>
      </c>
      <c r="M55" s="765">
        <f t="shared" si="4"/>
        <v>2.0428571428571427</v>
      </c>
      <c r="N55" s="765">
        <f t="shared" si="5"/>
        <v>2.08</v>
      </c>
      <c r="O55" s="765">
        <f t="shared" si="6"/>
        <v>2.08</v>
      </c>
    </row>
    <row r="56" spans="1:15" s="98" customFormat="1" outlineLevel="1">
      <c r="A56" s="141" t="s">
        <v>3483</v>
      </c>
      <c r="B56" s="175" t="s">
        <v>1238</v>
      </c>
      <c r="C56" s="100" t="s">
        <v>2595</v>
      </c>
      <c r="D56" s="183" t="s">
        <v>1468</v>
      </c>
      <c r="E56" s="20">
        <v>0</v>
      </c>
      <c r="F56" s="20">
        <f t="shared" si="8"/>
        <v>0.22545454545454546</v>
      </c>
      <c r="G56" s="19">
        <f t="shared" si="9"/>
        <v>0</v>
      </c>
      <c r="H56" s="19">
        <f t="shared" si="10"/>
        <v>0</v>
      </c>
      <c r="I56" s="114" t="s">
        <v>1521</v>
      </c>
      <c r="J56" s="210">
        <f>VLOOKUP(I56,'Reajuste Atual'!$L$19:$M$25,2,FALSE)</f>
        <v>3.1053999999999999</v>
      </c>
      <c r="K56" s="190"/>
      <c r="L56" s="765">
        <v>0.31</v>
      </c>
      <c r="M56" s="765">
        <f t="shared" si="4"/>
        <v>0.22142857142857145</v>
      </c>
      <c r="N56" s="765">
        <f t="shared" si="5"/>
        <v>0.22545454545454546</v>
      </c>
      <c r="O56" s="765">
        <f t="shared" si="6"/>
        <v>0.22545454545454546</v>
      </c>
    </row>
    <row r="57" spans="1:15" s="98" customFormat="1" outlineLevel="1">
      <c r="A57" s="141" t="s">
        <v>3483</v>
      </c>
      <c r="B57" s="175" t="s">
        <v>1239</v>
      </c>
      <c r="C57" s="100" t="s">
        <v>2596</v>
      </c>
      <c r="D57" s="183" t="s">
        <v>1468</v>
      </c>
      <c r="E57" s="20">
        <v>0</v>
      </c>
      <c r="F57" s="20">
        <f t="shared" si="8"/>
        <v>192.46545454545455</v>
      </c>
      <c r="G57" s="19">
        <f t="shared" si="9"/>
        <v>0</v>
      </c>
      <c r="H57" s="19">
        <f t="shared" si="10"/>
        <v>0</v>
      </c>
      <c r="I57" s="114" t="s">
        <v>1521</v>
      </c>
      <c r="J57" s="210">
        <f>VLOOKUP(I57,'Reajuste Atual'!$L$19:$M$25,2,FALSE)</f>
        <v>3.1053999999999999</v>
      </c>
      <c r="K57" s="190"/>
      <c r="L57" s="765">
        <v>264.64</v>
      </c>
      <c r="M57" s="765">
        <f t="shared" si="4"/>
        <v>189.02857142857144</v>
      </c>
      <c r="N57" s="765">
        <f t="shared" si="5"/>
        <v>192.46545454545455</v>
      </c>
      <c r="O57" s="765">
        <f t="shared" si="6"/>
        <v>192.46545454545455</v>
      </c>
    </row>
    <row r="58" spans="1:15" s="98" customFormat="1" outlineLevel="1">
      <c r="A58" s="141" t="s">
        <v>3483</v>
      </c>
      <c r="B58" s="175" t="s">
        <v>1240</v>
      </c>
      <c r="C58" s="100" t="s">
        <v>2597</v>
      </c>
      <c r="D58" s="183" t="s">
        <v>1468</v>
      </c>
      <c r="E58" s="20">
        <v>0</v>
      </c>
      <c r="F58" s="20">
        <f t="shared" si="8"/>
        <v>3.8690909090909091</v>
      </c>
      <c r="G58" s="19">
        <f t="shared" si="9"/>
        <v>0</v>
      </c>
      <c r="H58" s="19">
        <f t="shared" si="10"/>
        <v>0</v>
      </c>
      <c r="I58" s="114" t="s">
        <v>1521</v>
      </c>
      <c r="J58" s="210">
        <f>VLOOKUP(I58,'Reajuste Atual'!$L$19:$M$25,2,FALSE)</f>
        <v>3.1053999999999999</v>
      </c>
      <c r="K58" s="190"/>
      <c r="L58" s="765">
        <v>5.32</v>
      </c>
      <c r="M58" s="765">
        <f t="shared" si="4"/>
        <v>3.8000000000000003</v>
      </c>
      <c r="N58" s="765">
        <f t="shared" si="5"/>
        <v>3.8690909090909091</v>
      </c>
      <c r="O58" s="765">
        <f t="shared" si="6"/>
        <v>3.8690909090909091</v>
      </c>
    </row>
    <row r="59" spans="1:15" s="98" customFormat="1" outlineLevel="1">
      <c r="A59" s="141" t="s">
        <v>3483</v>
      </c>
      <c r="B59" s="175" t="s">
        <v>1241</v>
      </c>
      <c r="C59" s="100" t="s">
        <v>2598</v>
      </c>
      <c r="D59" s="183" t="s">
        <v>1468</v>
      </c>
      <c r="E59" s="20">
        <v>0</v>
      </c>
      <c r="F59" s="20">
        <f t="shared" si="8"/>
        <v>22.82181818181818</v>
      </c>
      <c r="G59" s="19">
        <f t="shared" si="9"/>
        <v>0</v>
      </c>
      <c r="H59" s="19">
        <f t="shared" si="10"/>
        <v>0</v>
      </c>
      <c r="I59" s="114" t="s">
        <v>1521</v>
      </c>
      <c r="J59" s="210">
        <f>VLOOKUP(I59,'Reajuste Atual'!$L$19:$M$25,2,FALSE)</f>
        <v>3.1053999999999999</v>
      </c>
      <c r="K59" s="190"/>
      <c r="L59" s="765">
        <v>31.38</v>
      </c>
      <c r="M59" s="765">
        <f t="shared" si="4"/>
        <v>22.414285714285715</v>
      </c>
      <c r="N59" s="765">
        <f t="shared" si="5"/>
        <v>22.82181818181818</v>
      </c>
      <c r="O59" s="765">
        <f t="shared" si="6"/>
        <v>22.82181818181818</v>
      </c>
    </row>
    <row r="60" spans="1:15" s="98" customFormat="1" outlineLevel="1">
      <c r="A60" s="141" t="s">
        <v>3483</v>
      </c>
      <c r="B60" s="175" t="s">
        <v>1242</v>
      </c>
      <c r="C60" s="100" t="s">
        <v>2599</v>
      </c>
      <c r="D60" s="183" t="s">
        <v>1468</v>
      </c>
      <c r="E60" s="20">
        <v>0</v>
      </c>
      <c r="F60" s="20">
        <f t="shared" si="8"/>
        <v>26.298181818181817</v>
      </c>
      <c r="G60" s="19">
        <f t="shared" si="9"/>
        <v>0</v>
      </c>
      <c r="H60" s="19">
        <f t="shared" si="10"/>
        <v>0</v>
      </c>
      <c r="I60" s="114" t="s">
        <v>1521</v>
      </c>
      <c r="J60" s="210">
        <f>VLOOKUP(I60,'Reajuste Atual'!$L$19:$M$25,2,FALSE)</f>
        <v>3.1053999999999999</v>
      </c>
      <c r="K60" s="190"/>
      <c r="L60" s="765">
        <v>36.159999999999997</v>
      </c>
      <c r="M60" s="765">
        <f t="shared" si="4"/>
        <v>25.828571428571429</v>
      </c>
      <c r="N60" s="765">
        <f t="shared" si="5"/>
        <v>26.298181818181817</v>
      </c>
      <c r="O60" s="765">
        <f t="shared" si="6"/>
        <v>26.298181818181817</v>
      </c>
    </row>
    <row r="61" spans="1:15" s="98" customFormat="1" outlineLevel="1">
      <c r="A61" s="141" t="s">
        <v>3483</v>
      </c>
      <c r="B61" s="175" t="s">
        <v>1243</v>
      </c>
      <c r="C61" s="100" t="s">
        <v>2600</v>
      </c>
      <c r="D61" s="183" t="s">
        <v>1468</v>
      </c>
      <c r="E61" s="20">
        <v>0</v>
      </c>
      <c r="F61" s="20">
        <f t="shared" si="8"/>
        <v>29.076363636363634</v>
      </c>
      <c r="G61" s="19">
        <f t="shared" si="9"/>
        <v>0</v>
      </c>
      <c r="H61" s="19">
        <f t="shared" si="10"/>
        <v>0</v>
      </c>
      <c r="I61" s="114" t="s">
        <v>1521</v>
      </c>
      <c r="J61" s="210">
        <f>VLOOKUP(I61,'Reajuste Atual'!$L$19:$M$25,2,FALSE)</f>
        <v>3.1053999999999999</v>
      </c>
      <c r="K61" s="190"/>
      <c r="L61" s="765">
        <v>39.979999999999997</v>
      </c>
      <c r="M61" s="765">
        <f t="shared" si="4"/>
        <v>28.557142857142857</v>
      </c>
      <c r="N61" s="765">
        <f t="shared" si="5"/>
        <v>29.076363636363634</v>
      </c>
      <c r="O61" s="765">
        <f t="shared" si="6"/>
        <v>29.076363636363634</v>
      </c>
    </row>
    <row r="62" spans="1:15" s="98" customFormat="1" outlineLevel="1">
      <c r="A62" s="141" t="s">
        <v>3483</v>
      </c>
      <c r="B62" s="175" t="s">
        <v>1244</v>
      </c>
      <c r="C62" s="100" t="s">
        <v>2601</v>
      </c>
      <c r="D62" s="183" t="s">
        <v>1468</v>
      </c>
      <c r="E62" s="20">
        <v>0</v>
      </c>
      <c r="F62" s="20">
        <f t="shared" si="8"/>
        <v>15.061818181818182</v>
      </c>
      <c r="G62" s="19">
        <f t="shared" si="9"/>
        <v>0</v>
      </c>
      <c r="H62" s="19">
        <f t="shared" si="10"/>
        <v>0</v>
      </c>
      <c r="I62" s="114" t="s">
        <v>1521</v>
      </c>
      <c r="J62" s="210">
        <f>VLOOKUP(I62,'Reajuste Atual'!$L$19:$M$25,2,FALSE)</f>
        <v>3.1053999999999999</v>
      </c>
      <c r="K62" s="190"/>
      <c r="L62" s="765">
        <v>20.71</v>
      </c>
      <c r="M62" s="765">
        <f t="shared" si="4"/>
        <v>14.792857142857144</v>
      </c>
      <c r="N62" s="765">
        <f t="shared" si="5"/>
        <v>15.061818181818182</v>
      </c>
      <c r="O62" s="765">
        <f t="shared" si="6"/>
        <v>15.061818181818182</v>
      </c>
    </row>
    <row r="63" spans="1:15" s="98" customFormat="1" outlineLevel="1">
      <c r="A63" s="141" t="s">
        <v>3483</v>
      </c>
      <c r="B63" s="175" t="s">
        <v>1245</v>
      </c>
      <c r="C63" s="100" t="s">
        <v>2602</v>
      </c>
      <c r="D63" s="183" t="s">
        <v>1468</v>
      </c>
      <c r="E63" s="491">
        <v>328</v>
      </c>
      <c r="F63" s="20">
        <f t="shared" si="8"/>
        <v>27.76</v>
      </c>
      <c r="G63" s="19">
        <f t="shared" si="9"/>
        <v>9105.2800000000007</v>
      </c>
      <c r="H63" s="19">
        <f t="shared" si="10"/>
        <v>37380.816511999998</v>
      </c>
      <c r="I63" s="114" t="s">
        <v>1521</v>
      </c>
      <c r="J63" s="210">
        <f>VLOOKUP(I63,'Reajuste Atual'!$L$19:$M$25,2,FALSE)</f>
        <v>3.1053999999999999</v>
      </c>
      <c r="K63" s="190"/>
      <c r="L63" s="765">
        <v>38.17</v>
      </c>
      <c r="M63" s="765">
        <f t="shared" si="4"/>
        <v>27.264285714285716</v>
      </c>
      <c r="N63" s="765">
        <f t="shared" si="5"/>
        <v>27.76</v>
      </c>
      <c r="O63" s="765">
        <f t="shared" si="6"/>
        <v>27.76</v>
      </c>
    </row>
    <row r="64" spans="1:15" s="98" customFormat="1" outlineLevel="1">
      <c r="A64" s="141" t="s">
        <v>3483</v>
      </c>
      <c r="B64" s="175" t="s">
        <v>1246</v>
      </c>
      <c r="C64" s="100" t="s">
        <v>2603</v>
      </c>
      <c r="D64" s="183" t="s">
        <v>1468</v>
      </c>
      <c r="E64" s="491">
        <v>16561</v>
      </c>
      <c r="F64" s="20">
        <f t="shared" si="8"/>
        <v>14.66909090909091</v>
      </c>
      <c r="G64" s="19">
        <f t="shared" si="9"/>
        <v>242934.81454545454</v>
      </c>
      <c r="H64" s="19">
        <f t="shared" si="10"/>
        <v>997344.58763490897</v>
      </c>
      <c r="I64" s="114" t="s">
        <v>1521</v>
      </c>
      <c r="J64" s="210">
        <f>VLOOKUP(I64,'Reajuste Atual'!$L$19:$M$25,2,FALSE)</f>
        <v>3.1053999999999999</v>
      </c>
      <c r="K64" s="190"/>
      <c r="L64" s="765">
        <v>20.170000000000002</v>
      </c>
      <c r="M64" s="765">
        <f t="shared" si="4"/>
        <v>14.40714285714286</v>
      </c>
      <c r="N64" s="765">
        <f t="shared" si="5"/>
        <v>14.66909090909091</v>
      </c>
      <c r="O64" s="765">
        <f t="shared" si="6"/>
        <v>14.66909090909091</v>
      </c>
    </row>
    <row r="65" spans="1:15" s="98" customFormat="1" outlineLevel="1">
      <c r="A65" s="141" t="s">
        <v>3483</v>
      </c>
      <c r="B65" s="175" t="s">
        <v>1247</v>
      </c>
      <c r="C65" s="100" t="s">
        <v>2604</v>
      </c>
      <c r="D65" s="183" t="s">
        <v>1468</v>
      </c>
      <c r="E65" s="20">
        <v>0</v>
      </c>
      <c r="F65" s="20">
        <f t="shared" si="8"/>
        <v>8.1963636363636354</v>
      </c>
      <c r="G65" s="19">
        <f t="shared" si="9"/>
        <v>0</v>
      </c>
      <c r="H65" s="19">
        <f t="shared" si="10"/>
        <v>0</v>
      </c>
      <c r="I65" s="114" t="s">
        <v>1521</v>
      </c>
      <c r="J65" s="210">
        <f>VLOOKUP(I65,'Reajuste Atual'!$L$19:$M$25,2,FALSE)</f>
        <v>3.1053999999999999</v>
      </c>
      <c r="K65" s="190"/>
      <c r="L65" s="765">
        <v>11.27</v>
      </c>
      <c r="M65" s="765">
        <f t="shared" si="4"/>
        <v>8.0500000000000007</v>
      </c>
      <c r="N65" s="765">
        <f t="shared" si="5"/>
        <v>8.1963636363636354</v>
      </c>
      <c r="O65" s="765">
        <f t="shared" si="6"/>
        <v>8.1963636363636354</v>
      </c>
    </row>
    <row r="66" spans="1:15" s="98" customFormat="1" outlineLevel="1">
      <c r="A66" s="141" t="s">
        <v>3483</v>
      </c>
      <c r="B66" s="175" t="s">
        <v>1248</v>
      </c>
      <c r="C66" s="100" t="s">
        <v>2605</v>
      </c>
      <c r="D66" s="183" t="s">
        <v>1468</v>
      </c>
      <c r="E66" s="20">
        <v>0</v>
      </c>
      <c r="F66" s="20">
        <f t="shared" si="8"/>
        <v>626.9818181818182</v>
      </c>
      <c r="G66" s="19">
        <f t="shared" si="9"/>
        <v>0</v>
      </c>
      <c r="H66" s="19">
        <f t="shared" si="10"/>
        <v>0</v>
      </c>
      <c r="I66" s="114" t="s">
        <v>1521</v>
      </c>
      <c r="J66" s="210">
        <f>VLOOKUP(I66,'Reajuste Atual'!$L$19:$M$25,2,FALSE)</f>
        <v>3.1053999999999999</v>
      </c>
      <c r="K66" s="190"/>
      <c r="L66" s="765">
        <v>862.1</v>
      </c>
      <c r="M66" s="765">
        <f t="shared" si="4"/>
        <v>615.78571428571433</v>
      </c>
      <c r="N66" s="765">
        <f t="shared" si="5"/>
        <v>626.9818181818182</v>
      </c>
      <c r="O66" s="765">
        <f t="shared" si="6"/>
        <v>626.9818181818182</v>
      </c>
    </row>
    <row r="67" spans="1:15" s="98" customFormat="1" outlineLevel="1">
      <c r="A67" s="141" t="s">
        <v>3483</v>
      </c>
      <c r="B67" s="175" t="s">
        <v>1249</v>
      </c>
      <c r="C67" s="100" t="s">
        <v>2606</v>
      </c>
      <c r="D67" s="99" t="s">
        <v>1472</v>
      </c>
      <c r="E67" s="20">
        <v>0</v>
      </c>
      <c r="F67" s="20">
        <f t="shared" si="8"/>
        <v>0.24727272727272728</v>
      </c>
      <c r="G67" s="19">
        <f t="shared" si="9"/>
        <v>0</v>
      </c>
      <c r="H67" s="19">
        <f t="shared" si="10"/>
        <v>0</v>
      </c>
      <c r="I67" s="114" t="s">
        <v>1521</v>
      </c>
      <c r="J67" s="210">
        <f>VLOOKUP(I67,'Reajuste Atual'!$L$19:$M$25,2,FALSE)</f>
        <v>3.1053999999999999</v>
      </c>
      <c r="K67" s="190"/>
      <c r="L67" s="765">
        <v>0.34</v>
      </c>
      <c r="M67" s="765">
        <f t="shared" si="4"/>
        <v>0.24285714285714288</v>
      </c>
      <c r="N67" s="765">
        <f t="shared" si="5"/>
        <v>0.24727272727272728</v>
      </c>
      <c r="O67" s="765">
        <f t="shared" si="6"/>
        <v>0.24727272727272728</v>
      </c>
    </row>
    <row r="68" spans="1:15" s="98" customFormat="1" outlineLevel="1">
      <c r="A68" s="141" t="s">
        <v>3483</v>
      </c>
      <c r="B68" s="175" t="s">
        <v>1250</v>
      </c>
      <c r="C68" s="100" t="s">
        <v>2607</v>
      </c>
      <c r="D68" s="183" t="s">
        <v>1468</v>
      </c>
      <c r="E68" s="20">
        <v>0</v>
      </c>
      <c r="F68" s="20">
        <f t="shared" si="8"/>
        <v>72.567272727272723</v>
      </c>
      <c r="G68" s="19">
        <f t="shared" si="9"/>
        <v>0</v>
      </c>
      <c r="H68" s="19">
        <f t="shared" si="10"/>
        <v>0</v>
      </c>
      <c r="I68" s="114" t="s">
        <v>1521</v>
      </c>
      <c r="J68" s="210">
        <f>VLOOKUP(I68,'Reajuste Atual'!$L$19:$M$25,2,FALSE)</f>
        <v>3.1053999999999999</v>
      </c>
      <c r="K68" s="190"/>
      <c r="L68" s="765">
        <v>99.78</v>
      </c>
      <c r="M68" s="765">
        <f t="shared" si="4"/>
        <v>71.271428571428572</v>
      </c>
      <c r="N68" s="765">
        <f t="shared" si="5"/>
        <v>72.567272727272723</v>
      </c>
      <c r="O68" s="765">
        <f t="shared" si="6"/>
        <v>72.567272727272723</v>
      </c>
    </row>
    <row r="69" spans="1:15" s="98" customFormat="1" outlineLevel="1">
      <c r="A69" s="141" t="s">
        <v>3483</v>
      </c>
      <c r="B69" s="175" t="s">
        <v>1251</v>
      </c>
      <c r="C69" s="100" t="s">
        <v>2608</v>
      </c>
      <c r="D69" s="183" t="s">
        <v>1468</v>
      </c>
      <c r="E69" s="20">
        <v>0</v>
      </c>
      <c r="F69" s="20">
        <f t="shared" si="8"/>
        <v>319.29454545454541</v>
      </c>
      <c r="G69" s="19">
        <f t="shared" si="9"/>
        <v>0</v>
      </c>
      <c r="H69" s="19">
        <f t="shared" si="10"/>
        <v>0</v>
      </c>
      <c r="I69" s="114" t="s">
        <v>1521</v>
      </c>
      <c r="J69" s="210">
        <f>VLOOKUP(I69,'Reajuste Atual'!$L$19:$M$25,2,FALSE)</f>
        <v>3.1053999999999999</v>
      </c>
      <c r="K69" s="190"/>
      <c r="L69" s="765">
        <v>439.03</v>
      </c>
      <c r="M69" s="765">
        <f t="shared" si="4"/>
        <v>313.59285714285716</v>
      </c>
      <c r="N69" s="765">
        <f t="shared" si="5"/>
        <v>319.29454545454541</v>
      </c>
      <c r="O69" s="765">
        <f t="shared" si="6"/>
        <v>319.29454545454541</v>
      </c>
    </row>
    <row r="70" spans="1:15" s="98" customFormat="1" outlineLevel="1">
      <c r="A70" s="141" t="s">
        <v>3483</v>
      </c>
      <c r="B70" s="175" t="s">
        <v>1252</v>
      </c>
      <c r="C70" s="100" t="s">
        <v>2609</v>
      </c>
      <c r="D70" s="183" t="s">
        <v>1468</v>
      </c>
      <c r="E70" s="20">
        <v>0</v>
      </c>
      <c r="F70" s="20">
        <f t="shared" si="8"/>
        <v>18.996363636363636</v>
      </c>
      <c r="G70" s="19">
        <f t="shared" si="9"/>
        <v>0</v>
      </c>
      <c r="H70" s="19">
        <f t="shared" si="10"/>
        <v>0</v>
      </c>
      <c r="I70" s="114" t="s">
        <v>1521</v>
      </c>
      <c r="J70" s="210">
        <f>VLOOKUP(I70,'Reajuste Atual'!$L$19:$M$25,2,FALSE)</f>
        <v>3.1053999999999999</v>
      </c>
      <c r="K70" s="190"/>
      <c r="L70" s="765">
        <v>26.12</v>
      </c>
      <c r="M70" s="765">
        <f t="shared" si="4"/>
        <v>18.657142857142858</v>
      </c>
      <c r="N70" s="765">
        <f t="shared" si="5"/>
        <v>18.996363636363636</v>
      </c>
      <c r="O70" s="765">
        <f t="shared" si="6"/>
        <v>18.996363636363636</v>
      </c>
    </row>
    <row r="71" spans="1:15" s="98" customFormat="1" outlineLevel="1">
      <c r="A71" s="141" t="s">
        <v>3483</v>
      </c>
      <c r="B71" s="175" t="s">
        <v>1253</v>
      </c>
      <c r="C71" s="100" t="s">
        <v>2610</v>
      </c>
      <c r="D71" s="183" t="s">
        <v>1468</v>
      </c>
      <c r="E71" s="20">
        <v>0</v>
      </c>
      <c r="F71" s="20">
        <f t="shared" si="8"/>
        <v>3.3018181818181818</v>
      </c>
      <c r="G71" s="19">
        <f t="shared" si="9"/>
        <v>0</v>
      </c>
      <c r="H71" s="19">
        <f t="shared" si="10"/>
        <v>0</v>
      </c>
      <c r="I71" s="114" t="s">
        <v>1521</v>
      </c>
      <c r="J71" s="210">
        <f>VLOOKUP(I71,'Reajuste Atual'!$L$19:$M$25,2,FALSE)</f>
        <v>3.1053999999999999</v>
      </c>
      <c r="K71" s="190"/>
      <c r="L71" s="765">
        <v>4.54</v>
      </c>
      <c r="M71" s="765">
        <f t="shared" si="4"/>
        <v>3.2428571428571429</v>
      </c>
      <c r="N71" s="765">
        <f t="shared" si="5"/>
        <v>3.3018181818181818</v>
      </c>
      <c r="O71" s="765">
        <f t="shared" si="6"/>
        <v>3.3018181818181818</v>
      </c>
    </row>
    <row r="72" spans="1:15" s="98" customFormat="1" outlineLevel="1">
      <c r="A72" s="141" t="s">
        <v>3483</v>
      </c>
      <c r="B72" s="175" t="s">
        <v>1254</v>
      </c>
      <c r="C72" s="100" t="s">
        <v>2611</v>
      </c>
      <c r="D72" s="183" t="s">
        <v>1468</v>
      </c>
      <c r="E72" s="20">
        <v>0</v>
      </c>
      <c r="F72" s="20">
        <f t="shared" si="8"/>
        <v>2.1090909090909089</v>
      </c>
      <c r="G72" s="19">
        <f t="shared" si="9"/>
        <v>0</v>
      </c>
      <c r="H72" s="19">
        <f t="shared" si="10"/>
        <v>0</v>
      </c>
      <c r="I72" s="114" t="s">
        <v>1521</v>
      </c>
      <c r="J72" s="210">
        <f>VLOOKUP(I72,'Reajuste Atual'!$L$19:$M$25,2,FALSE)</f>
        <v>3.1053999999999999</v>
      </c>
      <c r="K72" s="190"/>
      <c r="L72" s="765">
        <v>2.9</v>
      </c>
      <c r="M72" s="765">
        <f t="shared" si="4"/>
        <v>2.0714285714285716</v>
      </c>
      <c r="N72" s="765">
        <f t="shared" si="5"/>
        <v>2.1090909090909089</v>
      </c>
      <c r="O72" s="765">
        <f t="shared" si="6"/>
        <v>2.1090909090909089</v>
      </c>
    </row>
    <row r="73" spans="1:15" s="98" customFormat="1" outlineLevel="1">
      <c r="A73" s="141" t="s">
        <v>3483</v>
      </c>
      <c r="B73" s="175" t="s">
        <v>1255</v>
      </c>
      <c r="C73" s="100" t="s">
        <v>2612</v>
      </c>
      <c r="D73" s="183" t="s">
        <v>1468</v>
      </c>
      <c r="E73" s="20">
        <v>0</v>
      </c>
      <c r="F73" s="20">
        <f t="shared" si="8"/>
        <v>0.21090909090909091</v>
      </c>
      <c r="G73" s="19">
        <f t="shared" si="9"/>
        <v>0</v>
      </c>
      <c r="H73" s="19">
        <f t="shared" si="10"/>
        <v>0</v>
      </c>
      <c r="I73" s="114" t="s">
        <v>1521</v>
      </c>
      <c r="J73" s="210">
        <f>VLOOKUP(I73,'Reajuste Atual'!$L$19:$M$25,2,FALSE)</f>
        <v>3.1053999999999999</v>
      </c>
      <c r="K73" s="190"/>
      <c r="L73" s="765">
        <v>0.28999999999999998</v>
      </c>
      <c r="M73" s="765">
        <f t="shared" si="4"/>
        <v>0.20714285714285713</v>
      </c>
      <c r="N73" s="765">
        <f t="shared" si="5"/>
        <v>0.21090909090909091</v>
      </c>
      <c r="O73" s="765">
        <f t="shared" si="6"/>
        <v>0.21090909090909091</v>
      </c>
    </row>
    <row r="74" spans="1:15" s="98" customFormat="1" outlineLevel="1">
      <c r="A74" s="141" t="s">
        <v>3483</v>
      </c>
      <c r="B74" s="175" t="s">
        <v>1256</v>
      </c>
      <c r="C74" s="100" t="s">
        <v>2613</v>
      </c>
      <c r="D74" s="183" t="s">
        <v>1468</v>
      </c>
      <c r="E74" s="20">
        <v>0</v>
      </c>
      <c r="F74" s="20">
        <f t="shared" si="8"/>
        <v>0.4</v>
      </c>
      <c r="G74" s="19">
        <f t="shared" si="9"/>
        <v>0</v>
      </c>
      <c r="H74" s="19">
        <f t="shared" si="10"/>
        <v>0</v>
      </c>
      <c r="I74" s="114" t="s">
        <v>1521</v>
      </c>
      <c r="J74" s="210">
        <f>VLOOKUP(I74,'Reajuste Atual'!$L$19:$M$25,2,FALSE)</f>
        <v>3.1053999999999999</v>
      </c>
      <c r="K74" s="190"/>
      <c r="L74" s="765">
        <v>0.55000000000000004</v>
      </c>
      <c r="M74" s="765">
        <f t="shared" si="4"/>
        <v>0.3928571428571429</v>
      </c>
      <c r="N74" s="765">
        <f t="shared" si="5"/>
        <v>0.4</v>
      </c>
      <c r="O74" s="765">
        <f t="shared" si="6"/>
        <v>0.4</v>
      </c>
    </row>
    <row r="75" spans="1:15" s="98" customFormat="1" outlineLevel="1">
      <c r="A75" s="141" t="s">
        <v>3483</v>
      </c>
      <c r="B75" s="175" t="s">
        <v>1257</v>
      </c>
      <c r="C75" s="100" t="s">
        <v>2614</v>
      </c>
      <c r="D75" s="183" t="s">
        <v>1468</v>
      </c>
      <c r="E75" s="20">
        <v>0</v>
      </c>
      <c r="F75" s="20">
        <f t="shared" si="8"/>
        <v>19.738181818181818</v>
      </c>
      <c r="G75" s="19">
        <f t="shared" si="9"/>
        <v>0</v>
      </c>
      <c r="H75" s="19">
        <f t="shared" si="10"/>
        <v>0</v>
      </c>
      <c r="I75" s="114" t="s">
        <v>1521</v>
      </c>
      <c r="J75" s="210">
        <f>VLOOKUP(I75,'Reajuste Atual'!$L$19:$M$25,2,FALSE)</f>
        <v>3.1053999999999999</v>
      </c>
      <c r="K75" s="190"/>
      <c r="L75" s="765">
        <v>27.14</v>
      </c>
      <c r="M75" s="765">
        <f t="shared" si="4"/>
        <v>19.385714285714286</v>
      </c>
      <c r="N75" s="765">
        <f t="shared" si="5"/>
        <v>19.738181818181818</v>
      </c>
      <c r="O75" s="765">
        <f t="shared" si="6"/>
        <v>19.738181818181818</v>
      </c>
    </row>
    <row r="76" spans="1:15" s="98" customFormat="1" outlineLevel="1">
      <c r="A76" s="141" t="s">
        <v>3483</v>
      </c>
      <c r="B76" s="175" t="s">
        <v>1258</v>
      </c>
      <c r="C76" s="100" t="s">
        <v>2615</v>
      </c>
      <c r="D76" s="183" t="s">
        <v>1468</v>
      </c>
      <c r="E76" s="20">
        <v>0</v>
      </c>
      <c r="F76" s="20">
        <f t="shared" si="8"/>
        <v>0.58909090909090911</v>
      </c>
      <c r="G76" s="19">
        <f t="shared" si="9"/>
        <v>0</v>
      </c>
      <c r="H76" s="19">
        <f t="shared" si="10"/>
        <v>0</v>
      </c>
      <c r="I76" s="114" t="s">
        <v>1521</v>
      </c>
      <c r="J76" s="210">
        <f>VLOOKUP(I76,'Reajuste Atual'!$L$19:$M$25,2,FALSE)</f>
        <v>3.1053999999999999</v>
      </c>
      <c r="K76" s="190"/>
      <c r="L76" s="765">
        <v>0.81</v>
      </c>
      <c r="M76" s="765">
        <f t="shared" si="4"/>
        <v>0.57857142857142863</v>
      </c>
      <c r="N76" s="765">
        <f t="shared" si="5"/>
        <v>0.58909090909090911</v>
      </c>
      <c r="O76" s="765">
        <f t="shared" si="6"/>
        <v>0.58909090909090911</v>
      </c>
    </row>
    <row r="77" spans="1:15" s="98" customFormat="1" outlineLevel="1">
      <c r="A77" s="141" t="s">
        <v>3483</v>
      </c>
      <c r="B77" s="175" t="s">
        <v>1259</v>
      </c>
      <c r="C77" s="100" t="s">
        <v>2616</v>
      </c>
      <c r="D77" s="183" t="s">
        <v>1468</v>
      </c>
      <c r="E77" s="20">
        <v>0</v>
      </c>
      <c r="F77" s="20">
        <f t="shared" si="8"/>
        <v>2.7927272727272725</v>
      </c>
      <c r="G77" s="19">
        <f t="shared" si="9"/>
        <v>0</v>
      </c>
      <c r="H77" s="19">
        <f t="shared" si="10"/>
        <v>0</v>
      </c>
      <c r="I77" s="114" t="s">
        <v>1521</v>
      </c>
      <c r="J77" s="210">
        <f>VLOOKUP(I77,'Reajuste Atual'!$L$19:$M$25,2,FALSE)</f>
        <v>3.1053999999999999</v>
      </c>
      <c r="K77" s="190"/>
      <c r="L77" s="765">
        <v>3.84</v>
      </c>
      <c r="M77" s="765">
        <f t="shared" si="4"/>
        <v>2.7428571428571429</v>
      </c>
      <c r="N77" s="765">
        <f t="shared" si="5"/>
        <v>2.7927272727272725</v>
      </c>
      <c r="O77" s="765">
        <f t="shared" si="6"/>
        <v>2.7927272727272725</v>
      </c>
    </row>
    <row r="78" spans="1:15" s="98" customFormat="1" outlineLevel="1">
      <c r="A78" s="141" t="s">
        <v>3483</v>
      </c>
      <c r="B78" s="175" t="s">
        <v>1260</v>
      </c>
      <c r="C78" s="100" t="s">
        <v>2617</v>
      </c>
      <c r="D78" s="183" t="s">
        <v>1468</v>
      </c>
      <c r="E78" s="20">
        <v>0</v>
      </c>
      <c r="F78" s="20">
        <f t="shared" si="8"/>
        <v>6.56</v>
      </c>
      <c r="G78" s="19">
        <f t="shared" si="9"/>
        <v>0</v>
      </c>
      <c r="H78" s="19">
        <f t="shared" si="10"/>
        <v>0</v>
      </c>
      <c r="I78" s="114" t="s">
        <v>1521</v>
      </c>
      <c r="J78" s="210">
        <f>VLOOKUP(I78,'Reajuste Atual'!$L$19:$M$25,2,FALSE)</f>
        <v>3.1053999999999999</v>
      </c>
      <c r="K78" s="190"/>
      <c r="L78" s="765">
        <v>9.02</v>
      </c>
      <c r="M78" s="765">
        <f t="shared" si="4"/>
        <v>6.4428571428571431</v>
      </c>
      <c r="N78" s="765">
        <f t="shared" si="5"/>
        <v>6.56</v>
      </c>
      <c r="O78" s="765">
        <f t="shared" si="6"/>
        <v>6.56</v>
      </c>
    </row>
    <row r="79" spans="1:15" s="98" customFormat="1" outlineLevel="1">
      <c r="A79" s="141" t="s">
        <v>3483</v>
      </c>
      <c r="B79" s="175" t="s">
        <v>1261</v>
      </c>
      <c r="C79" s="100" t="s">
        <v>2618</v>
      </c>
      <c r="D79" s="183" t="s">
        <v>1468</v>
      </c>
      <c r="E79" s="20">
        <v>0</v>
      </c>
      <c r="F79" s="20">
        <f t="shared" si="8"/>
        <v>164.19636363636366</v>
      </c>
      <c r="G79" s="19">
        <f t="shared" si="9"/>
        <v>0</v>
      </c>
      <c r="H79" s="19">
        <f t="shared" si="10"/>
        <v>0</v>
      </c>
      <c r="I79" s="114" t="s">
        <v>1521</v>
      </c>
      <c r="J79" s="210">
        <f>VLOOKUP(I79,'Reajuste Atual'!$L$19:$M$25,2,FALSE)</f>
        <v>3.1053999999999999</v>
      </c>
      <c r="K79" s="192"/>
      <c r="L79" s="765">
        <v>225.77</v>
      </c>
      <c r="M79" s="765">
        <f t="shared" si="4"/>
        <v>161.26428571428573</v>
      </c>
      <c r="N79" s="765">
        <f t="shared" si="5"/>
        <v>164.19636363636366</v>
      </c>
      <c r="O79" s="765">
        <f t="shared" si="6"/>
        <v>164.19636363636366</v>
      </c>
    </row>
    <row r="80" spans="1:15" s="98" customFormat="1" outlineLevel="1">
      <c r="B80" s="959" t="s">
        <v>3202</v>
      </c>
      <c r="C80" s="766" t="s">
        <v>3203</v>
      </c>
      <c r="D80" s="960" t="s">
        <v>2775</v>
      </c>
      <c r="E80" s="491" t="s">
        <v>3305</v>
      </c>
      <c r="F80" s="491"/>
      <c r="G80" s="435"/>
      <c r="H80" s="435">
        <f>433.89*1046</f>
        <v>453848.94</v>
      </c>
      <c r="I80" s="114"/>
      <c r="J80" s="210"/>
      <c r="K80" s="192"/>
      <c r="L80" s="765"/>
      <c r="M80" s="765">
        <f t="shared" si="4"/>
        <v>0</v>
      </c>
      <c r="N80" s="765">
        <f t="shared" si="5"/>
        <v>0</v>
      </c>
      <c r="O80" s="765">
        <f t="shared" si="6"/>
        <v>0</v>
      </c>
    </row>
    <row r="81" spans="1:15" s="98" customFormat="1" outlineLevel="1">
      <c r="B81" s="179" t="s">
        <v>1262</v>
      </c>
      <c r="C81" s="104" t="s">
        <v>3643</v>
      </c>
      <c r="D81" s="82" t="s">
        <v>3201</v>
      </c>
      <c r="E81" s="82"/>
      <c r="F81" s="82"/>
      <c r="G81" s="83">
        <f>SUM(G82:G102)</f>
        <v>0</v>
      </c>
      <c r="H81" s="83">
        <f>SUM(H82:H102)</f>
        <v>0</v>
      </c>
      <c r="I81" s="112">
        <v>0</v>
      </c>
      <c r="J81" s="84"/>
      <c r="K81" s="190"/>
      <c r="L81" s="765"/>
      <c r="M81" s="765">
        <f t="shared" si="4"/>
        <v>0</v>
      </c>
      <c r="N81" s="765">
        <f t="shared" si="5"/>
        <v>0</v>
      </c>
      <c r="O81" s="765">
        <f t="shared" si="6"/>
        <v>0</v>
      </c>
    </row>
    <row r="82" spans="1:15" s="98" customFormat="1" outlineLevel="1">
      <c r="A82" s="141" t="s">
        <v>3483</v>
      </c>
      <c r="B82" s="175" t="s">
        <v>1263</v>
      </c>
      <c r="C82" s="100" t="s">
        <v>2619</v>
      </c>
      <c r="D82" s="183" t="s">
        <v>1468</v>
      </c>
      <c r="E82" s="20">
        <v>0</v>
      </c>
      <c r="F82" s="20">
        <f t="shared" ref="F82:F102" si="11">O82</f>
        <v>28.974545454545456</v>
      </c>
      <c r="G82" s="19">
        <f t="shared" ref="G82:G102" si="12">E82*F82</f>
        <v>0</v>
      </c>
      <c r="H82" s="19">
        <f t="shared" ref="H82:H145" si="13">G82*(1+J82)</f>
        <v>0</v>
      </c>
      <c r="I82" s="114" t="s">
        <v>1521</v>
      </c>
      <c r="J82" s="210">
        <f>VLOOKUP(I82,'Reajuste Atual'!$L$19:$M$25,2,FALSE)</f>
        <v>3.1053999999999999</v>
      </c>
      <c r="K82" s="190"/>
      <c r="L82" s="765">
        <v>39.840000000000003</v>
      </c>
      <c r="M82" s="765">
        <f t="shared" si="4"/>
        <v>28.457142857142863</v>
      </c>
      <c r="N82" s="765">
        <f t="shared" si="5"/>
        <v>28.974545454545456</v>
      </c>
      <c r="O82" s="765">
        <f t="shared" si="6"/>
        <v>28.974545454545456</v>
      </c>
    </row>
    <row r="83" spans="1:15" s="98" customFormat="1" outlineLevel="1">
      <c r="A83" s="141" t="s">
        <v>3483</v>
      </c>
      <c r="B83" s="175" t="s">
        <v>1264</v>
      </c>
      <c r="C83" s="100" t="s">
        <v>2620</v>
      </c>
      <c r="D83" s="183" t="s">
        <v>1468</v>
      </c>
      <c r="E83" s="20">
        <v>0</v>
      </c>
      <c r="F83" s="20">
        <f t="shared" si="11"/>
        <v>49.425454545454542</v>
      </c>
      <c r="G83" s="19">
        <f t="shared" si="12"/>
        <v>0</v>
      </c>
      <c r="H83" s="19">
        <f t="shared" si="13"/>
        <v>0</v>
      </c>
      <c r="I83" s="114" t="s">
        <v>1521</v>
      </c>
      <c r="J83" s="210">
        <f>VLOOKUP(I83,'Reajuste Atual'!$L$19:$M$25,2,FALSE)</f>
        <v>3.1053999999999999</v>
      </c>
      <c r="K83" s="190"/>
      <c r="L83" s="765">
        <v>67.959999999999994</v>
      </c>
      <c r="M83" s="765">
        <f t="shared" si="4"/>
        <v>48.542857142857144</v>
      </c>
      <c r="N83" s="765">
        <f t="shared" si="5"/>
        <v>49.425454545454542</v>
      </c>
      <c r="O83" s="765">
        <f t="shared" si="6"/>
        <v>49.425454545454542</v>
      </c>
    </row>
    <row r="84" spans="1:15" s="98" customFormat="1" outlineLevel="1">
      <c r="A84" s="141" t="s">
        <v>3483</v>
      </c>
      <c r="B84" s="175" t="s">
        <v>1265</v>
      </c>
      <c r="C84" s="100" t="s">
        <v>2621</v>
      </c>
      <c r="D84" s="183" t="s">
        <v>1468</v>
      </c>
      <c r="E84" s="20">
        <v>0</v>
      </c>
      <c r="F84" s="20">
        <f t="shared" si="11"/>
        <v>0</v>
      </c>
      <c r="G84" s="19">
        <f t="shared" si="12"/>
        <v>0</v>
      </c>
      <c r="H84" s="19">
        <f t="shared" si="13"/>
        <v>0</v>
      </c>
      <c r="I84" s="114" t="s">
        <v>1521</v>
      </c>
      <c r="J84" s="210">
        <f>VLOOKUP(I84,'Reajuste Atual'!$L$19:$M$25,2,FALSE)</f>
        <v>3.1053999999999999</v>
      </c>
      <c r="K84" s="190"/>
      <c r="L84" s="765">
        <v>0</v>
      </c>
      <c r="M84" s="765">
        <f t="shared" si="4"/>
        <v>0</v>
      </c>
      <c r="N84" s="765">
        <f t="shared" si="5"/>
        <v>0</v>
      </c>
      <c r="O84" s="765">
        <f t="shared" si="6"/>
        <v>0</v>
      </c>
    </row>
    <row r="85" spans="1:15" s="98" customFormat="1" outlineLevel="1">
      <c r="A85" s="141" t="s">
        <v>3483</v>
      </c>
      <c r="B85" s="175" t="s">
        <v>1266</v>
      </c>
      <c r="C85" s="100" t="s">
        <v>2622</v>
      </c>
      <c r="D85" s="183" t="s">
        <v>1468</v>
      </c>
      <c r="E85" s="20">
        <v>0</v>
      </c>
      <c r="F85" s="20">
        <f t="shared" si="11"/>
        <v>61.549090909090907</v>
      </c>
      <c r="G85" s="19">
        <f t="shared" si="12"/>
        <v>0</v>
      </c>
      <c r="H85" s="19">
        <f t="shared" si="13"/>
        <v>0</v>
      </c>
      <c r="I85" s="114" t="s">
        <v>1521</v>
      </c>
      <c r="J85" s="210">
        <f>VLOOKUP(I85,'Reajuste Atual'!$L$19:$M$25,2,FALSE)</f>
        <v>3.1053999999999999</v>
      </c>
      <c r="K85" s="190"/>
      <c r="L85" s="765">
        <v>84.63</v>
      </c>
      <c r="M85" s="765">
        <f t="shared" si="4"/>
        <v>60.45</v>
      </c>
      <c r="N85" s="765">
        <f t="shared" si="5"/>
        <v>61.549090909090907</v>
      </c>
      <c r="O85" s="765">
        <f t="shared" si="6"/>
        <v>61.549090909090907</v>
      </c>
    </row>
    <row r="86" spans="1:15" s="98" customFormat="1" outlineLevel="1">
      <c r="A86" s="141" t="s">
        <v>3483</v>
      </c>
      <c r="B86" s="175" t="s">
        <v>1267</v>
      </c>
      <c r="C86" s="100" t="s">
        <v>2623</v>
      </c>
      <c r="D86" s="183" t="s">
        <v>1468</v>
      </c>
      <c r="E86" s="20">
        <v>0</v>
      </c>
      <c r="F86" s="20">
        <f t="shared" si="11"/>
        <v>59.774545454545454</v>
      </c>
      <c r="G86" s="19">
        <f t="shared" si="12"/>
        <v>0</v>
      </c>
      <c r="H86" s="19">
        <f t="shared" si="13"/>
        <v>0</v>
      </c>
      <c r="I86" s="114" t="s">
        <v>1521</v>
      </c>
      <c r="J86" s="210">
        <f>VLOOKUP(I86,'Reajuste Atual'!$L$19:$M$25,2,FALSE)</f>
        <v>3.1053999999999999</v>
      </c>
      <c r="K86" s="190"/>
      <c r="L86" s="765">
        <v>82.19</v>
      </c>
      <c r="M86" s="765">
        <f t="shared" si="4"/>
        <v>58.707142857142863</v>
      </c>
      <c r="N86" s="765">
        <f t="shared" si="5"/>
        <v>59.774545454545454</v>
      </c>
      <c r="O86" s="765">
        <f t="shared" si="6"/>
        <v>59.774545454545454</v>
      </c>
    </row>
    <row r="87" spans="1:15" s="98" customFormat="1" outlineLevel="1">
      <c r="A87" s="141" t="s">
        <v>3483</v>
      </c>
      <c r="B87" s="175" t="s">
        <v>1268</v>
      </c>
      <c r="C87" s="100" t="s">
        <v>2624</v>
      </c>
      <c r="D87" s="183" t="s">
        <v>1468</v>
      </c>
      <c r="E87" s="20">
        <v>0</v>
      </c>
      <c r="F87" s="20">
        <f t="shared" si="11"/>
        <v>31.265454545454546</v>
      </c>
      <c r="G87" s="19">
        <f t="shared" si="12"/>
        <v>0</v>
      </c>
      <c r="H87" s="19">
        <f t="shared" si="13"/>
        <v>0</v>
      </c>
      <c r="I87" s="114" t="s">
        <v>1521</v>
      </c>
      <c r="J87" s="210">
        <f>VLOOKUP(I87,'Reajuste Atual'!$L$19:$M$25,2,FALSE)</f>
        <v>3.1053999999999999</v>
      </c>
      <c r="K87" s="190"/>
      <c r="L87" s="765">
        <v>42.99</v>
      </c>
      <c r="M87" s="765">
        <f t="shared" si="4"/>
        <v>30.707142857142859</v>
      </c>
      <c r="N87" s="765">
        <f t="shared" si="5"/>
        <v>31.265454545454546</v>
      </c>
      <c r="O87" s="765">
        <f t="shared" si="6"/>
        <v>31.265454545454546</v>
      </c>
    </row>
    <row r="88" spans="1:15" s="98" customFormat="1" outlineLevel="1">
      <c r="A88" s="141" t="s">
        <v>3483</v>
      </c>
      <c r="B88" s="175" t="s">
        <v>1269</v>
      </c>
      <c r="C88" s="100" t="s">
        <v>2625</v>
      </c>
      <c r="D88" s="183" t="s">
        <v>1468</v>
      </c>
      <c r="E88" s="20">
        <v>0</v>
      </c>
      <c r="F88" s="20">
        <f t="shared" si="11"/>
        <v>8.2690909090909077</v>
      </c>
      <c r="G88" s="19">
        <f t="shared" si="12"/>
        <v>0</v>
      </c>
      <c r="H88" s="19">
        <f t="shared" si="13"/>
        <v>0</v>
      </c>
      <c r="I88" s="114" t="s">
        <v>1521</v>
      </c>
      <c r="J88" s="210">
        <f>VLOOKUP(I88,'Reajuste Atual'!$L$19:$M$25,2,FALSE)</f>
        <v>3.1053999999999999</v>
      </c>
      <c r="K88" s="190"/>
      <c r="L88" s="765">
        <v>11.37</v>
      </c>
      <c r="M88" s="765">
        <f t="shared" si="4"/>
        <v>8.1214285714285719</v>
      </c>
      <c r="N88" s="765">
        <f t="shared" si="5"/>
        <v>8.2690909090909077</v>
      </c>
      <c r="O88" s="765">
        <f t="shared" si="6"/>
        <v>8.2690909090909077</v>
      </c>
    </row>
    <row r="89" spans="1:15" s="98" customFormat="1" outlineLevel="1">
      <c r="A89" s="141" t="s">
        <v>3483</v>
      </c>
      <c r="B89" s="175" t="s">
        <v>1270</v>
      </c>
      <c r="C89" s="100" t="s">
        <v>2626</v>
      </c>
      <c r="D89" s="183" t="s">
        <v>1468</v>
      </c>
      <c r="E89" s="20">
        <v>0</v>
      </c>
      <c r="F89" s="20">
        <f t="shared" si="11"/>
        <v>33.141818181818181</v>
      </c>
      <c r="G89" s="19">
        <f t="shared" si="12"/>
        <v>0</v>
      </c>
      <c r="H89" s="19">
        <f t="shared" si="13"/>
        <v>0</v>
      </c>
      <c r="I89" s="114" t="s">
        <v>1521</v>
      </c>
      <c r="J89" s="210">
        <f>VLOOKUP(I89,'Reajuste Atual'!$L$19:$M$25,2,FALSE)</f>
        <v>3.1053999999999999</v>
      </c>
      <c r="K89" s="190"/>
      <c r="L89" s="765">
        <v>45.57</v>
      </c>
      <c r="M89" s="765">
        <f t="shared" si="4"/>
        <v>32.550000000000004</v>
      </c>
      <c r="N89" s="765">
        <f t="shared" si="5"/>
        <v>33.141818181818181</v>
      </c>
      <c r="O89" s="765">
        <f t="shared" si="6"/>
        <v>33.141818181818181</v>
      </c>
    </row>
    <row r="90" spans="1:15" s="98" customFormat="1" outlineLevel="1">
      <c r="A90" s="141" t="s">
        <v>3483</v>
      </c>
      <c r="B90" s="175" t="s">
        <v>1271</v>
      </c>
      <c r="C90" s="100" t="s">
        <v>2627</v>
      </c>
      <c r="D90" s="183" t="s">
        <v>1468</v>
      </c>
      <c r="E90" s="20">
        <v>0</v>
      </c>
      <c r="F90" s="20">
        <f t="shared" si="11"/>
        <v>28.414545454545454</v>
      </c>
      <c r="G90" s="19">
        <f t="shared" si="12"/>
        <v>0</v>
      </c>
      <c r="H90" s="19">
        <f t="shared" si="13"/>
        <v>0</v>
      </c>
      <c r="I90" s="114" t="s">
        <v>1521</v>
      </c>
      <c r="J90" s="210">
        <f>VLOOKUP(I90,'Reajuste Atual'!$L$19:$M$25,2,FALSE)</f>
        <v>3.1053999999999999</v>
      </c>
      <c r="K90" s="190"/>
      <c r="L90" s="765">
        <v>39.07</v>
      </c>
      <c r="M90" s="765">
        <f t="shared" ref="M90:M153" si="14">L90/($M$23+1)</f>
        <v>27.907142857142858</v>
      </c>
      <c r="N90" s="765">
        <f t="shared" ref="N90:N153" si="15">L90/($N$23+1)</f>
        <v>28.414545454545454</v>
      </c>
      <c r="O90" s="765">
        <f t="shared" ref="O90:O153" si="16">IF(A90="S",M90,N90)</f>
        <v>28.414545454545454</v>
      </c>
    </row>
    <row r="91" spans="1:15" s="98" customFormat="1" outlineLevel="1">
      <c r="A91" s="141" t="s">
        <v>3483</v>
      </c>
      <c r="B91" s="175" t="s">
        <v>1272</v>
      </c>
      <c r="C91" s="100" t="s">
        <v>2628</v>
      </c>
      <c r="D91" s="183" t="s">
        <v>1468</v>
      </c>
      <c r="E91" s="20">
        <v>0</v>
      </c>
      <c r="F91" s="20">
        <f t="shared" si="11"/>
        <v>16.058181818181819</v>
      </c>
      <c r="G91" s="19">
        <f t="shared" si="12"/>
        <v>0</v>
      </c>
      <c r="H91" s="19">
        <f t="shared" si="13"/>
        <v>0</v>
      </c>
      <c r="I91" s="114" t="s">
        <v>1521</v>
      </c>
      <c r="J91" s="210">
        <f>VLOOKUP(I91,'Reajuste Atual'!$L$19:$M$25,2,FALSE)</f>
        <v>3.1053999999999999</v>
      </c>
      <c r="K91" s="190"/>
      <c r="L91" s="765">
        <v>22.08</v>
      </c>
      <c r="M91" s="765">
        <f t="shared" si="14"/>
        <v>15.77142857142857</v>
      </c>
      <c r="N91" s="765">
        <f t="shared" si="15"/>
        <v>16.058181818181819</v>
      </c>
      <c r="O91" s="765">
        <f t="shared" si="16"/>
        <v>16.058181818181819</v>
      </c>
    </row>
    <row r="92" spans="1:15" s="98" customFormat="1" outlineLevel="1">
      <c r="A92" s="141" t="s">
        <v>3483</v>
      </c>
      <c r="B92" s="175" t="s">
        <v>1273</v>
      </c>
      <c r="C92" s="100" t="s">
        <v>2629</v>
      </c>
      <c r="D92" s="183" t="s">
        <v>1468</v>
      </c>
      <c r="E92" s="20">
        <v>0</v>
      </c>
      <c r="F92" s="20">
        <f t="shared" si="11"/>
        <v>9.2218181818181808</v>
      </c>
      <c r="G92" s="19">
        <f t="shared" si="12"/>
        <v>0</v>
      </c>
      <c r="H92" s="19">
        <f t="shared" si="13"/>
        <v>0</v>
      </c>
      <c r="I92" s="114" t="s">
        <v>1521</v>
      </c>
      <c r="J92" s="210">
        <f>VLOOKUP(I92,'Reajuste Atual'!$L$19:$M$25,2,FALSE)</f>
        <v>3.1053999999999999</v>
      </c>
      <c r="K92" s="190"/>
      <c r="L92" s="765">
        <v>12.68</v>
      </c>
      <c r="M92" s="765">
        <f t="shared" si="14"/>
        <v>9.0571428571428569</v>
      </c>
      <c r="N92" s="765">
        <f t="shared" si="15"/>
        <v>9.2218181818181808</v>
      </c>
      <c r="O92" s="765">
        <f t="shared" si="16"/>
        <v>9.2218181818181808</v>
      </c>
    </row>
    <row r="93" spans="1:15" s="98" customFormat="1" outlineLevel="1">
      <c r="A93" s="141" t="s">
        <v>3483</v>
      </c>
      <c r="B93" s="175" t="s">
        <v>1274</v>
      </c>
      <c r="C93" s="100" t="s">
        <v>2630</v>
      </c>
      <c r="D93" s="183" t="s">
        <v>1468</v>
      </c>
      <c r="E93" s="20">
        <v>0</v>
      </c>
      <c r="F93" s="20">
        <f t="shared" si="11"/>
        <v>7.0981818181818177</v>
      </c>
      <c r="G93" s="19">
        <f t="shared" si="12"/>
        <v>0</v>
      </c>
      <c r="H93" s="19">
        <f t="shared" si="13"/>
        <v>0</v>
      </c>
      <c r="I93" s="114" t="s">
        <v>1521</v>
      </c>
      <c r="J93" s="210">
        <f>VLOOKUP(I93,'Reajuste Atual'!$L$19:$M$25,2,FALSE)</f>
        <v>3.1053999999999999</v>
      </c>
      <c r="K93" s="190"/>
      <c r="L93" s="765">
        <v>9.76</v>
      </c>
      <c r="M93" s="765">
        <f t="shared" si="14"/>
        <v>6.9714285714285715</v>
      </c>
      <c r="N93" s="765">
        <f t="shared" si="15"/>
        <v>7.0981818181818177</v>
      </c>
      <c r="O93" s="765">
        <f t="shared" si="16"/>
        <v>7.0981818181818177</v>
      </c>
    </row>
    <row r="94" spans="1:15" s="98" customFormat="1" outlineLevel="1">
      <c r="A94" s="141" t="s">
        <v>3483</v>
      </c>
      <c r="B94" s="175" t="s">
        <v>1275</v>
      </c>
      <c r="C94" s="100" t="s">
        <v>2631</v>
      </c>
      <c r="D94" s="183" t="s">
        <v>1468</v>
      </c>
      <c r="E94" s="20">
        <v>0</v>
      </c>
      <c r="F94" s="20">
        <f t="shared" si="11"/>
        <v>5.1054545454545455</v>
      </c>
      <c r="G94" s="19">
        <f t="shared" si="12"/>
        <v>0</v>
      </c>
      <c r="H94" s="19">
        <f t="shared" si="13"/>
        <v>0</v>
      </c>
      <c r="I94" s="114" t="s">
        <v>1521</v>
      </c>
      <c r="J94" s="210">
        <f>VLOOKUP(I94,'Reajuste Atual'!$L$19:$M$25,2,FALSE)</f>
        <v>3.1053999999999999</v>
      </c>
      <c r="K94" s="190"/>
      <c r="L94" s="765">
        <v>7.02</v>
      </c>
      <c r="M94" s="765">
        <f t="shared" si="14"/>
        <v>5.0142857142857142</v>
      </c>
      <c r="N94" s="765">
        <f t="shared" si="15"/>
        <v>5.1054545454545455</v>
      </c>
      <c r="O94" s="765">
        <f t="shared" si="16"/>
        <v>5.1054545454545455</v>
      </c>
    </row>
    <row r="95" spans="1:15" s="98" customFormat="1" outlineLevel="1">
      <c r="A95" s="141" t="s">
        <v>3483</v>
      </c>
      <c r="B95" s="175" t="s">
        <v>1276</v>
      </c>
      <c r="C95" s="100" t="s">
        <v>2632</v>
      </c>
      <c r="D95" s="183" t="s">
        <v>1468</v>
      </c>
      <c r="E95" s="20">
        <v>0</v>
      </c>
      <c r="F95" s="20">
        <f t="shared" si="11"/>
        <v>6.2690909090909086</v>
      </c>
      <c r="G95" s="19">
        <f t="shared" si="12"/>
        <v>0</v>
      </c>
      <c r="H95" s="19">
        <f t="shared" si="13"/>
        <v>0</v>
      </c>
      <c r="I95" s="114" t="s">
        <v>1521</v>
      </c>
      <c r="J95" s="210">
        <f>VLOOKUP(I95,'Reajuste Atual'!$L$19:$M$25,2,FALSE)</f>
        <v>3.1053999999999999</v>
      </c>
      <c r="K95" s="190"/>
      <c r="L95" s="765">
        <v>8.6199999999999992</v>
      </c>
      <c r="M95" s="765">
        <f t="shared" si="14"/>
        <v>6.1571428571428566</v>
      </c>
      <c r="N95" s="765">
        <f t="shared" si="15"/>
        <v>6.2690909090909086</v>
      </c>
      <c r="O95" s="765">
        <f t="shared" si="16"/>
        <v>6.2690909090909086</v>
      </c>
    </row>
    <row r="96" spans="1:15" s="98" customFormat="1" outlineLevel="1">
      <c r="A96" s="141" t="s">
        <v>3483</v>
      </c>
      <c r="B96" s="175" t="s">
        <v>1277</v>
      </c>
      <c r="C96" s="100" t="s">
        <v>2633</v>
      </c>
      <c r="D96" s="183" t="s">
        <v>1468</v>
      </c>
      <c r="E96" s="20">
        <v>0</v>
      </c>
      <c r="F96" s="20">
        <f t="shared" si="11"/>
        <v>1.1200000000000001</v>
      </c>
      <c r="G96" s="19">
        <f t="shared" si="12"/>
        <v>0</v>
      </c>
      <c r="H96" s="19">
        <f t="shared" si="13"/>
        <v>0</v>
      </c>
      <c r="I96" s="114" t="s">
        <v>1521</v>
      </c>
      <c r="J96" s="210">
        <f>VLOOKUP(I96,'Reajuste Atual'!$L$19:$M$25,2,FALSE)</f>
        <v>3.1053999999999999</v>
      </c>
      <c r="K96" s="190"/>
      <c r="L96" s="765">
        <v>1.54</v>
      </c>
      <c r="M96" s="765">
        <f t="shared" si="14"/>
        <v>1.1000000000000001</v>
      </c>
      <c r="N96" s="765">
        <f t="shared" si="15"/>
        <v>1.1200000000000001</v>
      </c>
      <c r="O96" s="765">
        <f t="shared" si="16"/>
        <v>1.1200000000000001</v>
      </c>
    </row>
    <row r="97" spans="1:15" s="98" customFormat="1" outlineLevel="1">
      <c r="A97" s="141" t="s">
        <v>3483</v>
      </c>
      <c r="B97" s="175" t="s">
        <v>1278</v>
      </c>
      <c r="C97" s="100" t="s">
        <v>2634</v>
      </c>
      <c r="D97" s="183" t="s">
        <v>1468</v>
      </c>
      <c r="E97" s="20">
        <v>0</v>
      </c>
      <c r="F97" s="20">
        <f t="shared" si="11"/>
        <v>2.0218181818181815</v>
      </c>
      <c r="G97" s="19">
        <f t="shared" si="12"/>
        <v>0</v>
      </c>
      <c r="H97" s="19">
        <f t="shared" si="13"/>
        <v>0</v>
      </c>
      <c r="I97" s="114" t="s">
        <v>1521</v>
      </c>
      <c r="J97" s="210">
        <f>VLOOKUP(I97,'Reajuste Atual'!$L$19:$M$25,2,FALSE)</f>
        <v>3.1053999999999999</v>
      </c>
      <c r="K97" s="190"/>
      <c r="L97" s="765">
        <v>2.78</v>
      </c>
      <c r="M97" s="765">
        <f t="shared" si="14"/>
        <v>1.9857142857142858</v>
      </c>
      <c r="N97" s="765">
        <f t="shared" si="15"/>
        <v>2.0218181818181815</v>
      </c>
      <c r="O97" s="765">
        <f t="shared" si="16"/>
        <v>2.0218181818181815</v>
      </c>
    </row>
    <row r="98" spans="1:15" s="98" customFormat="1" outlineLevel="1">
      <c r="A98" s="141" t="s">
        <v>3483</v>
      </c>
      <c r="B98" s="175" t="s">
        <v>1279</v>
      </c>
      <c r="C98" s="100" t="s">
        <v>2635</v>
      </c>
      <c r="D98" s="183" t="s">
        <v>1468</v>
      </c>
      <c r="E98" s="20">
        <v>0</v>
      </c>
      <c r="F98" s="20">
        <f t="shared" si="11"/>
        <v>4.5163636363636366</v>
      </c>
      <c r="G98" s="19">
        <f t="shared" si="12"/>
        <v>0</v>
      </c>
      <c r="H98" s="19">
        <f t="shared" si="13"/>
        <v>0</v>
      </c>
      <c r="I98" s="114" t="s">
        <v>1521</v>
      </c>
      <c r="J98" s="210">
        <f>VLOOKUP(I98,'Reajuste Atual'!$L$19:$M$25,2,FALSE)</f>
        <v>3.1053999999999999</v>
      </c>
      <c r="K98" s="190"/>
      <c r="L98" s="765">
        <v>6.21</v>
      </c>
      <c r="M98" s="765">
        <f t="shared" si="14"/>
        <v>4.4357142857142859</v>
      </c>
      <c r="N98" s="765">
        <f t="shared" si="15"/>
        <v>4.5163636363636366</v>
      </c>
      <c r="O98" s="765">
        <f t="shared" si="16"/>
        <v>4.5163636363636366</v>
      </c>
    </row>
    <row r="99" spans="1:15" s="98" customFormat="1" outlineLevel="1">
      <c r="A99" s="141" t="s">
        <v>3483</v>
      </c>
      <c r="B99" s="175" t="s">
        <v>1280</v>
      </c>
      <c r="C99" s="100" t="s">
        <v>2636</v>
      </c>
      <c r="D99" s="183" t="s">
        <v>1468</v>
      </c>
      <c r="E99" s="20">
        <v>0</v>
      </c>
      <c r="F99" s="20">
        <f t="shared" si="11"/>
        <v>8.4363636363636356</v>
      </c>
      <c r="G99" s="19">
        <f t="shared" si="12"/>
        <v>0</v>
      </c>
      <c r="H99" s="19">
        <f t="shared" si="13"/>
        <v>0</v>
      </c>
      <c r="I99" s="114" t="s">
        <v>1521</v>
      </c>
      <c r="J99" s="210">
        <f>VLOOKUP(I99,'Reajuste Atual'!$L$19:$M$25,2,FALSE)</f>
        <v>3.1053999999999999</v>
      </c>
      <c r="K99" s="190"/>
      <c r="L99" s="765">
        <v>11.6</v>
      </c>
      <c r="M99" s="765">
        <f t="shared" si="14"/>
        <v>8.2857142857142865</v>
      </c>
      <c r="N99" s="765">
        <f t="shared" si="15"/>
        <v>8.4363636363636356</v>
      </c>
      <c r="O99" s="765">
        <f t="shared" si="16"/>
        <v>8.4363636363636356</v>
      </c>
    </row>
    <row r="100" spans="1:15" s="98" customFormat="1" outlineLevel="1">
      <c r="A100" s="141" t="s">
        <v>3483</v>
      </c>
      <c r="B100" s="175" t="s">
        <v>1281</v>
      </c>
      <c r="C100" s="100" t="s">
        <v>2637</v>
      </c>
      <c r="D100" s="183" t="s">
        <v>1468</v>
      </c>
      <c r="E100" s="20">
        <v>0</v>
      </c>
      <c r="F100" s="20">
        <f t="shared" si="11"/>
        <v>11.156363636363636</v>
      </c>
      <c r="G100" s="19">
        <f t="shared" si="12"/>
        <v>0</v>
      </c>
      <c r="H100" s="19">
        <f t="shared" si="13"/>
        <v>0</v>
      </c>
      <c r="I100" s="114" t="s">
        <v>1521</v>
      </c>
      <c r="J100" s="210">
        <f>VLOOKUP(I100,'Reajuste Atual'!$L$19:$M$25,2,FALSE)</f>
        <v>3.1053999999999999</v>
      </c>
      <c r="K100" s="190"/>
      <c r="L100" s="765">
        <v>15.34</v>
      </c>
      <c r="M100" s="765">
        <f t="shared" si="14"/>
        <v>10.957142857142857</v>
      </c>
      <c r="N100" s="765">
        <f t="shared" si="15"/>
        <v>11.156363636363636</v>
      </c>
      <c r="O100" s="765">
        <f t="shared" si="16"/>
        <v>11.156363636363636</v>
      </c>
    </row>
    <row r="101" spans="1:15" s="98" customFormat="1" outlineLevel="1">
      <c r="A101" s="141" t="s">
        <v>3483</v>
      </c>
      <c r="B101" s="175" t="s">
        <v>1282</v>
      </c>
      <c r="C101" s="100" t="s">
        <v>2638</v>
      </c>
      <c r="D101" s="183" t="s">
        <v>1468</v>
      </c>
      <c r="E101" s="20">
        <v>0</v>
      </c>
      <c r="F101" s="20">
        <f t="shared" si="11"/>
        <v>17.17818181818182</v>
      </c>
      <c r="G101" s="19">
        <f t="shared" si="12"/>
        <v>0</v>
      </c>
      <c r="H101" s="19">
        <f t="shared" si="13"/>
        <v>0</v>
      </c>
      <c r="I101" s="114" t="s">
        <v>1521</v>
      </c>
      <c r="J101" s="210">
        <f>VLOOKUP(I101,'Reajuste Atual'!$L$19:$M$25,2,FALSE)</f>
        <v>3.1053999999999999</v>
      </c>
      <c r="K101" s="190"/>
      <c r="L101" s="765">
        <v>23.62</v>
      </c>
      <c r="M101" s="765">
        <f t="shared" si="14"/>
        <v>16.871428571428574</v>
      </c>
      <c r="N101" s="765">
        <f t="shared" si="15"/>
        <v>17.17818181818182</v>
      </c>
      <c r="O101" s="765">
        <f t="shared" si="16"/>
        <v>17.17818181818182</v>
      </c>
    </row>
    <row r="102" spans="1:15" s="98" customFormat="1" outlineLevel="1">
      <c r="A102" s="141" t="s">
        <v>3483</v>
      </c>
      <c r="B102" s="175" t="s">
        <v>1283</v>
      </c>
      <c r="C102" s="100" t="s">
        <v>2639</v>
      </c>
      <c r="D102" s="183" t="s">
        <v>1468</v>
      </c>
      <c r="E102" s="20">
        <v>0</v>
      </c>
      <c r="F102" s="20">
        <f t="shared" si="11"/>
        <v>3.4181818181818184</v>
      </c>
      <c r="G102" s="19">
        <f t="shared" si="12"/>
        <v>0</v>
      </c>
      <c r="H102" s="19">
        <f t="shared" si="13"/>
        <v>0</v>
      </c>
      <c r="I102" s="114" t="s">
        <v>1521</v>
      </c>
      <c r="J102" s="210">
        <f>VLOOKUP(I102,'Reajuste Atual'!$L$19:$M$25,2,FALSE)</f>
        <v>3.1053999999999999</v>
      </c>
      <c r="K102" s="192"/>
      <c r="L102" s="765">
        <v>4.7</v>
      </c>
      <c r="M102" s="765">
        <f t="shared" si="14"/>
        <v>3.3571428571428577</v>
      </c>
      <c r="N102" s="765">
        <f t="shared" si="15"/>
        <v>3.4181818181818184</v>
      </c>
      <c r="O102" s="765">
        <f t="shared" si="16"/>
        <v>3.4181818181818184</v>
      </c>
    </row>
    <row r="103" spans="1:15" s="98" customFormat="1" outlineLevel="1">
      <c r="B103" s="179" t="s">
        <v>1284</v>
      </c>
      <c r="C103" s="104" t="s">
        <v>1447</v>
      </c>
      <c r="D103" s="82"/>
      <c r="E103" s="82"/>
      <c r="F103" s="82"/>
      <c r="G103" s="83">
        <f>SUM(G104:G115)</f>
        <v>1733301.8916363637</v>
      </c>
      <c r="H103" s="83">
        <f>SUM(H104:H115)</f>
        <v>7115897.5859239269</v>
      </c>
      <c r="I103" s="112">
        <v>0</v>
      </c>
      <c r="J103" s="84"/>
      <c r="K103" s="190"/>
      <c r="L103" s="765"/>
      <c r="M103" s="765">
        <f t="shared" si="14"/>
        <v>0</v>
      </c>
      <c r="N103" s="765">
        <f t="shared" si="15"/>
        <v>0</v>
      </c>
      <c r="O103" s="765">
        <f t="shared" si="16"/>
        <v>0</v>
      </c>
    </row>
    <row r="104" spans="1:15" s="98" customFormat="1" outlineLevel="1">
      <c r="A104" s="141" t="s">
        <v>3483</v>
      </c>
      <c r="B104" s="175" t="s">
        <v>1285</v>
      </c>
      <c r="C104" s="100" t="s">
        <v>2640</v>
      </c>
      <c r="D104" s="183" t="s">
        <v>1468</v>
      </c>
      <c r="E104" s="20">
        <v>0</v>
      </c>
      <c r="F104" s="20">
        <f t="shared" ref="F104:F115" si="17">O104</f>
        <v>0.51636363636363636</v>
      </c>
      <c r="G104" s="19">
        <f t="shared" ref="G104:G115" si="18">E104*F104</f>
        <v>0</v>
      </c>
      <c r="H104" s="19">
        <f t="shared" si="13"/>
        <v>0</v>
      </c>
      <c r="I104" s="114" t="s">
        <v>1521</v>
      </c>
      <c r="J104" s="210">
        <f>VLOOKUP(I104,'Reajuste Atual'!$L$19:$M$25,2,FALSE)</f>
        <v>3.1053999999999999</v>
      </c>
      <c r="K104" s="190"/>
      <c r="L104" s="765">
        <v>0.71</v>
      </c>
      <c r="M104" s="765">
        <f t="shared" si="14"/>
        <v>0.50714285714285712</v>
      </c>
      <c r="N104" s="765">
        <f t="shared" si="15"/>
        <v>0.51636363636363636</v>
      </c>
      <c r="O104" s="765">
        <f t="shared" si="16"/>
        <v>0.51636363636363636</v>
      </c>
    </row>
    <row r="105" spans="1:15" s="98" customFormat="1" outlineLevel="1">
      <c r="A105" s="141" t="s">
        <v>3483</v>
      </c>
      <c r="B105" s="175" t="s">
        <v>1286</v>
      </c>
      <c r="C105" s="100" t="s">
        <v>2641</v>
      </c>
      <c r="D105" s="183" t="s">
        <v>1468</v>
      </c>
      <c r="E105" s="20">
        <v>0</v>
      </c>
      <c r="F105" s="20">
        <f t="shared" si="17"/>
        <v>0.66909090909090907</v>
      </c>
      <c r="G105" s="19">
        <f t="shared" si="18"/>
        <v>0</v>
      </c>
      <c r="H105" s="19">
        <f t="shared" si="13"/>
        <v>0</v>
      </c>
      <c r="I105" s="114" t="s">
        <v>1521</v>
      </c>
      <c r="J105" s="210">
        <f>VLOOKUP(I105,'Reajuste Atual'!$L$19:$M$25,2,FALSE)</f>
        <v>3.1053999999999999</v>
      </c>
      <c r="K105" s="190"/>
      <c r="L105" s="765">
        <v>0.92</v>
      </c>
      <c r="M105" s="765">
        <f t="shared" si="14"/>
        <v>0.65714285714285725</v>
      </c>
      <c r="N105" s="765">
        <f t="shared" si="15"/>
        <v>0.66909090909090907</v>
      </c>
      <c r="O105" s="765">
        <f t="shared" si="16"/>
        <v>0.66909090909090907</v>
      </c>
    </row>
    <row r="106" spans="1:15" s="98" customFormat="1" outlineLevel="1">
      <c r="A106" s="141" t="s">
        <v>3483</v>
      </c>
      <c r="B106" s="175" t="s">
        <v>1287</v>
      </c>
      <c r="C106" s="100" t="s">
        <v>2642</v>
      </c>
      <c r="D106" s="183" t="s">
        <v>1468</v>
      </c>
      <c r="E106" s="20">
        <v>0</v>
      </c>
      <c r="F106" s="20">
        <f t="shared" si="17"/>
        <v>2.3490909090909091</v>
      </c>
      <c r="G106" s="19">
        <f t="shared" si="18"/>
        <v>0</v>
      </c>
      <c r="H106" s="19">
        <f t="shared" si="13"/>
        <v>0</v>
      </c>
      <c r="I106" s="114" t="s">
        <v>1521</v>
      </c>
      <c r="J106" s="210">
        <f>VLOOKUP(I106,'Reajuste Atual'!$L$19:$M$25,2,FALSE)</f>
        <v>3.1053999999999999</v>
      </c>
      <c r="K106" s="190"/>
      <c r="L106" s="765">
        <v>3.23</v>
      </c>
      <c r="M106" s="765">
        <f t="shared" si="14"/>
        <v>2.3071428571428574</v>
      </c>
      <c r="N106" s="765">
        <f t="shared" si="15"/>
        <v>2.3490909090909091</v>
      </c>
      <c r="O106" s="765">
        <f t="shared" si="16"/>
        <v>2.3490909090909091</v>
      </c>
    </row>
    <row r="107" spans="1:15" s="98" customFormat="1" outlineLevel="1">
      <c r="A107" s="141" t="s">
        <v>3483</v>
      </c>
      <c r="B107" s="175" t="s">
        <v>1288</v>
      </c>
      <c r="C107" s="100" t="s">
        <v>2643</v>
      </c>
      <c r="D107" s="99" t="s">
        <v>1481</v>
      </c>
      <c r="E107" s="491">
        <v>2933.4</v>
      </c>
      <c r="F107" s="20">
        <f t="shared" si="17"/>
        <v>330.23272727272729</v>
      </c>
      <c r="G107" s="19">
        <f t="shared" si="18"/>
        <v>968704.68218181829</v>
      </c>
      <c r="H107" s="19">
        <f t="shared" si="13"/>
        <v>3976920.2022292363</v>
      </c>
      <c r="I107" s="114" t="s">
        <v>1521</v>
      </c>
      <c r="J107" s="210">
        <f>VLOOKUP(I107,'Reajuste Atual'!$L$19:$M$25,2,FALSE)</f>
        <v>3.1053999999999999</v>
      </c>
      <c r="K107" s="190"/>
      <c r="L107" s="765">
        <v>454.07</v>
      </c>
      <c r="M107" s="765">
        <f t="shared" si="14"/>
        <v>324.33571428571429</v>
      </c>
      <c r="N107" s="765">
        <f t="shared" si="15"/>
        <v>330.23272727272729</v>
      </c>
      <c r="O107" s="765">
        <f t="shared" si="16"/>
        <v>330.23272727272729</v>
      </c>
    </row>
    <row r="108" spans="1:15" s="98" customFormat="1" outlineLevel="1">
      <c r="A108" s="141" t="s">
        <v>3483</v>
      </c>
      <c r="B108" s="175" t="s">
        <v>1289</v>
      </c>
      <c r="C108" s="100" t="s">
        <v>2644</v>
      </c>
      <c r="D108" s="99" t="s">
        <v>1481</v>
      </c>
      <c r="E108" s="491">
        <v>1854.7</v>
      </c>
      <c r="F108" s="20">
        <f t="shared" si="17"/>
        <v>396.28363636363633</v>
      </c>
      <c r="G108" s="19">
        <f t="shared" si="18"/>
        <v>734987.26036363631</v>
      </c>
      <c r="H108" s="19">
        <f t="shared" si="13"/>
        <v>3017416.6986968722</v>
      </c>
      <c r="I108" s="114" t="s">
        <v>1521</v>
      </c>
      <c r="J108" s="210">
        <f>VLOOKUP(I108,'Reajuste Atual'!$L$19:$M$25,2,FALSE)</f>
        <v>3.1053999999999999</v>
      </c>
      <c r="K108" s="190"/>
      <c r="L108" s="765">
        <v>544.89</v>
      </c>
      <c r="M108" s="765">
        <f t="shared" si="14"/>
        <v>389.20714285714286</v>
      </c>
      <c r="N108" s="765">
        <f t="shared" si="15"/>
        <v>396.28363636363633</v>
      </c>
      <c r="O108" s="765">
        <f t="shared" si="16"/>
        <v>396.28363636363633</v>
      </c>
    </row>
    <row r="109" spans="1:15" s="98" customFormat="1" outlineLevel="1">
      <c r="A109" s="141" t="s">
        <v>3483</v>
      </c>
      <c r="B109" s="175" t="s">
        <v>1290</v>
      </c>
      <c r="C109" s="100" t="s">
        <v>2645</v>
      </c>
      <c r="D109" s="183" t="s">
        <v>1468</v>
      </c>
      <c r="E109" s="491">
        <v>0</v>
      </c>
      <c r="F109" s="20">
        <f t="shared" si="17"/>
        <v>1.6727272727272726</v>
      </c>
      <c r="G109" s="19">
        <f t="shared" si="18"/>
        <v>0</v>
      </c>
      <c r="H109" s="19">
        <f t="shared" si="13"/>
        <v>0</v>
      </c>
      <c r="I109" s="114" t="s">
        <v>1521</v>
      </c>
      <c r="J109" s="210">
        <f>VLOOKUP(I109,'Reajuste Atual'!$L$19:$M$25,2,FALSE)</f>
        <v>3.1053999999999999</v>
      </c>
      <c r="K109" s="190"/>
      <c r="L109" s="765">
        <v>2.2999999999999998</v>
      </c>
      <c r="M109" s="765">
        <f t="shared" si="14"/>
        <v>1.6428571428571428</v>
      </c>
      <c r="N109" s="765">
        <f t="shared" si="15"/>
        <v>1.6727272727272726</v>
      </c>
      <c r="O109" s="765">
        <f t="shared" si="16"/>
        <v>1.6727272727272726</v>
      </c>
    </row>
    <row r="110" spans="1:15" s="98" customFormat="1" outlineLevel="1">
      <c r="A110" s="141" t="s">
        <v>3483</v>
      </c>
      <c r="B110" s="175" t="s">
        <v>1291</v>
      </c>
      <c r="C110" s="100" t="s">
        <v>2646</v>
      </c>
      <c r="D110" s="183" t="s">
        <v>1468</v>
      </c>
      <c r="E110" s="491">
        <v>0</v>
      </c>
      <c r="F110" s="20">
        <f t="shared" si="17"/>
        <v>1.6727272727272726</v>
      </c>
      <c r="G110" s="19">
        <f t="shared" si="18"/>
        <v>0</v>
      </c>
      <c r="H110" s="19">
        <f t="shared" si="13"/>
        <v>0</v>
      </c>
      <c r="I110" s="114" t="s">
        <v>1521</v>
      </c>
      <c r="J110" s="210">
        <f>VLOOKUP(I110,'Reajuste Atual'!$L$19:$M$25,2,FALSE)</f>
        <v>3.1053999999999999</v>
      </c>
      <c r="K110" s="190"/>
      <c r="L110" s="765">
        <v>2.2999999999999998</v>
      </c>
      <c r="M110" s="765">
        <f t="shared" si="14"/>
        <v>1.6428571428571428</v>
      </c>
      <c r="N110" s="765">
        <f t="shared" si="15"/>
        <v>1.6727272727272726</v>
      </c>
      <c r="O110" s="765">
        <f t="shared" si="16"/>
        <v>1.6727272727272726</v>
      </c>
    </row>
    <row r="111" spans="1:15" s="98" customFormat="1" outlineLevel="1">
      <c r="A111" s="141" t="s">
        <v>3483</v>
      </c>
      <c r="B111" s="175" t="s">
        <v>1292</v>
      </c>
      <c r="C111" s="100" t="s">
        <v>2647</v>
      </c>
      <c r="D111" s="183" t="s">
        <v>1468</v>
      </c>
      <c r="E111" s="491">
        <v>0</v>
      </c>
      <c r="F111" s="20">
        <f t="shared" si="17"/>
        <v>1.6727272727272726</v>
      </c>
      <c r="G111" s="19">
        <f t="shared" si="18"/>
        <v>0</v>
      </c>
      <c r="H111" s="19">
        <f t="shared" si="13"/>
        <v>0</v>
      </c>
      <c r="I111" s="114" t="s">
        <v>1521</v>
      </c>
      <c r="J111" s="210">
        <f>VLOOKUP(I111,'Reajuste Atual'!$L$19:$M$25,2,FALSE)</f>
        <v>3.1053999999999999</v>
      </c>
      <c r="K111" s="190"/>
      <c r="L111" s="765">
        <v>2.2999999999999998</v>
      </c>
      <c r="M111" s="765">
        <f t="shared" si="14"/>
        <v>1.6428571428571428</v>
      </c>
      <c r="N111" s="765">
        <f t="shared" si="15"/>
        <v>1.6727272727272726</v>
      </c>
      <c r="O111" s="765">
        <f t="shared" si="16"/>
        <v>1.6727272727272726</v>
      </c>
    </row>
    <row r="112" spans="1:15" s="98" customFormat="1" outlineLevel="1">
      <c r="A112" s="141" t="s">
        <v>3483</v>
      </c>
      <c r="B112" s="175" t="s">
        <v>1293</v>
      </c>
      <c r="C112" s="100" t="s">
        <v>2648</v>
      </c>
      <c r="D112" s="183" t="s">
        <v>1468</v>
      </c>
      <c r="E112" s="491">
        <v>0</v>
      </c>
      <c r="F112" s="20">
        <f t="shared" si="17"/>
        <v>1.6727272727272726</v>
      </c>
      <c r="G112" s="19">
        <f t="shared" si="18"/>
        <v>0</v>
      </c>
      <c r="H112" s="19">
        <f t="shared" si="13"/>
        <v>0</v>
      </c>
      <c r="I112" s="114" t="s">
        <v>1521</v>
      </c>
      <c r="J112" s="210">
        <f>VLOOKUP(I112,'Reajuste Atual'!$L$19:$M$25,2,FALSE)</f>
        <v>3.1053999999999999</v>
      </c>
      <c r="K112" s="190"/>
      <c r="L112" s="765">
        <v>2.2999999999999998</v>
      </c>
      <c r="M112" s="765">
        <f t="shared" si="14"/>
        <v>1.6428571428571428</v>
      </c>
      <c r="N112" s="765">
        <f t="shared" si="15"/>
        <v>1.6727272727272726</v>
      </c>
      <c r="O112" s="765">
        <f t="shared" si="16"/>
        <v>1.6727272727272726</v>
      </c>
    </row>
    <row r="113" spans="1:15" s="98" customFormat="1" outlineLevel="1">
      <c r="A113" s="141" t="s">
        <v>3483</v>
      </c>
      <c r="B113" s="175" t="s">
        <v>1294</v>
      </c>
      <c r="C113" s="100" t="s">
        <v>2649</v>
      </c>
      <c r="D113" s="183" t="s">
        <v>1468</v>
      </c>
      <c r="E113" s="491">
        <v>0</v>
      </c>
      <c r="F113" s="20">
        <f t="shared" si="17"/>
        <v>1.6727272727272726</v>
      </c>
      <c r="G113" s="19">
        <f t="shared" si="18"/>
        <v>0</v>
      </c>
      <c r="H113" s="19">
        <f t="shared" si="13"/>
        <v>0</v>
      </c>
      <c r="I113" s="114" t="s">
        <v>1521</v>
      </c>
      <c r="J113" s="210">
        <f>VLOOKUP(I113,'Reajuste Atual'!$L$19:$M$25,2,FALSE)</f>
        <v>3.1053999999999999</v>
      </c>
      <c r="K113" s="190"/>
      <c r="L113" s="765">
        <v>2.2999999999999998</v>
      </c>
      <c r="M113" s="765">
        <f t="shared" si="14"/>
        <v>1.6428571428571428</v>
      </c>
      <c r="N113" s="765">
        <f t="shared" si="15"/>
        <v>1.6727272727272726</v>
      </c>
      <c r="O113" s="765">
        <f t="shared" si="16"/>
        <v>1.6727272727272726</v>
      </c>
    </row>
    <row r="114" spans="1:15" s="98" customFormat="1" outlineLevel="1">
      <c r="A114" s="141" t="s">
        <v>3483</v>
      </c>
      <c r="B114" s="175" t="s">
        <v>1295</v>
      </c>
      <c r="C114" s="100" t="s">
        <v>2650</v>
      </c>
      <c r="D114" s="183" t="s">
        <v>1468</v>
      </c>
      <c r="E114" s="491">
        <v>0</v>
      </c>
      <c r="F114" s="20">
        <f t="shared" si="17"/>
        <v>0.34909090909090906</v>
      </c>
      <c r="G114" s="19">
        <f t="shared" si="18"/>
        <v>0</v>
      </c>
      <c r="H114" s="19">
        <f t="shared" si="13"/>
        <v>0</v>
      </c>
      <c r="I114" s="114" t="s">
        <v>1521</v>
      </c>
      <c r="J114" s="210">
        <f>VLOOKUP(I114,'Reajuste Atual'!$L$19:$M$25,2,FALSE)</f>
        <v>3.1053999999999999</v>
      </c>
      <c r="K114" s="190"/>
      <c r="L114" s="765">
        <v>0.48</v>
      </c>
      <c r="M114" s="765">
        <f t="shared" si="14"/>
        <v>0.34285714285714286</v>
      </c>
      <c r="N114" s="765">
        <f t="shared" si="15"/>
        <v>0.34909090909090906</v>
      </c>
      <c r="O114" s="765">
        <f t="shared" si="16"/>
        <v>0.34909090909090906</v>
      </c>
    </row>
    <row r="115" spans="1:15" s="98" customFormat="1" outlineLevel="1">
      <c r="A115" s="141" t="s">
        <v>3483</v>
      </c>
      <c r="B115" s="175" t="s">
        <v>1296</v>
      </c>
      <c r="C115" s="100" t="s">
        <v>2651</v>
      </c>
      <c r="D115" s="183" t="s">
        <v>1468</v>
      </c>
      <c r="E115" s="491">
        <v>37352</v>
      </c>
      <c r="F115" s="20">
        <f t="shared" si="17"/>
        <v>0.79272727272727284</v>
      </c>
      <c r="G115" s="19">
        <f t="shared" si="18"/>
        <v>29609.949090909096</v>
      </c>
      <c r="H115" s="19">
        <f t="shared" si="13"/>
        <v>121560.68499781819</v>
      </c>
      <c r="I115" s="114" t="s">
        <v>1521</v>
      </c>
      <c r="J115" s="210">
        <f>VLOOKUP(I115,'Reajuste Atual'!$L$19:$M$25,2,FALSE)</f>
        <v>3.1053999999999999</v>
      </c>
      <c r="K115" s="192"/>
      <c r="L115" s="765">
        <v>1.0900000000000001</v>
      </c>
      <c r="M115" s="765">
        <f t="shared" si="14"/>
        <v>0.77857142857142869</v>
      </c>
      <c r="N115" s="765">
        <f t="shared" si="15"/>
        <v>0.79272727272727284</v>
      </c>
      <c r="O115" s="765">
        <f t="shared" si="16"/>
        <v>0.79272727272727284</v>
      </c>
    </row>
    <row r="116" spans="1:15" s="98" customFormat="1" outlineLevel="1">
      <c r="B116" s="179" t="s">
        <v>1297</v>
      </c>
      <c r="C116" s="104" t="s">
        <v>1448</v>
      </c>
      <c r="D116" s="82"/>
      <c r="E116" s="82">
        <v>3666.29</v>
      </c>
      <c r="F116" s="82"/>
      <c r="G116" s="83">
        <f>SUM(G117:G120)</f>
        <v>61064.465454545454</v>
      </c>
      <c r="H116" s="83">
        <f>SUM(H117:H120)</f>
        <v>250694.0564770909</v>
      </c>
      <c r="I116" s="112">
        <v>0</v>
      </c>
      <c r="J116" s="84"/>
      <c r="K116" s="190"/>
      <c r="L116" s="765"/>
      <c r="M116" s="765">
        <f t="shared" si="14"/>
        <v>0</v>
      </c>
      <c r="N116" s="765">
        <f t="shared" si="15"/>
        <v>0</v>
      </c>
      <c r="O116" s="765">
        <f t="shared" si="16"/>
        <v>0</v>
      </c>
    </row>
    <row r="117" spans="1:15" s="98" customFormat="1" outlineLevel="1">
      <c r="A117" s="141" t="s">
        <v>3483</v>
      </c>
      <c r="B117" s="175" t="s">
        <v>1298</v>
      </c>
      <c r="C117" s="100" t="s">
        <v>2652</v>
      </c>
      <c r="D117" s="183" t="s">
        <v>1468</v>
      </c>
      <c r="E117" s="491">
        <v>47052</v>
      </c>
      <c r="F117" s="20">
        <f t="shared" ref="F117:F120" si="19">O117</f>
        <v>0.51636363636363636</v>
      </c>
      <c r="G117" s="19">
        <f>E117*F117</f>
        <v>24295.941818181818</v>
      </c>
      <c r="H117" s="19">
        <f t="shared" si="13"/>
        <v>99744.559540363625</v>
      </c>
      <c r="I117" s="114" t="s">
        <v>1521</v>
      </c>
      <c r="J117" s="210">
        <f>VLOOKUP(I117,'Reajuste Atual'!$L$19:$M$25,2,FALSE)</f>
        <v>3.1053999999999999</v>
      </c>
      <c r="K117" s="190"/>
      <c r="L117" s="765">
        <v>0.71</v>
      </c>
      <c r="M117" s="765">
        <f t="shared" si="14"/>
        <v>0.50714285714285712</v>
      </c>
      <c r="N117" s="765">
        <f t="shared" si="15"/>
        <v>0.51636363636363636</v>
      </c>
      <c r="O117" s="765">
        <f t="shared" si="16"/>
        <v>0.51636363636363636</v>
      </c>
    </row>
    <row r="118" spans="1:15" s="98" customFormat="1" outlineLevel="1">
      <c r="A118" s="141" t="s">
        <v>3483</v>
      </c>
      <c r="B118" s="175" t="s">
        <v>1299</v>
      </c>
      <c r="C118" s="100" t="s">
        <v>2653</v>
      </c>
      <c r="D118" s="183" t="s">
        <v>1468</v>
      </c>
      <c r="E118" s="491">
        <v>47052</v>
      </c>
      <c r="F118" s="20">
        <f t="shared" si="19"/>
        <v>0.51636363636363636</v>
      </c>
      <c r="G118" s="19">
        <f>E118*F118</f>
        <v>24295.941818181818</v>
      </c>
      <c r="H118" s="19">
        <f t="shared" si="13"/>
        <v>99744.559540363625</v>
      </c>
      <c r="I118" s="114" t="s">
        <v>1521</v>
      </c>
      <c r="J118" s="210">
        <f>VLOOKUP(I118,'Reajuste Atual'!$L$19:$M$25,2,FALSE)</f>
        <v>3.1053999999999999</v>
      </c>
      <c r="K118" s="190"/>
      <c r="L118" s="765">
        <v>0.71</v>
      </c>
      <c r="M118" s="765">
        <f t="shared" si="14"/>
        <v>0.50714285714285712</v>
      </c>
      <c r="N118" s="765">
        <f t="shared" si="15"/>
        <v>0.51636363636363636</v>
      </c>
      <c r="O118" s="765">
        <f t="shared" si="16"/>
        <v>0.51636363636363636</v>
      </c>
    </row>
    <row r="119" spans="1:15" s="98" customFormat="1" outlineLevel="1">
      <c r="A119" s="141" t="s">
        <v>3483</v>
      </c>
      <c r="B119" s="175" t="s">
        <v>1300</v>
      </c>
      <c r="C119" s="100" t="s">
        <v>2654</v>
      </c>
      <c r="D119" s="99" t="s">
        <v>1471</v>
      </c>
      <c r="E119" s="491">
        <v>2020</v>
      </c>
      <c r="F119" s="20">
        <f t="shared" si="19"/>
        <v>6.1745454545454548</v>
      </c>
      <c r="G119" s="19">
        <f>E119*F119</f>
        <v>12472.581818181819</v>
      </c>
      <c r="H119" s="19">
        <f t="shared" si="13"/>
        <v>51204.937396363639</v>
      </c>
      <c r="I119" s="114" t="s">
        <v>1521</v>
      </c>
      <c r="J119" s="210">
        <f>VLOOKUP(I119,'Reajuste Atual'!$L$19:$M$25,2,FALSE)</f>
        <v>3.1053999999999999</v>
      </c>
      <c r="K119" s="190"/>
      <c r="L119" s="765">
        <v>8.49</v>
      </c>
      <c r="M119" s="765">
        <f t="shared" si="14"/>
        <v>6.0642857142857149</v>
      </c>
      <c r="N119" s="765">
        <f t="shared" si="15"/>
        <v>6.1745454545454548</v>
      </c>
      <c r="O119" s="765">
        <f t="shared" si="16"/>
        <v>6.1745454545454548</v>
      </c>
    </row>
    <row r="120" spans="1:15" s="98" customFormat="1" outlineLevel="1">
      <c r="A120" s="141" t="s">
        <v>3483</v>
      </c>
      <c r="B120" s="175" t="s">
        <v>1301</v>
      </c>
      <c r="C120" s="766" t="s">
        <v>2655</v>
      </c>
      <c r="D120" s="99" t="s">
        <v>1481</v>
      </c>
      <c r="E120" s="491">
        <v>0</v>
      </c>
      <c r="F120" s="20">
        <f t="shared" si="19"/>
        <v>542.25454545454545</v>
      </c>
      <c r="G120" s="19">
        <f>E120*F120</f>
        <v>0</v>
      </c>
      <c r="H120" s="19">
        <f t="shared" si="13"/>
        <v>0</v>
      </c>
      <c r="I120" s="114" t="s">
        <v>1521</v>
      </c>
      <c r="J120" s="210">
        <f>VLOOKUP(I120,'Reajuste Atual'!$L$19:$M$25,2,FALSE)</f>
        <v>3.1053999999999999</v>
      </c>
      <c r="K120" s="192"/>
      <c r="L120" s="765">
        <v>745.6</v>
      </c>
      <c r="M120" s="765">
        <f t="shared" si="14"/>
        <v>532.57142857142867</v>
      </c>
      <c r="N120" s="765">
        <f t="shared" si="15"/>
        <v>542.25454545454545</v>
      </c>
      <c r="O120" s="765">
        <f t="shared" si="16"/>
        <v>542.25454545454545</v>
      </c>
    </row>
    <row r="121" spans="1:15" s="98" customFormat="1" outlineLevel="1">
      <c r="B121" s="179" t="s">
        <v>1302</v>
      </c>
      <c r="C121" s="104" t="s">
        <v>1449</v>
      </c>
      <c r="D121" s="81"/>
      <c r="E121" s="88"/>
      <c r="F121" s="83"/>
      <c r="G121" s="88">
        <f>SUM(G122:G123)</f>
        <v>7210.6763636363639</v>
      </c>
      <c r="H121" s="88">
        <f>SUM(H122:H123)</f>
        <v>29602.710743272724</v>
      </c>
      <c r="I121" s="112">
        <v>0</v>
      </c>
      <c r="J121" s="84"/>
      <c r="K121" s="190"/>
      <c r="L121" s="765"/>
      <c r="M121" s="765">
        <f t="shared" si="14"/>
        <v>0</v>
      </c>
      <c r="N121" s="765">
        <f t="shared" si="15"/>
        <v>0</v>
      </c>
      <c r="O121" s="765">
        <f t="shared" si="16"/>
        <v>0</v>
      </c>
    </row>
    <row r="122" spans="1:15" s="98" customFormat="1" outlineLevel="1">
      <c r="A122" s="141" t="s">
        <v>3483</v>
      </c>
      <c r="B122" s="175" t="s">
        <v>1303</v>
      </c>
      <c r="C122" s="100" t="s">
        <v>3306</v>
      </c>
      <c r="D122" s="183" t="s">
        <v>1468</v>
      </c>
      <c r="E122" s="491">
        <v>311</v>
      </c>
      <c r="F122" s="20">
        <f t="shared" ref="F122:F123" si="20">O122</f>
        <v>17.469090909090909</v>
      </c>
      <c r="G122" s="19">
        <f>E122*F122</f>
        <v>5432.8872727272728</v>
      </c>
      <c r="H122" s="19">
        <f t="shared" si="13"/>
        <v>22304.175409454543</v>
      </c>
      <c r="I122" s="114" t="s">
        <v>1521</v>
      </c>
      <c r="J122" s="210">
        <f>VLOOKUP(I122,'Reajuste Atual'!$L$19:$M$25,2,FALSE)</f>
        <v>3.1053999999999999</v>
      </c>
      <c r="K122" s="190"/>
      <c r="L122" s="765">
        <v>24.02</v>
      </c>
      <c r="M122" s="765">
        <f t="shared" si="14"/>
        <v>17.157142857142858</v>
      </c>
      <c r="N122" s="765">
        <f t="shared" si="15"/>
        <v>17.469090909090909</v>
      </c>
      <c r="O122" s="765">
        <f t="shared" si="16"/>
        <v>17.469090909090909</v>
      </c>
    </row>
    <row r="123" spans="1:15" s="98" customFormat="1" outlineLevel="1">
      <c r="A123" s="141" t="s">
        <v>3483</v>
      </c>
      <c r="B123" s="175" t="s">
        <v>1304</v>
      </c>
      <c r="C123" s="100" t="s">
        <v>2656</v>
      </c>
      <c r="D123" s="183" t="s">
        <v>1468</v>
      </c>
      <c r="E123" s="491">
        <v>311</v>
      </c>
      <c r="F123" s="20">
        <f t="shared" si="20"/>
        <v>5.7163636363636368</v>
      </c>
      <c r="G123" s="19">
        <f>E123*F123</f>
        <v>1777.7890909090911</v>
      </c>
      <c r="H123" s="19">
        <f t="shared" si="13"/>
        <v>7298.5353338181822</v>
      </c>
      <c r="I123" s="114" t="s">
        <v>1521</v>
      </c>
      <c r="J123" s="210">
        <f>VLOOKUP(I123,'Reajuste Atual'!$L$19:$M$25,2,FALSE)</f>
        <v>3.1053999999999999</v>
      </c>
      <c r="K123" s="192"/>
      <c r="L123" s="765">
        <v>7.86</v>
      </c>
      <c r="M123" s="765">
        <f t="shared" si="14"/>
        <v>5.6142857142857148</v>
      </c>
      <c r="N123" s="765">
        <f t="shared" si="15"/>
        <v>5.7163636363636368</v>
      </c>
      <c r="O123" s="765">
        <f t="shared" si="16"/>
        <v>5.7163636363636368</v>
      </c>
    </row>
    <row r="124" spans="1:15" s="98" customFormat="1" outlineLevel="1">
      <c r="B124" s="179" t="s">
        <v>1305</v>
      </c>
      <c r="C124" s="104" t="s">
        <v>3644</v>
      </c>
      <c r="D124" s="81"/>
      <c r="E124" s="88"/>
      <c r="F124" s="83"/>
      <c r="G124" s="88">
        <f>SUM(G125:G138)</f>
        <v>298747.7309090909</v>
      </c>
      <c r="H124" s="88">
        <f>SUM(H125:H138)</f>
        <v>1226478.9344741818</v>
      </c>
      <c r="I124" s="112">
        <v>0</v>
      </c>
      <c r="J124" s="84"/>
      <c r="K124" s="190"/>
      <c r="L124" s="765"/>
      <c r="M124" s="765">
        <f t="shared" si="14"/>
        <v>0</v>
      </c>
      <c r="N124" s="765">
        <f t="shared" si="15"/>
        <v>0</v>
      </c>
      <c r="O124" s="765">
        <f t="shared" si="16"/>
        <v>0</v>
      </c>
    </row>
    <row r="125" spans="1:15" s="98" customFormat="1" outlineLevel="1">
      <c r="A125" s="141" t="s">
        <v>3483</v>
      </c>
      <c r="B125" s="175" t="s">
        <v>1306</v>
      </c>
      <c r="C125" s="100" t="s">
        <v>2657</v>
      </c>
      <c r="D125" s="183" t="s">
        <v>1468</v>
      </c>
      <c r="E125" s="20">
        <v>622</v>
      </c>
      <c r="F125" s="20">
        <f t="shared" ref="F125:F138" si="21">O125</f>
        <v>3.0690909090909089</v>
      </c>
      <c r="G125" s="19">
        <f t="shared" ref="G125:G138" si="22">E125*F125</f>
        <v>1908.9745454545453</v>
      </c>
      <c r="H125" s="19">
        <f t="shared" si="13"/>
        <v>7837.1040989090889</v>
      </c>
      <c r="I125" s="114" t="s">
        <v>1521</v>
      </c>
      <c r="J125" s="210">
        <f>VLOOKUP(I125,'Reajuste Atual'!$L$19:$M$25,2,FALSE)</f>
        <v>3.1053999999999999</v>
      </c>
      <c r="K125" s="190"/>
      <c r="L125" s="765">
        <v>4.22</v>
      </c>
      <c r="M125" s="765">
        <f t="shared" si="14"/>
        <v>3.0142857142857142</v>
      </c>
      <c r="N125" s="765">
        <f t="shared" si="15"/>
        <v>3.0690909090909089</v>
      </c>
      <c r="O125" s="765">
        <f t="shared" si="16"/>
        <v>3.0690909090909089</v>
      </c>
    </row>
    <row r="126" spans="1:15" s="98" customFormat="1" outlineLevel="1">
      <c r="A126" s="141" t="s">
        <v>3483</v>
      </c>
      <c r="B126" s="175" t="s">
        <v>1307</v>
      </c>
      <c r="C126" s="100" t="s">
        <v>2658</v>
      </c>
      <c r="D126" s="183" t="s">
        <v>1468</v>
      </c>
      <c r="E126" s="491">
        <v>933</v>
      </c>
      <c r="F126" s="20">
        <f t="shared" si="21"/>
        <v>1.2872727272727273</v>
      </c>
      <c r="G126" s="19">
        <f t="shared" si="22"/>
        <v>1201.0254545454545</v>
      </c>
      <c r="H126" s="19">
        <f t="shared" si="13"/>
        <v>4930.6899010909083</v>
      </c>
      <c r="I126" s="114" t="s">
        <v>1521</v>
      </c>
      <c r="J126" s="210">
        <f>VLOOKUP(I126,'Reajuste Atual'!$L$19:$M$25,2,FALSE)</f>
        <v>3.1053999999999999</v>
      </c>
      <c r="K126" s="190"/>
      <c r="L126" s="765">
        <v>1.77</v>
      </c>
      <c r="M126" s="765">
        <f t="shared" si="14"/>
        <v>1.2642857142857145</v>
      </c>
      <c r="N126" s="765">
        <f t="shared" si="15"/>
        <v>1.2872727272727273</v>
      </c>
      <c r="O126" s="765">
        <f t="shared" si="16"/>
        <v>1.2872727272727273</v>
      </c>
    </row>
    <row r="127" spans="1:15" s="98" customFormat="1" outlineLevel="1">
      <c r="A127" s="141" t="s">
        <v>3483</v>
      </c>
      <c r="B127" s="175" t="s">
        <v>1308</v>
      </c>
      <c r="C127" s="100" t="s">
        <v>2659</v>
      </c>
      <c r="D127" s="183" t="s">
        <v>1468</v>
      </c>
      <c r="E127" s="491">
        <v>622</v>
      </c>
      <c r="F127" s="20">
        <f t="shared" si="21"/>
        <v>13.592727272727274</v>
      </c>
      <c r="G127" s="19">
        <f t="shared" si="22"/>
        <v>8454.6763636363648</v>
      </c>
      <c r="H127" s="19">
        <f t="shared" si="13"/>
        <v>34709.828343272726</v>
      </c>
      <c r="I127" s="114" t="s">
        <v>1521</v>
      </c>
      <c r="J127" s="210">
        <f>VLOOKUP(I127,'Reajuste Atual'!$L$19:$M$25,2,FALSE)</f>
        <v>3.1053999999999999</v>
      </c>
      <c r="K127" s="190"/>
      <c r="L127" s="765">
        <v>18.690000000000001</v>
      </c>
      <c r="M127" s="765">
        <f t="shared" si="14"/>
        <v>13.350000000000001</v>
      </c>
      <c r="N127" s="765">
        <f t="shared" si="15"/>
        <v>13.592727272727274</v>
      </c>
      <c r="O127" s="765">
        <f t="shared" si="16"/>
        <v>13.592727272727274</v>
      </c>
    </row>
    <row r="128" spans="1:15" s="98" customFormat="1" outlineLevel="1">
      <c r="A128" s="141" t="s">
        <v>3483</v>
      </c>
      <c r="B128" s="175" t="s">
        <v>1309</v>
      </c>
      <c r="C128" s="100" t="s">
        <v>2660</v>
      </c>
      <c r="D128" s="183" t="s">
        <v>1468</v>
      </c>
      <c r="E128" s="491">
        <v>1244</v>
      </c>
      <c r="F128" s="20">
        <f t="shared" si="21"/>
        <v>21.847272727272728</v>
      </c>
      <c r="G128" s="19">
        <f t="shared" si="22"/>
        <v>27178.007272727275</v>
      </c>
      <c r="H128" s="19">
        <f t="shared" si="13"/>
        <v>111576.59105745454</v>
      </c>
      <c r="I128" s="114" t="s">
        <v>1521</v>
      </c>
      <c r="J128" s="210">
        <f>VLOOKUP(I128,'Reajuste Atual'!$L$19:$M$25,2,FALSE)</f>
        <v>3.1053999999999999</v>
      </c>
      <c r="K128" s="190"/>
      <c r="L128" s="765">
        <v>30.04</v>
      </c>
      <c r="M128" s="765">
        <f t="shared" si="14"/>
        <v>21.457142857142859</v>
      </c>
      <c r="N128" s="765">
        <f t="shared" si="15"/>
        <v>21.847272727272728</v>
      </c>
      <c r="O128" s="765">
        <f t="shared" si="16"/>
        <v>21.847272727272728</v>
      </c>
    </row>
    <row r="129" spans="1:15" s="98" customFormat="1" outlineLevel="1">
      <c r="A129" s="141" t="s">
        <v>3483</v>
      </c>
      <c r="B129" s="175" t="s">
        <v>1310</v>
      </c>
      <c r="C129" s="100" t="s">
        <v>2661</v>
      </c>
      <c r="D129" s="183" t="s">
        <v>1468</v>
      </c>
      <c r="E129" s="491">
        <v>622</v>
      </c>
      <c r="F129" s="20">
        <f t="shared" si="21"/>
        <v>10.916363636363636</v>
      </c>
      <c r="G129" s="19">
        <f t="shared" si="22"/>
        <v>6789.9781818181818</v>
      </c>
      <c r="H129" s="19">
        <f t="shared" si="13"/>
        <v>27875.576427636359</v>
      </c>
      <c r="I129" s="114" t="s">
        <v>1521</v>
      </c>
      <c r="J129" s="210">
        <f>VLOOKUP(I129,'Reajuste Atual'!$L$19:$M$25,2,FALSE)</f>
        <v>3.1053999999999999</v>
      </c>
      <c r="K129" s="190"/>
      <c r="L129" s="765">
        <v>15.01</v>
      </c>
      <c r="M129" s="765">
        <f t="shared" si="14"/>
        <v>10.721428571428572</v>
      </c>
      <c r="N129" s="765">
        <f t="shared" si="15"/>
        <v>10.916363636363636</v>
      </c>
      <c r="O129" s="765">
        <f t="shared" si="16"/>
        <v>10.916363636363636</v>
      </c>
    </row>
    <row r="130" spans="1:15" s="98" customFormat="1" outlineLevel="1">
      <c r="A130" s="141" t="s">
        <v>3483</v>
      </c>
      <c r="B130" s="175" t="s">
        <v>1311</v>
      </c>
      <c r="C130" s="100" t="s">
        <v>2662</v>
      </c>
      <c r="D130" s="183" t="s">
        <v>1468</v>
      </c>
      <c r="E130" s="491">
        <v>1244</v>
      </c>
      <c r="F130" s="20">
        <f t="shared" si="21"/>
        <v>4.3490909090909096</v>
      </c>
      <c r="G130" s="19">
        <f t="shared" si="22"/>
        <v>5410.2690909090916</v>
      </c>
      <c r="H130" s="19">
        <f t="shared" si="13"/>
        <v>22211.318725818182</v>
      </c>
      <c r="I130" s="114" t="s">
        <v>1521</v>
      </c>
      <c r="J130" s="210">
        <f>VLOOKUP(I130,'Reajuste Atual'!$L$19:$M$25,2,FALSE)</f>
        <v>3.1053999999999999</v>
      </c>
      <c r="K130" s="190"/>
      <c r="L130" s="765">
        <v>5.98</v>
      </c>
      <c r="M130" s="765">
        <f t="shared" si="14"/>
        <v>4.2714285714285722</v>
      </c>
      <c r="N130" s="765">
        <f t="shared" si="15"/>
        <v>4.3490909090909096</v>
      </c>
      <c r="O130" s="765">
        <f t="shared" si="16"/>
        <v>4.3490909090909096</v>
      </c>
    </row>
    <row r="131" spans="1:15" s="98" customFormat="1" outlineLevel="1">
      <c r="A131" s="141" t="s">
        <v>3483</v>
      </c>
      <c r="B131" s="175" t="s">
        <v>1312</v>
      </c>
      <c r="C131" s="100" t="s">
        <v>2663</v>
      </c>
      <c r="D131" s="183" t="s">
        <v>1468</v>
      </c>
      <c r="E131" s="491">
        <v>622</v>
      </c>
      <c r="F131" s="20">
        <f t="shared" si="21"/>
        <v>24.647272727272728</v>
      </c>
      <c r="G131" s="19">
        <f t="shared" si="22"/>
        <v>15330.603636363638</v>
      </c>
      <c r="H131" s="19">
        <f t="shared" si="13"/>
        <v>62938.260168727269</v>
      </c>
      <c r="I131" s="114" t="s">
        <v>1521</v>
      </c>
      <c r="J131" s="210">
        <f>VLOOKUP(I131,'Reajuste Atual'!$L$19:$M$25,2,FALSE)</f>
        <v>3.1053999999999999</v>
      </c>
      <c r="K131" s="190"/>
      <c r="L131" s="765">
        <v>33.89</v>
      </c>
      <c r="M131" s="765">
        <f t="shared" si="14"/>
        <v>24.207142857142859</v>
      </c>
      <c r="N131" s="765">
        <f t="shared" si="15"/>
        <v>24.647272727272728</v>
      </c>
      <c r="O131" s="765">
        <f t="shared" si="16"/>
        <v>24.647272727272728</v>
      </c>
    </row>
    <row r="132" spans="1:15" s="98" customFormat="1" outlineLevel="1">
      <c r="A132" s="141" t="s">
        <v>3483</v>
      </c>
      <c r="B132" s="175" t="s">
        <v>1313</v>
      </c>
      <c r="C132" s="100" t="s">
        <v>2664</v>
      </c>
      <c r="D132" s="183" t="s">
        <v>1468</v>
      </c>
      <c r="E132" s="491">
        <v>933</v>
      </c>
      <c r="F132" s="20">
        <f t="shared" si="21"/>
        <v>3.8327272727272725</v>
      </c>
      <c r="G132" s="19">
        <f t="shared" si="22"/>
        <v>3575.9345454545451</v>
      </c>
      <c r="H132" s="19">
        <f t="shared" si="13"/>
        <v>14680.641682909087</v>
      </c>
      <c r="I132" s="114" t="s">
        <v>1521</v>
      </c>
      <c r="J132" s="210">
        <f>VLOOKUP(I132,'Reajuste Atual'!$L$19:$M$25,2,FALSE)</f>
        <v>3.1053999999999999</v>
      </c>
      <c r="K132" s="190"/>
      <c r="L132" s="765">
        <v>5.27</v>
      </c>
      <c r="M132" s="765">
        <f t="shared" si="14"/>
        <v>3.7642857142857142</v>
      </c>
      <c r="N132" s="765">
        <f t="shared" si="15"/>
        <v>3.8327272727272725</v>
      </c>
      <c r="O132" s="765">
        <f t="shared" si="16"/>
        <v>3.8327272727272725</v>
      </c>
    </row>
    <row r="133" spans="1:15" s="98" customFormat="1" outlineLevel="1">
      <c r="A133" s="141" t="s">
        <v>3483</v>
      </c>
      <c r="B133" s="175" t="s">
        <v>1314</v>
      </c>
      <c r="C133" s="100" t="s">
        <v>2665</v>
      </c>
      <c r="D133" s="183" t="s">
        <v>1468</v>
      </c>
      <c r="E133" s="491">
        <v>1244</v>
      </c>
      <c r="F133" s="20">
        <f t="shared" si="21"/>
        <v>5.7890909090909091</v>
      </c>
      <c r="G133" s="19">
        <f t="shared" si="22"/>
        <v>7201.6290909090912</v>
      </c>
      <c r="H133" s="19">
        <f t="shared" si="13"/>
        <v>29565.568069818179</v>
      </c>
      <c r="I133" s="114" t="s">
        <v>1521</v>
      </c>
      <c r="J133" s="210">
        <f>VLOOKUP(I133,'Reajuste Atual'!$L$19:$M$25,2,FALSE)</f>
        <v>3.1053999999999999</v>
      </c>
      <c r="K133" s="190"/>
      <c r="L133" s="765">
        <v>7.96</v>
      </c>
      <c r="M133" s="765">
        <f t="shared" si="14"/>
        <v>5.6857142857142859</v>
      </c>
      <c r="N133" s="765">
        <f t="shared" si="15"/>
        <v>5.7890909090909091</v>
      </c>
      <c r="O133" s="765">
        <f t="shared" si="16"/>
        <v>5.7890909090909091</v>
      </c>
    </row>
    <row r="134" spans="1:15" s="98" customFormat="1" outlineLevel="1">
      <c r="A134" s="141" t="s">
        <v>3483</v>
      </c>
      <c r="B134" s="175" t="s">
        <v>1315</v>
      </c>
      <c r="C134" s="100" t="s">
        <v>2666</v>
      </c>
      <c r="D134" s="183" t="s">
        <v>1468</v>
      </c>
      <c r="E134" s="491">
        <v>311</v>
      </c>
      <c r="F134" s="20">
        <f t="shared" si="21"/>
        <v>264.93818181818182</v>
      </c>
      <c r="G134" s="19">
        <f t="shared" si="22"/>
        <v>82395.774545454551</v>
      </c>
      <c r="H134" s="19">
        <f t="shared" si="13"/>
        <v>338267.61281890905</v>
      </c>
      <c r="I134" s="114" t="s">
        <v>1521</v>
      </c>
      <c r="J134" s="210">
        <f>VLOOKUP(I134,'Reajuste Atual'!$L$19:$M$25,2,FALSE)</f>
        <v>3.1053999999999999</v>
      </c>
      <c r="K134" s="190"/>
      <c r="L134" s="765">
        <v>364.29</v>
      </c>
      <c r="M134" s="765">
        <f t="shared" si="14"/>
        <v>260.20714285714291</v>
      </c>
      <c r="N134" s="765">
        <f t="shared" si="15"/>
        <v>264.93818181818182</v>
      </c>
      <c r="O134" s="765">
        <f t="shared" si="16"/>
        <v>264.93818181818182</v>
      </c>
    </row>
    <row r="135" spans="1:15" s="98" customFormat="1" outlineLevel="1">
      <c r="A135" s="141" t="s">
        <v>3483</v>
      </c>
      <c r="B135" s="175" t="s">
        <v>1316</v>
      </c>
      <c r="C135" s="100" t="s">
        <v>2667</v>
      </c>
      <c r="D135" s="183" t="s">
        <v>1468</v>
      </c>
      <c r="E135" s="491">
        <v>622</v>
      </c>
      <c r="F135" s="20">
        <f t="shared" si="21"/>
        <v>16.094545454545454</v>
      </c>
      <c r="G135" s="19">
        <f t="shared" si="22"/>
        <v>10010.807272727272</v>
      </c>
      <c r="H135" s="19">
        <f t="shared" si="13"/>
        <v>41098.36817745454</v>
      </c>
      <c r="I135" s="114" t="s">
        <v>1521</v>
      </c>
      <c r="J135" s="210">
        <f>VLOOKUP(I135,'Reajuste Atual'!$L$19:$M$25,2,FALSE)</f>
        <v>3.1053999999999999</v>
      </c>
      <c r="K135" s="190"/>
      <c r="L135" s="765">
        <v>22.13</v>
      </c>
      <c r="M135" s="765">
        <f t="shared" si="14"/>
        <v>15.807142857142857</v>
      </c>
      <c r="N135" s="765">
        <f t="shared" si="15"/>
        <v>16.094545454545454</v>
      </c>
      <c r="O135" s="765">
        <f t="shared" si="16"/>
        <v>16.094545454545454</v>
      </c>
    </row>
    <row r="136" spans="1:15" s="98" customFormat="1" outlineLevel="1">
      <c r="A136" s="141" t="s">
        <v>3483</v>
      </c>
      <c r="B136" s="175" t="s">
        <v>1317</v>
      </c>
      <c r="C136" s="100" t="s">
        <v>2668</v>
      </c>
      <c r="D136" s="183" t="s">
        <v>1468</v>
      </c>
      <c r="E136" s="491">
        <v>311</v>
      </c>
      <c r="F136" s="20">
        <f t="shared" si="21"/>
        <v>221.41818181818181</v>
      </c>
      <c r="G136" s="19">
        <f t="shared" si="22"/>
        <v>68861.054545454535</v>
      </c>
      <c r="H136" s="19">
        <f t="shared" si="13"/>
        <v>282702.17333090899</v>
      </c>
      <c r="I136" s="114" t="s">
        <v>1521</v>
      </c>
      <c r="J136" s="210">
        <f>VLOOKUP(I136,'Reajuste Atual'!$L$19:$M$25,2,FALSE)</f>
        <v>3.1053999999999999</v>
      </c>
      <c r="K136" s="190"/>
      <c r="L136" s="765">
        <v>304.45</v>
      </c>
      <c r="M136" s="765">
        <f t="shared" si="14"/>
        <v>217.46428571428572</v>
      </c>
      <c r="N136" s="765">
        <f t="shared" si="15"/>
        <v>221.41818181818181</v>
      </c>
      <c r="O136" s="765">
        <f t="shared" si="16"/>
        <v>221.41818181818181</v>
      </c>
    </row>
    <row r="137" spans="1:15" s="98" customFormat="1" outlineLevel="1">
      <c r="A137" s="141" t="s">
        <v>3483</v>
      </c>
      <c r="B137" s="175" t="s">
        <v>1318</v>
      </c>
      <c r="C137" s="100" t="s">
        <v>2669</v>
      </c>
      <c r="D137" s="183" t="s">
        <v>1468</v>
      </c>
      <c r="E137" s="491">
        <v>311</v>
      </c>
      <c r="F137" s="20">
        <f t="shared" si="21"/>
        <v>7.585454545454545</v>
      </c>
      <c r="G137" s="19">
        <f t="shared" si="22"/>
        <v>2359.0763636363636</v>
      </c>
      <c r="H137" s="19">
        <f t="shared" si="13"/>
        <v>9684.9521032727262</v>
      </c>
      <c r="I137" s="114" t="s">
        <v>1521</v>
      </c>
      <c r="J137" s="210">
        <f>VLOOKUP(I137,'Reajuste Atual'!$L$19:$M$25,2,FALSE)</f>
        <v>3.1053999999999999</v>
      </c>
      <c r="K137" s="190"/>
      <c r="L137" s="765">
        <v>10.43</v>
      </c>
      <c r="M137" s="765">
        <f t="shared" si="14"/>
        <v>7.45</v>
      </c>
      <c r="N137" s="765">
        <f t="shared" si="15"/>
        <v>7.585454545454545</v>
      </c>
      <c r="O137" s="765">
        <f t="shared" si="16"/>
        <v>7.585454545454545</v>
      </c>
    </row>
    <row r="138" spans="1:15" s="98" customFormat="1" outlineLevel="1">
      <c r="A138" s="141" t="s">
        <v>3483</v>
      </c>
      <c r="B138" s="175" t="s">
        <v>1319</v>
      </c>
      <c r="C138" s="100" t="s">
        <v>2670</v>
      </c>
      <c r="D138" s="183" t="s">
        <v>1468</v>
      </c>
      <c r="E138" s="491">
        <v>311</v>
      </c>
      <c r="F138" s="20">
        <f t="shared" si="21"/>
        <v>186.72</v>
      </c>
      <c r="G138" s="19">
        <f t="shared" si="22"/>
        <v>58069.919999999998</v>
      </c>
      <c r="H138" s="19">
        <f t="shared" si="13"/>
        <v>238400.24956799997</v>
      </c>
      <c r="I138" s="114" t="s">
        <v>1521</v>
      </c>
      <c r="J138" s="210">
        <f>VLOOKUP(I138,'Reajuste Atual'!$L$19:$M$25,2,FALSE)</f>
        <v>3.1053999999999999</v>
      </c>
      <c r="K138" s="192"/>
      <c r="L138" s="765">
        <v>256.74</v>
      </c>
      <c r="M138" s="765">
        <f t="shared" si="14"/>
        <v>183.3857142857143</v>
      </c>
      <c r="N138" s="765">
        <f t="shared" si="15"/>
        <v>186.72</v>
      </c>
      <c r="O138" s="765">
        <f t="shared" si="16"/>
        <v>186.72</v>
      </c>
    </row>
    <row r="139" spans="1:15" s="98" customFormat="1" outlineLevel="1">
      <c r="B139" s="179" t="s">
        <v>1320</v>
      </c>
      <c r="C139" s="104" t="s">
        <v>1451</v>
      </c>
      <c r="D139" s="81"/>
      <c r="E139" s="88"/>
      <c r="F139" s="83"/>
      <c r="G139" s="88">
        <f>SUM(G140:G151)</f>
        <v>139465.97090909092</v>
      </c>
      <c r="H139" s="88">
        <f>SUM(H140:H151)</f>
        <v>572563.59697018191</v>
      </c>
      <c r="I139" s="112">
        <v>0</v>
      </c>
      <c r="J139" s="84"/>
      <c r="K139" s="190"/>
      <c r="L139" s="765"/>
      <c r="M139" s="765">
        <f t="shared" si="14"/>
        <v>0</v>
      </c>
      <c r="N139" s="765">
        <f t="shared" si="15"/>
        <v>0</v>
      </c>
      <c r="O139" s="765">
        <f t="shared" si="16"/>
        <v>0</v>
      </c>
    </row>
    <row r="140" spans="1:15" s="98" customFormat="1" outlineLevel="1">
      <c r="A140" s="141" t="s">
        <v>3483</v>
      </c>
      <c r="B140" s="175" t="s">
        <v>1321</v>
      </c>
      <c r="C140" s="100" t="s">
        <v>2671</v>
      </c>
      <c r="D140" s="183" t="s">
        <v>1468</v>
      </c>
      <c r="E140" s="491">
        <v>622</v>
      </c>
      <c r="F140" s="20">
        <f t="shared" ref="F140:F151" si="23">O140</f>
        <v>119.98545454545454</v>
      </c>
      <c r="G140" s="19">
        <f t="shared" ref="G140:G151" si="24">E140*F140</f>
        <v>74630.952727272728</v>
      </c>
      <c r="H140" s="19">
        <f t="shared" si="13"/>
        <v>306389.91332654544</v>
      </c>
      <c r="I140" s="114" t="s">
        <v>1521</v>
      </c>
      <c r="J140" s="210">
        <f>VLOOKUP(I140,'Reajuste Atual'!$L$19:$M$25,2,FALSE)</f>
        <v>3.1053999999999999</v>
      </c>
      <c r="K140" s="190"/>
      <c r="L140" s="765">
        <v>164.98</v>
      </c>
      <c r="M140" s="765">
        <f t="shared" si="14"/>
        <v>117.84285714285714</v>
      </c>
      <c r="N140" s="765">
        <f t="shared" si="15"/>
        <v>119.98545454545454</v>
      </c>
      <c r="O140" s="765">
        <f t="shared" si="16"/>
        <v>119.98545454545454</v>
      </c>
    </row>
    <row r="141" spans="1:15" s="98" customFormat="1" outlineLevel="1">
      <c r="A141" s="141" t="s">
        <v>3483</v>
      </c>
      <c r="B141" s="175" t="s">
        <v>1322</v>
      </c>
      <c r="C141" s="100" t="s">
        <v>2672</v>
      </c>
      <c r="D141" s="183" t="s">
        <v>1468</v>
      </c>
      <c r="E141" s="491">
        <v>933</v>
      </c>
      <c r="F141" s="20">
        <f t="shared" si="23"/>
        <v>4.669090909090909</v>
      </c>
      <c r="G141" s="19">
        <f t="shared" si="24"/>
        <v>4356.2618181818179</v>
      </c>
      <c r="H141" s="19">
        <f t="shared" si="13"/>
        <v>17884.197268363634</v>
      </c>
      <c r="I141" s="114" t="s">
        <v>1521</v>
      </c>
      <c r="J141" s="210">
        <f>VLOOKUP(I141,'Reajuste Atual'!$L$19:$M$25,2,FALSE)</f>
        <v>3.1053999999999999</v>
      </c>
      <c r="K141" s="190"/>
      <c r="L141" s="765">
        <v>6.42</v>
      </c>
      <c r="M141" s="765">
        <f t="shared" si="14"/>
        <v>4.5857142857142863</v>
      </c>
      <c r="N141" s="765">
        <f t="shared" si="15"/>
        <v>4.669090909090909</v>
      </c>
      <c r="O141" s="765">
        <f t="shared" si="16"/>
        <v>4.669090909090909</v>
      </c>
    </row>
    <row r="142" spans="1:15" s="98" customFormat="1" outlineLevel="1">
      <c r="A142" s="141" t="s">
        <v>3483</v>
      </c>
      <c r="B142" s="175" t="s">
        <v>1323</v>
      </c>
      <c r="C142" s="100" t="s">
        <v>2673</v>
      </c>
      <c r="D142" s="183" t="s">
        <v>1468</v>
      </c>
      <c r="E142" s="491">
        <v>933</v>
      </c>
      <c r="F142" s="20">
        <f t="shared" si="23"/>
        <v>0.6836363636363636</v>
      </c>
      <c r="G142" s="19">
        <f t="shared" si="24"/>
        <v>637.8327272727272</v>
      </c>
      <c r="H142" s="19">
        <f t="shared" si="13"/>
        <v>2618.5584785454539</v>
      </c>
      <c r="I142" s="114" t="s">
        <v>1521</v>
      </c>
      <c r="J142" s="210">
        <f>VLOOKUP(I142,'Reajuste Atual'!$L$19:$M$25,2,FALSE)</f>
        <v>3.1053999999999999</v>
      </c>
      <c r="K142" s="190"/>
      <c r="L142" s="765">
        <v>0.94</v>
      </c>
      <c r="M142" s="765">
        <f t="shared" si="14"/>
        <v>0.67142857142857149</v>
      </c>
      <c r="N142" s="765">
        <f t="shared" si="15"/>
        <v>0.6836363636363636</v>
      </c>
      <c r="O142" s="765">
        <f t="shared" si="16"/>
        <v>0.6836363636363636</v>
      </c>
    </row>
    <row r="143" spans="1:15" s="98" customFormat="1" outlineLevel="1">
      <c r="A143" s="141" t="s">
        <v>3483</v>
      </c>
      <c r="B143" s="175" t="s">
        <v>1324</v>
      </c>
      <c r="C143" s="100" t="s">
        <v>2674</v>
      </c>
      <c r="D143" s="183" t="s">
        <v>1468</v>
      </c>
      <c r="E143" s="491">
        <v>933</v>
      </c>
      <c r="F143" s="20">
        <f t="shared" si="23"/>
        <v>10.327272727272726</v>
      </c>
      <c r="G143" s="19">
        <f t="shared" si="24"/>
        <v>9635.3454545454533</v>
      </c>
      <c r="H143" s="19">
        <f t="shared" si="13"/>
        <v>39556.947229090896</v>
      </c>
      <c r="I143" s="114" t="s">
        <v>1521</v>
      </c>
      <c r="J143" s="210">
        <f>VLOOKUP(I143,'Reajuste Atual'!$L$19:$M$25,2,FALSE)</f>
        <v>3.1053999999999999</v>
      </c>
      <c r="K143" s="190"/>
      <c r="L143" s="765">
        <v>14.2</v>
      </c>
      <c r="M143" s="765">
        <f t="shared" si="14"/>
        <v>10.142857142857142</v>
      </c>
      <c r="N143" s="765">
        <f t="shared" si="15"/>
        <v>10.327272727272726</v>
      </c>
      <c r="O143" s="765">
        <f t="shared" si="16"/>
        <v>10.327272727272726</v>
      </c>
    </row>
    <row r="144" spans="1:15" s="98" customFormat="1" outlineLevel="1">
      <c r="A144" s="141" t="s">
        <v>3483</v>
      </c>
      <c r="B144" s="175" t="s">
        <v>1325</v>
      </c>
      <c r="C144" s="100" t="s">
        <v>2675</v>
      </c>
      <c r="D144" s="183" t="s">
        <v>1468</v>
      </c>
      <c r="E144" s="491">
        <v>2799</v>
      </c>
      <c r="F144" s="20">
        <f t="shared" si="23"/>
        <v>5.4618181818181819</v>
      </c>
      <c r="G144" s="19">
        <f t="shared" si="24"/>
        <v>15287.629090909091</v>
      </c>
      <c r="H144" s="19">
        <f t="shared" si="13"/>
        <v>62761.832469818175</v>
      </c>
      <c r="I144" s="114" t="s">
        <v>1521</v>
      </c>
      <c r="J144" s="210">
        <f>VLOOKUP(I144,'Reajuste Atual'!$L$19:$M$25,2,FALSE)</f>
        <v>3.1053999999999999</v>
      </c>
      <c r="K144" s="190"/>
      <c r="L144" s="765">
        <v>7.51</v>
      </c>
      <c r="M144" s="765">
        <f t="shared" si="14"/>
        <v>5.3642857142857148</v>
      </c>
      <c r="N144" s="765">
        <f t="shared" si="15"/>
        <v>5.4618181818181819</v>
      </c>
      <c r="O144" s="765">
        <f t="shared" si="16"/>
        <v>5.4618181818181819</v>
      </c>
    </row>
    <row r="145" spans="1:15" s="98" customFormat="1" outlineLevel="1">
      <c r="A145" s="141" t="s">
        <v>3483</v>
      </c>
      <c r="B145" s="175" t="s">
        <v>1326</v>
      </c>
      <c r="C145" s="100" t="s">
        <v>2676</v>
      </c>
      <c r="D145" s="183" t="s">
        <v>1468</v>
      </c>
      <c r="E145" s="491">
        <v>2799</v>
      </c>
      <c r="F145" s="20">
        <f t="shared" si="23"/>
        <v>1.0981818181818181</v>
      </c>
      <c r="G145" s="19">
        <f t="shared" si="24"/>
        <v>3073.8109090909088</v>
      </c>
      <c r="H145" s="19">
        <f t="shared" si="13"/>
        <v>12619.223306181815</v>
      </c>
      <c r="I145" s="114" t="s">
        <v>1521</v>
      </c>
      <c r="J145" s="210">
        <f>VLOOKUP(I145,'Reajuste Atual'!$L$19:$M$25,2,FALSE)</f>
        <v>3.1053999999999999</v>
      </c>
      <c r="K145" s="190"/>
      <c r="L145" s="765">
        <v>1.51</v>
      </c>
      <c r="M145" s="765">
        <f t="shared" si="14"/>
        <v>1.0785714285714287</v>
      </c>
      <c r="N145" s="765">
        <f t="shared" si="15"/>
        <v>1.0981818181818181</v>
      </c>
      <c r="O145" s="765">
        <f t="shared" si="16"/>
        <v>1.0981818181818181</v>
      </c>
    </row>
    <row r="146" spans="1:15" s="98" customFormat="1" outlineLevel="1">
      <c r="A146" s="141" t="s">
        <v>3483</v>
      </c>
      <c r="B146" s="175" t="s">
        <v>1327</v>
      </c>
      <c r="C146" s="100" t="s">
        <v>2677</v>
      </c>
      <c r="D146" s="99" t="s">
        <v>1472</v>
      </c>
      <c r="E146" s="491">
        <v>3732</v>
      </c>
      <c r="F146" s="20">
        <f t="shared" si="23"/>
        <v>3.4690909090909088</v>
      </c>
      <c r="G146" s="19">
        <f t="shared" si="24"/>
        <v>12946.647272727272</v>
      </c>
      <c r="H146" s="19">
        <f t="shared" ref="H146:H151" si="25">G146*(1+J146)</f>
        <v>53151.165713454538</v>
      </c>
      <c r="I146" s="114" t="s">
        <v>1521</v>
      </c>
      <c r="J146" s="210">
        <f>VLOOKUP(I146,'Reajuste Atual'!$L$19:$M$25,2,FALSE)</f>
        <v>3.1053999999999999</v>
      </c>
      <c r="K146" s="190"/>
      <c r="L146" s="765">
        <v>4.7699999999999996</v>
      </c>
      <c r="M146" s="765">
        <f t="shared" si="14"/>
        <v>3.407142857142857</v>
      </c>
      <c r="N146" s="765">
        <f t="shared" si="15"/>
        <v>3.4690909090909088</v>
      </c>
      <c r="O146" s="765">
        <f t="shared" si="16"/>
        <v>3.4690909090909088</v>
      </c>
    </row>
    <row r="147" spans="1:15" s="98" customFormat="1" outlineLevel="1">
      <c r="A147" s="141" t="s">
        <v>3483</v>
      </c>
      <c r="B147" s="175" t="s">
        <v>1328</v>
      </c>
      <c r="C147" s="100" t="s">
        <v>2678</v>
      </c>
      <c r="D147" s="183" t="s">
        <v>1468</v>
      </c>
      <c r="E147" s="491">
        <v>622</v>
      </c>
      <c r="F147" s="20">
        <f t="shared" si="23"/>
        <v>1.3018181818181818</v>
      </c>
      <c r="G147" s="19">
        <f t="shared" si="24"/>
        <v>809.73090909090911</v>
      </c>
      <c r="H147" s="19">
        <f t="shared" si="25"/>
        <v>3324.2692741818178</v>
      </c>
      <c r="I147" s="114" t="s">
        <v>1521</v>
      </c>
      <c r="J147" s="210">
        <f>VLOOKUP(I147,'Reajuste Atual'!$L$19:$M$25,2,FALSE)</f>
        <v>3.1053999999999999</v>
      </c>
      <c r="K147" s="190"/>
      <c r="L147" s="765">
        <v>1.79</v>
      </c>
      <c r="M147" s="765">
        <f t="shared" si="14"/>
        <v>1.2785714285714287</v>
      </c>
      <c r="N147" s="765">
        <f t="shared" si="15"/>
        <v>1.3018181818181818</v>
      </c>
      <c r="O147" s="765">
        <f t="shared" si="16"/>
        <v>1.3018181818181818</v>
      </c>
    </row>
    <row r="148" spans="1:15" s="98" customFormat="1" outlineLevel="1">
      <c r="A148" s="141" t="s">
        <v>3483</v>
      </c>
      <c r="B148" s="175" t="s">
        <v>1329</v>
      </c>
      <c r="C148" s="100" t="s">
        <v>2679</v>
      </c>
      <c r="D148" s="183" t="s">
        <v>1468</v>
      </c>
      <c r="E148" s="491">
        <v>622</v>
      </c>
      <c r="F148" s="20">
        <f t="shared" si="23"/>
        <v>0.6836363636363636</v>
      </c>
      <c r="G148" s="19">
        <f t="shared" si="24"/>
        <v>425.22181818181815</v>
      </c>
      <c r="H148" s="19">
        <f t="shared" si="25"/>
        <v>1745.7056523636361</v>
      </c>
      <c r="I148" s="114" t="s">
        <v>1521</v>
      </c>
      <c r="J148" s="210">
        <f>VLOOKUP(I148,'Reajuste Atual'!$L$19:$M$25,2,FALSE)</f>
        <v>3.1053999999999999</v>
      </c>
      <c r="K148" s="190"/>
      <c r="L148" s="765">
        <v>0.94</v>
      </c>
      <c r="M148" s="765">
        <f t="shared" si="14"/>
        <v>0.67142857142857149</v>
      </c>
      <c r="N148" s="765">
        <f t="shared" si="15"/>
        <v>0.6836363636363636</v>
      </c>
      <c r="O148" s="765">
        <f t="shared" si="16"/>
        <v>0.6836363636363636</v>
      </c>
    </row>
    <row r="149" spans="1:15" s="98" customFormat="1" outlineLevel="1">
      <c r="A149" s="141" t="s">
        <v>3483</v>
      </c>
      <c r="B149" s="175" t="s">
        <v>1330</v>
      </c>
      <c r="C149" s="100" t="s">
        <v>2680</v>
      </c>
      <c r="D149" s="183" t="s">
        <v>1468</v>
      </c>
      <c r="E149" s="491">
        <v>311</v>
      </c>
      <c r="F149" s="20">
        <f t="shared" si="23"/>
        <v>48.778181818181814</v>
      </c>
      <c r="G149" s="19">
        <f t="shared" si="24"/>
        <v>15170.014545454544</v>
      </c>
      <c r="H149" s="19">
        <f t="shared" si="25"/>
        <v>62278.977714909073</v>
      </c>
      <c r="I149" s="114" t="s">
        <v>1521</v>
      </c>
      <c r="J149" s="210">
        <f>VLOOKUP(I149,'Reajuste Atual'!$L$19:$M$25,2,FALSE)</f>
        <v>3.1053999999999999</v>
      </c>
      <c r="K149" s="190"/>
      <c r="L149" s="765">
        <v>67.069999999999993</v>
      </c>
      <c r="M149" s="765">
        <f t="shared" si="14"/>
        <v>47.907142857142858</v>
      </c>
      <c r="N149" s="765">
        <f t="shared" si="15"/>
        <v>48.778181818181814</v>
      </c>
      <c r="O149" s="765">
        <f t="shared" si="16"/>
        <v>48.778181818181814</v>
      </c>
    </row>
    <row r="150" spans="1:15" s="98" customFormat="1" outlineLevel="1">
      <c r="A150" s="141" t="s">
        <v>3483</v>
      </c>
      <c r="B150" s="175" t="s">
        <v>1331</v>
      </c>
      <c r="C150" s="100" t="s">
        <v>2681</v>
      </c>
      <c r="D150" s="183" t="s">
        <v>1468</v>
      </c>
      <c r="E150" s="491">
        <v>622</v>
      </c>
      <c r="F150" s="20">
        <f t="shared" si="23"/>
        <v>0.64</v>
      </c>
      <c r="G150" s="19">
        <f t="shared" si="24"/>
        <v>398.08</v>
      </c>
      <c r="H150" s="19">
        <f t="shared" si="25"/>
        <v>1634.2776319999998</v>
      </c>
      <c r="I150" s="114" t="s">
        <v>1521</v>
      </c>
      <c r="J150" s="210">
        <f>VLOOKUP(I150,'Reajuste Atual'!$L$19:$M$25,2,FALSE)</f>
        <v>3.1053999999999999</v>
      </c>
      <c r="K150" s="190"/>
      <c r="L150" s="765">
        <v>0.88</v>
      </c>
      <c r="M150" s="765">
        <f t="shared" si="14"/>
        <v>0.62857142857142867</v>
      </c>
      <c r="N150" s="765">
        <f t="shared" si="15"/>
        <v>0.64</v>
      </c>
      <c r="O150" s="765">
        <f t="shared" si="16"/>
        <v>0.64</v>
      </c>
    </row>
    <row r="151" spans="1:15" s="98" customFormat="1" outlineLevel="1">
      <c r="A151" s="141" t="s">
        <v>3483</v>
      </c>
      <c r="B151" s="175" t="s">
        <v>1332</v>
      </c>
      <c r="C151" s="100" t="s">
        <v>2682</v>
      </c>
      <c r="D151" s="183" t="s">
        <v>1468</v>
      </c>
      <c r="E151" s="491">
        <v>622</v>
      </c>
      <c r="F151" s="20">
        <f t="shared" si="23"/>
        <v>3.3672727272727272</v>
      </c>
      <c r="G151" s="19">
        <f t="shared" si="24"/>
        <v>2094.4436363636364</v>
      </c>
      <c r="H151" s="19">
        <f t="shared" si="25"/>
        <v>8598.5289047272727</v>
      </c>
      <c r="I151" s="114" t="s">
        <v>1521</v>
      </c>
      <c r="J151" s="210">
        <f>VLOOKUP(I151,'Reajuste Atual'!$L$19:$M$25,2,FALSE)</f>
        <v>3.1053999999999999</v>
      </c>
      <c r="K151" s="192"/>
      <c r="L151" s="765">
        <v>4.63</v>
      </c>
      <c r="M151" s="765">
        <f t="shared" si="14"/>
        <v>3.3071428571428574</v>
      </c>
      <c r="N151" s="765">
        <f t="shared" si="15"/>
        <v>3.3672727272727272</v>
      </c>
      <c r="O151" s="765">
        <f t="shared" si="16"/>
        <v>3.3672727272727272</v>
      </c>
    </row>
    <row r="152" spans="1:15" s="98" customFormat="1" outlineLevel="1">
      <c r="B152" s="179" t="s">
        <v>1333</v>
      </c>
      <c r="C152" s="104" t="s">
        <v>3645</v>
      </c>
      <c r="D152" s="81"/>
      <c r="E152" s="88"/>
      <c r="F152" s="83"/>
      <c r="G152" s="88">
        <f>SUM(G153:G170)</f>
        <v>1130709.3600000003</v>
      </c>
      <c r="H152" s="88">
        <f>SUM(H153:H170)</f>
        <v>4642014.2065439997</v>
      </c>
      <c r="I152" s="112">
        <v>0</v>
      </c>
      <c r="J152" s="84"/>
      <c r="K152" s="190"/>
      <c r="L152" s="765"/>
      <c r="M152" s="765">
        <f t="shared" si="14"/>
        <v>0</v>
      </c>
      <c r="N152" s="765">
        <f t="shared" si="15"/>
        <v>0</v>
      </c>
      <c r="O152" s="765">
        <f t="shared" si="16"/>
        <v>0</v>
      </c>
    </row>
    <row r="153" spans="1:15" s="98" customFormat="1" outlineLevel="1">
      <c r="A153" s="141" t="s">
        <v>3483</v>
      </c>
      <c r="B153" s="175" t="s">
        <v>1334</v>
      </c>
      <c r="C153" s="100" t="s">
        <v>2683</v>
      </c>
      <c r="D153" s="183" t="s">
        <v>1468</v>
      </c>
      <c r="E153" s="491">
        <v>2488</v>
      </c>
      <c r="F153" s="20">
        <f t="shared" ref="F153:F170" si="26">O153</f>
        <v>5.7163636363636368</v>
      </c>
      <c r="G153" s="19">
        <f t="shared" ref="G153:G170" si="27">E153*F153</f>
        <v>14222.312727272729</v>
      </c>
      <c r="H153" s="19">
        <f t="shared" ref="H153:H170" si="28">G153*(1+J153)</f>
        <v>58388.282670545457</v>
      </c>
      <c r="I153" s="114" t="s">
        <v>1521</v>
      </c>
      <c r="J153" s="210">
        <f>VLOOKUP(I153,'Reajuste Atual'!$L$19:$M$25,2,FALSE)</f>
        <v>3.1053999999999999</v>
      </c>
      <c r="K153" s="190"/>
      <c r="L153" s="765">
        <v>7.86</v>
      </c>
      <c r="M153" s="765">
        <f t="shared" si="14"/>
        <v>5.6142857142857148</v>
      </c>
      <c r="N153" s="765">
        <f t="shared" si="15"/>
        <v>5.7163636363636368</v>
      </c>
      <c r="O153" s="765">
        <f t="shared" si="16"/>
        <v>5.7163636363636368</v>
      </c>
    </row>
    <row r="154" spans="1:15" s="98" customFormat="1" outlineLevel="1">
      <c r="A154" s="141" t="s">
        <v>3483</v>
      </c>
      <c r="B154" s="175" t="s">
        <v>1335</v>
      </c>
      <c r="C154" s="100" t="s">
        <v>2684</v>
      </c>
      <c r="D154" s="183" t="s">
        <v>1468</v>
      </c>
      <c r="E154" s="491">
        <v>1244</v>
      </c>
      <c r="F154" s="20">
        <f t="shared" si="26"/>
        <v>17.294545454545457</v>
      </c>
      <c r="G154" s="19">
        <f t="shared" si="27"/>
        <v>21514.414545454547</v>
      </c>
      <c r="H154" s="19">
        <f t="shared" si="28"/>
        <v>88325.27747490909</v>
      </c>
      <c r="I154" s="114" t="s">
        <v>1521</v>
      </c>
      <c r="J154" s="210">
        <f>VLOOKUP(I154,'Reajuste Atual'!$L$19:$M$25,2,FALSE)</f>
        <v>3.1053999999999999</v>
      </c>
      <c r="K154" s="190"/>
      <c r="L154" s="765">
        <v>23.78</v>
      </c>
      <c r="M154" s="765">
        <f t="shared" ref="M154:M197" si="29">L154/($M$23+1)</f>
        <v>16.985714285714288</v>
      </c>
      <c r="N154" s="765">
        <f t="shared" ref="N154:N197" si="30">L154/($N$23+1)</f>
        <v>17.294545454545457</v>
      </c>
      <c r="O154" s="765">
        <f t="shared" ref="O154:O197" si="31">IF(A154="S",M154,N154)</f>
        <v>17.294545454545457</v>
      </c>
    </row>
    <row r="155" spans="1:15" s="98" customFormat="1" outlineLevel="1">
      <c r="A155" s="141" t="s">
        <v>3483</v>
      </c>
      <c r="B155" s="175" t="s">
        <v>1336</v>
      </c>
      <c r="C155" s="100" t="s">
        <v>2685</v>
      </c>
      <c r="D155" s="183" t="s">
        <v>1468</v>
      </c>
      <c r="E155" s="491">
        <v>3732</v>
      </c>
      <c r="F155" s="20">
        <f t="shared" si="26"/>
        <v>10.567272727272726</v>
      </c>
      <c r="G155" s="19">
        <f t="shared" si="27"/>
        <v>39437.061818181814</v>
      </c>
      <c r="H155" s="19">
        <f t="shared" si="28"/>
        <v>161904.91358836359</v>
      </c>
      <c r="I155" s="114" t="s">
        <v>1521</v>
      </c>
      <c r="J155" s="210">
        <f>VLOOKUP(I155,'Reajuste Atual'!$L$19:$M$25,2,FALSE)</f>
        <v>3.1053999999999999</v>
      </c>
      <c r="K155" s="190"/>
      <c r="L155" s="765">
        <v>14.53</v>
      </c>
      <c r="M155" s="765">
        <f t="shared" si="29"/>
        <v>10.378571428571428</v>
      </c>
      <c r="N155" s="765">
        <f t="shared" si="30"/>
        <v>10.567272727272726</v>
      </c>
      <c r="O155" s="765">
        <f t="shared" si="31"/>
        <v>10.567272727272726</v>
      </c>
    </row>
    <row r="156" spans="1:15" s="98" customFormat="1" outlineLevel="1">
      <c r="A156" s="141" t="s">
        <v>3483</v>
      </c>
      <c r="B156" s="175" t="s">
        <v>1337</v>
      </c>
      <c r="C156" s="100" t="s">
        <v>2686</v>
      </c>
      <c r="D156" s="183" t="s">
        <v>1468</v>
      </c>
      <c r="E156" s="491">
        <v>8708</v>
      </c>
      <c r="F156" s="20">
        <f t="shared" si="26"/>
        <v>5.7890909090909091</v>
      </c>
      <c r="G156" s="19">
        <f t="shared" si="27"/>
        <v>50411.403636363633</v>
      </c>
      <c r="H156" s="19">
        <f t="shared" si="28"/>
        <v>206958.97648872723</v>
      </c>
      <c r="I156" s="114" t="s">
        <v>1521</v>
      </c>
      <c r="J156" s="210">
        <f>VLOOKUP(I156,'Reajuste Atual'!$L$19:$M$25,2,FALSE)</f>
        <v>3.1053999999999999</v>
      </c>
      <c r="K156" s="190"/>
      <c r="L156" s="765">
        <v>7.96</v>
      </c>
      <c r="M156" s="765">
        <f t="shared" si="29"/>
        <v>5.6857142857142859</v>
      </c>
      <c r="N156" s="765">
        <f t="shared" si="30"/>
        <v>5.7890909090909091</v>
      </c>
      <c r="O156" s="765">
        <f t="shared" si="31"/>
        <v>5.7890909090909091</v>
      </c>
    </row>
    <row r="157" spans="1:15" s="98" customFormat="1" outlineLevel="1">
      <c r="A157" s="141" t="s">
        <v>3483</v>
      </c>
      <c r="B157" s="175" t="s">
        <v>1338</v>
      </c>
      <c r="C157" s="100" t="s">
        <v>2687</v>
      </c>
      <c r="D157" s="183" t="s">
        <v>1468</v>
      </c>
      <c r="E157" s="491">
        <v>1244</v>
      </c>
      <c r="F157" s="20">
        <f t="shared" si="26"/>
        <v>264.93818181818182</v>
      </c>
      <c r="G157" s="19">
        <f t="shared" si="27"/>
        <v>329583.0981818182</v>
      </c>
      <c r="H157" s="19">
        <f t="shared" si="28"/>
        <v>1353070.4512756362</v>
      </c>
      <c r="I157" s="114" t="s">
        <v>1521</v>
      </c>
      <c r="J157" s="210">
        <f>VLOOKUP(I157,'Reajuste Atual'!$L$19:$M$25,2,FALSE)</f>
        <v>3.1053999999999999</v>
      </c>
      <c r="K157" s="190"/>
      <c r="L157" s="765">
        <v>364.29</v>
      </c>
      <c r="M157" s="765">
        <f t="shared" si="29"/>
        <v>260.20714285714291</v>
      </c>
      <c r="N157" s="765">
        <f t="shared" si="30"/>
        <v>264.93818181818182</v>
      </c>
      <c r="O157" s="765">
        <f t="shared" si="31"/>
        <v>264.93818181818182</v>
      </c>
    </row>
    <row r="158" spans="1:15" s="98" customFormat="1" outlineLevel="1">
      <c r="A158" s="141" t="s">
        <v>3483</v>
      </c>
      <c r="B158" s="175" t="s">
        <v>1339</v>
      </c>
      <c r="C158" s="100" t="s">
        <v>2688</v>
      </c>
      <c r="D158" s="183" t="s">
        <v>1468</v>
      </c>
      <c r="E158" s="491">
        <v>1245</v>
      </c>
      <c r="F158" s="20">
        <f t="shared" si="26"/>
        <v>8.3563636363636373</v>
      </c>
      <c r="G158" s="19">
        <f t="shared" si="27"/>
        <v>10403.672727272728</v>
      </c>
      <c r="H158" s="19">
        <f t="shared" si="28"/>
        <v>42711.238014545452</v>
      </c>
      <c r="I158" s="114" t="s">
        <v>1521</v>
      </c>
      <c r="J158" s="210">
        <f>VLOOKUP(I158,'Reajuste Atual'!$L$19:$M$25,2,FALSE)</f>
        <v>3.1053999999999999</v>
      </c>
      <c r="K158" s="190"/>
      <c r="L158" s="765">
        <v>11.49</v>
      </c>
      <c r="M158" s="765">
        <f t="shared" si="29"/>
        <v>8.2071428571428573</v>
      </c>
      <c r="N158" s="765">
        <f t="shared" si="30"/>
        <v>8.3563636363636373</v>
      </c>
      <c r="O158" s="765">
        <f t="shared" si="31"/>
        <v>8.3563636363636373</v>
      </c>
    </row>
    <row r="159" spans="1:15" s="98" customFormat="1" outlineLevel="1">
      <c r="A159" s="141" t="s">
        <v>3483</v>
      </c>
      <c r="B159" s="175" t="s">
        <v>1340</v>
      </c>
      <c r="C159" s="100" t="s">
        <v>2689</v>
      </c>
      <c r="D159" s="183" t="s">
        <v>1468</v>
      </c>
      <c r="E159" s="491">
        <v>1244</v>
      </c>
      <c r="F159" s="20">
        <f t="shared" si="26"/>
        <v>37.512727272727268</v>
      </c>
      <c r="G159" s="19">
        <f t="shared" si="27"/>
        <v>46665.832727272718</v>
      </c>
      <c r="H159" s="19">
        <f t="shared" si="28"/>
        <v>191581.9096785454</v>
      </c>
      <c r="I159" s="114" t="s">
        <v>1521</v>
      </c>
      <c r="J159" s="210">
        <f>VLOOKUP(I159,'Reajuste Atual'!$L$19:$M$25,2,FALSE)</f>
        <v>3.1053999999999999</v>
      </c>
      <c r="K159" s="190"/>
      <c r="L159" s="765">
        <v>51.58</v>
      </c>
      <c r="M159" s="765">
        <f t="shared" si="29"/>
        <v>36.842857142857142</v>
      </c>
      <c r="N159" s="765">
        <f t="shared" si="30"/>
        <v>37.512727272727268</v>
      </c>
      <c r="O159" s="765">
        <f t="shared" si="31"/>
        <v>37.512727272727268</v>
      </c>
    </row>
    <row r="160" spans="1:15" s="98" customFormat="1" outlineLevel="1">
      <c r="A160" s="141" t="s">
        <v>3483</v>
      </c>
      <c r="B160" s="175" t="s">
        <v>1341</v>
      </c>
      <c r="C160" s="100" t="s">
        <v>2690</v>
      </c>
      <c r="D160" s="183" t="s">
        <v>1468</v>
      </c>
      <c r="E160" s="491">
        <v>1244</v>
      </c>
      <c r="F160" s="20">
        <f t="shared" si="26"/>
        <v>16.82181818181818</v>
      </c>
      <c r="G160" s="19">
        <f t="shared" si="27"/>
        <v>20926.341818181816</v>
      </c>
      <c r="H160" s="19">
        <f t="shared" si="28"/>
        <v>85911.00370036361</v>
      </c>
      <c r="I160" s="114" t="s">
        <v>1521</v>
      </c>
      <c r="J160" s="210">
        <f>VLOOKUP(I160,'Reajuste Atual'!$L$19:$M$25,2,FALSE)</f>
        <v>3.1053999999999999</v>
      </c>
      <c r="K160" s="190"/>
      <c r="L160" s="765">
        <v>23.13</v>
      </c>
      <c r="M160" s="765">
        <f t="shared" si="29"/>
        <v>16.521428571428572</v>
      </c>
      <c r="N160" s="765">
        <f t="shared" si="30"/>
        <v>16.82181818181818</v>
      </c>
      <c r="O160" s="765">
        <f t="shared" si="31"/>
        <v>16.82181818181818</v>
      </c>
    </row>
    <row r="161" spans="1:15" s="98" customFormat="1" outlineLevel="1">
      <c r="A161" s="141" t="s">
        <v>3483</v>
      </c>
      <c r="B161" s="175" t="s">
        <v>1342</v>
      </c>
      <c r="C161" s="100" t="s">
        <v>2691</v>
      </c>
      <c r="D161" s="183" t="s">
        <v>1468</v>
      </c>
      <c r="E161" s="491">
        <v>1244</v>
      </c>
      <c r="F161" s="20">
        <f t="shared" si="26"/>
        <v>1.4909090909090907</v>
      </c>
      <c r="G161" s="19">
        <f t="shared" si="27"/>
        <v>1854.6909090909089</v>
      </c>
      <c r="H161" s="19">
        <f t="shared" si="28"/>
        <v>7614.2480581818163</v>
      </c>
      <c r="I161" s="114" t="s">
        <v>1521</v>
      </c>
      <c r="J161" s="210">
        <f>VLOOKUP(I161,'Reajuste Atual'!$L$19:$M$25,2,FALSE)</f>
        <v>3.1053999999999999</v>
      </c>
      <c r="K161" s="190"/>
      <c r="L161" s="765">
        <v>2.0499999999999998</v>
      </c>
      <c r="M161" s="765">
        <f t="shared" si="29"/>
        <v>1.4642857142857142</v>
      </c>
      <c r="N161" s="765">
        <f t="shared" si="30"/>
        <v>1.4909090909090907</v>
      </c>
      <c r="O161" s="765">
        <f t="shared" si="31"/>
        <v>1.4909090909090907</v>
      </c>
    </row>
    <row r="162" spans="1:15" s="98" customFormat="1" outlineLevel="1">
      <c r="A162" s="141" t="s">
        <v>3483</v>
      </c>
      <c r="B162" s="175" t="s">
        <v>1343</v>
      </c>
      <c r="C162" s="100" t="s">
        <v>2692</v>
      </c>
      <c r="D162" s="183" t="s">
        <v>1468</v>
      </c>
      <c r="E162" s="491">
        <v>1244</v>
      </c>
      <c r="F162" s="20">
        <f t="shared" si="26"/>
        <v>27.723636363636363</v>
      </c>
      <c r="G162" s="19">
        <f t="shared" si="27"/>
        <v>34488.203636363636</v>
      </c>
      <c r="H162" s="19">
        <f t="shared" si="28"/>
        <v>141587.87120872724</v>
      </c>
      <c r="I162" s="114" t="s">
        <v>1521</v>
      </c>
      <c r="J162" s="210">
        <f>VLOOKUP(I162,'Reajuste Atual'!$L$19:$M$25,2,FALSE)</f>
        <v>3.1053999999999999</v>
      </c>
      <c r="K162" s="190"/>
      <c r="L162" s="765">
        <v>38.119999999999997</v>
      </c>
      <c r="M162" s="765">
        <f t="shared" si="29"/>
        <v>27.228571428571428</v>
      </c>
      <c r="N162" s="765">
        <f t="shared" si="30"/>
        <v>27.723636363636363</v>
      </c>
      <c r="O162" s="765">
        <f t="shared" si="31"/>
        <v>27.723636363636363</v>
      </c>
    </row>
    <row r="163" spans="1:15" s="98" customFormat="1" outlineLevel="1">
      <c r="A163" s="141" t="s">
        <v>3483</v>
      </c>
      <c r="B163" s="175" t="s">
        <v>1344</v>
      </c>
      <c r="C163" s="100" t="s">
        <v>2664</v>
      </c>
      <c r="D163" s="183" t="s">
        <v>1468</v>
      </c>
      <c r="E163" s="491">
        <v>7464</v>
      </c>
      <c r="F163" s="20">
        <f t="shared" si="26"/>
        <v>3.76</v>
      </c>
      <c r="G163" s="19">
        <f t="shared" si="27"/>
        <v>28064.639999999999</v>
      </c>
      <c r="H163" s="19">
        <f t="shared" si="28"/>
        <v>115216.57305599998</v>
      </c>
      <c r="I163" s="114" t="s">
        <v>1521</v>
      </c>
      <c r="J163" s="210">
        <f>VLOOKUP(I163,'Reajuste Atual'!$L$19:$M$25,2,FALSE)</f>
        <v>3.1053999999999999</v>
      </c>
      <c r="K163" s="190"/>
      <c r="L163" s="765">
        <v>5.17</v>
      </c>
      <c r="M163" s="765">
        <f t="shared" si="29"/>
        <v>3.6928571428571431</v>
      </c>
      <c r="N163" s="765">
        <f t="shared" si="30"/>
        <v>3.76</v>
      </c>
      <c r="O163" s="765">
        <f t="shared" si="31"/>
        <v>3.76</v>
      </c>
    </row>
    <row r="164" spans="1:15" s="98" customFormat="1" outlineLevel="1">
      <c r="A164" s="141" t="s">
        <v>3483</v>
      </c>
      <c r="B164" s="175" t="s">
        <v>1345</v>
      </c>
      <c r="C164" s="100" t="s">
        <v>2693</v>
      </c>
      <c r="D164" s="183" t="s">
        <v>1468</v>
      </c>
      <c r="E164" s="491">
        <v>2488</v>
      </c>
      <c r="F164" s="20">
        <f t="shared" si="26"/>
        <v>99.207272727272724</v>
      </c>
      <c r="G164" s="19">
        <f t="shared" si="27"/>
        <v>246827.69454545455</v>
      </c>
      <c r="H164" s="19">
        <f t="shared" si="28"/>
        <v>1013326.417186909</v>
      </c>
      <c r="I164" s="114" t="s">
        <v>1521</v>
      </c>
      <c r="J164" s="210">
        <f>VLOOKUP(I164,'Reajuste Atual'!$L$19:$M$25,2,FALSE)</f>
        <v>3.1053999999999999</v>
      </c>
      <c r="K164" s="190"/>
      <c r="L164" s="765">
        <v>136.41</v>
      </c>
      <c r="M164" s="765">
        <f t="shared" si="29"/>
        <v>97.435714285714283</v>
      </c>
      <c r="N164" s="765">
        <f t="shared" si="30"/>
        <v>99.207272727272724</v>
      </c>
      <c r="O164" s="765">
        <f t="shared" si="31"/>
        <v>99.207272727272724</v>
      </c>
    </row>
    <row r="165" spans="1:15" s="98" customFormat="1" outlineLevel="1">
      <c r="A165" s="141" t="s">
        <v>3483</v>
      </c>
      <c r="B165" s="175" t="s">
        <v>1346</v>
      </c>
      <c r="C165" s="100" t="s">
        <v>2662</v>
      </c>
      <c r="D165" s="183" t="s">
        <v>1468</v>
      </c>
      <c r="E165" s="491">
        <v>2488</v>
      </c>
      <c r="F165" s="20">
        <f t="shared" si="26"/>
        <v>4.32</v>
      </c>
      <c r="G165" s="19">
        <f t="shared" si="27"/>
        <v>10748.16</v>
      </c>
      <c r="H165" s="19">
        <f t="shared" si="28"/>
        <v>44125.496063999992</v>
      </c>
      <c r="I165" s="114" t="s">
        <v>1521</v>
      </c>
      <c r="J165" s="210">
        <f>VLOOKUP(I165,'Reajuste Atual'!$L$19:$M$25,2,FALSE)</f>
        <v>3.1053999999999999</v>
      </c>
      <c r="K165" s="190"/>
      <c r="L165" s="765">
        <v>5.94</v>
      </c>
      <c r="M165" s="765">
        <f t="shared" si="29"/>
        <v>4.2428571428571438</v>
      </c>
      <c r="N165" s="765">
        <f t="shared" si="30"/>
        <v>4.32</v>
      </c>
      <c r="O165" s="765">
        <f t="shared" si="31"/>
        <v>4.32</v>
      </c>
    </row>
    <row r="166" spans="1:15" s="98" customFormat="1" outlineLevel="1">
      <c r="A166" s="141" t="s">
        <v>3483</v>
      </c>
      <c r="B166" s="175" t="s">
        <v>1347</v>
      </c>
      <c r="C166" s="100" t="s">
        <v>2694</v>
      </c>
      <c r="D166" s="183" t="s">
        <v>1468</v>
      </c>
      <c r="E166" s="491">
        <v>2488</v>
      </c>
      <c r="F166" s="20">
        <f t="shared" si="26"/>
        <v>1.4327272727272726</v>
      </c>
      <c r="G166" s="19">
        <f t="shared" si="27"/>
        <v>3564.6254545454544</v>
      </c>
      <c r="H166" s="19">
        <f t="shared" si="28"/>
        <v>14634.213341090906</v>
      </c>
      <c r="I166" s="114" t="s">
        <v>1521</v>
      </c>
      <c r="J166" s="210">
        <f>VLOOKUP(I166,'Reajuste Atual'!$L$19:$M$25,2,FALSE)</f>
        <v>3.1053999999999999</v>
      </c>
      <c r="K166" s="190"/>
      <c r="L166" s="765">
        <v>1.97</v>
      </c>
      <c r="M166" s="765">
        <f t="shared" si="29"/>
        <v>1.4071428571428573</v>
      </c>
      <c r="N166" s="765">
        <f t="shared" si="30"/>
        <v>1.4327272727272726</v>
      </c>
      <c r="O166" s="765">
        <f t="shared" si="31"/>
        <v>1.4327272727272726</v>
      </c>
    </row>
    <row r="167" spans="1:15" s="98" customFormat="1" outlineLevel="1">
      <c r="A167" s="141" t="s">
        <v>3483</v>
      </c>
      <c r="B167" s="175" t="s">
        <v>1348</v>
      </c>
      <c r="C167" s="100" t="s">
        <v>2695</v>
      </c>
      <c r="D167" s="183" t="s">
        <v>1468</v>
      </c>
      <c r="E167" s="491">
        <v>4976</v>
      </c>
      <c r="F167" s="20">
        <f t="shared" si="26"/>
        <v>33.381818181818183</v>
      </c>
      <c r="G167" s="19">
        <f t="shared" si="27"/>
        <v>166107.92727272728</v>
      </c>
      <c r="H167" s="19">
        <f t="shared" si="28"/>
        <v>681939.48462545453</v>
      </c>
      <c r="I167" s="114" t="s">
        <v>1521</v>
      </c>
      <c r="J167" s="210">
        <f>VLOOKUP(I167,'Reajuste Atual'!$L$19:$M$25,2,FALSE)</f>
        <v>3.1053999999999999</v>
      </c>
      <c r="K167" s="190"/>
      <c r="L167" s="765">
        <v>45.9</v>
      </c>
      <c r="M167" s="765">
        <f t="shared" si="29"/>
        <v>32.785714285714285</v>
      </c>
      <c r="N167" s="765">
        <f t="shared" si="30"/>
        <v>33.381818181818183</v>
      </c>
      <c r="O167" s="765">
        <f t="shared" si="31"/>
        <v>33.381818181818183</v>
      </c>
    </row>
    <row r="168" spans="1:15" s="98" customFormat="1" outlineLevel="1">
      <c r="A168" s="141" t="s">
        <v>3483</v>
      </c>
      <c r="B168" s="175" t="s">
        <v>1349</v>
      </c>
      <c r="C168" s="100" t="s">
        <v>2696</v>
      </c>
      <c r="D168" s="183" t="s">
        <v>1468</v>
      </c>
      <c r="E168" s="491">
        <v>2488</v>
      </c>
      <c r="F168" s="20">
        <f t="shared" si="26"/>
        <v>27.534545454545455</v>
      </c>
      <c r="G168" s="19">
        <f t="shared" si="27"/>
        <v>68505.949090909096</v>
      </c>
      <c r="H168" s="19">
        <f t="shared" si="28"/>
        <v>281244.3233978182</v>
      </c>
      <c r="I168" s="114" t="s">
        <v>1521</v>
      </c>
      <c r="J168" s="210">
        <f>VLOOKUP(I168,'Reajuste Atual'!$L$19:$M$25,2,FALSE)</f>
        <v>3.1053999999999999</v>
      </c>
      <c r="K168" s="190"/>
      <c r="L168" s="765">
        <v>37.86</v>
      </c>
      <c r="M168" s="765">
        <f t="shared" si="29"/>
        <v>27.042857142857144</v>
      </c>
      <c r="N168" s="765">
        <f t="shared" si="30"/>
        <v>27.534545454545455</v>
      </c>
      <c r="O168" s="765">
        <f t="shared" si="31"/>
        <v>27.534545454545455</v>
      </c>
    </row>
    <row r="169" spans="1:15" s="98" customFormat="1" outlineLevel="1">
      <c r="A169" s="141" t="s">
        <v>3483</v>
      </c>
      <c r="B169" s="175" t="s">
        <v>1350</v>
      </c>
      <c r="C169" s="100" t="s">
        <v>2697</v>
      </c>
      <c r="D169" s="183" t="s">
        <v>1468</v>
      </c>
      <c r="E169" s="491">
        <v>2488</v>
      </c>
      <c r="F169" s="20">
        <f t="shared" si="26"/>
        <v>13.767272727272728</v>
      </c>
      <c r="G169" s="19">
        <f t="shared" si="27"/>
        <v>34252.974545454548</v>
      </c>
      <c r="H169" s="19">
        <f t="shared" si="28"/>
        <v>140622.1616989091</v>
      </c>
      <c r="I169" s="114" t="s">
        <v>1521</v>
      </c>
      <c r="J169" s="210">
        <f>VLOOKUP(I169,'Reajuste Atual'!$L$19:$M$25,2,FALSE)</f>
        <v>3.1053999999999999</v>
      </c>
      <c r="K169" s="190"/>
      <c r="L169" s="765">
        <v>18.93</v>
      </c>
      <c r="M169" s="765">
        <f t="shared" si="29"/>
        <v>13.521428571428572</v>
      </c>
      <c r="N169" s="765">
        <f t="shared" si="30"/>
        <v>13.767272727272728</v>
      </c>
      <c r="O169" s="765">
        <f t="shared" si="31"/>
        <v>13.767272727272728</v>
      </c>
    </row>
    <row r="170" spans="1:15" s="98" customFormat="1" outlineLevel="1">
      <c r="A170" s="141" t="s">
        <v>3483</v>
      </c>
      <c r="B170" s="175" t="s">
        <v>1351</v>
      </c>
      <c r="C170" s="100" t="s">
        <v>2658</v>
      </c>
      <c r="D170" s="183" t="s">
        <v>1468</v>
      </c>
      <c r="E170" s="491">
        <v>2488</v>
      </c>
      <c r="F170" s="20">
        <f t="shared" si="26"/>
        <v>1.2581818181818181</v>
      </c>
      <c r="G170" s="19">
        <f t="shared" si="27"/>
        <v>3130.3563636363633</v>
      </c>
      <c r="H170" s="19">
        <f t="shared" si="28"/>
        <v>12851.365015272724</v>
      </c>
      <c r="I170" s="114" t="s">
        <v>1521</v>
      </c>
      <c r="J170" s="210">
        <f>VLOOKUP(I170,'Reajuste Atual'!$L$19:$M$25,2,FALSE)</f>
        <v>3.1053999999999999</v>
      </c>
      <c r="K170" s="192"/>
      <c r="L170" s="765">
        <v>1.73</v>
      </c>
      <c r="M170" s="765">
        <f t="shared" si="29"/>
        <v>1.2357142857142858</v>
      </c>
      <c r="N170" s="765">
        <f t="shared" si="30"/>
        <v>1.2581818181818181</v>
      </c>
      <c r="O170" s="765">
        <f t="shared" si="31"/>
        <v>1.2581818181818181</v>
      </c>
    </row>
    <row r="171" spans="1:15" s="98" customFormat="1" ht="15" customHeight="1" outlineLevel="1">
      <c r="B171" s="179" t="s">
        <v>1352</v>
      </c>
      <c r="C171" s="104" t="s">
        <v>3646</v>
      </c>
      <c r="D171" s="81"/>
      <c r="E171" s="88"/>
      <c r="F171" s="83"/>
      <c r="G171" s="88">
        <f>SUM(G172:G179)</f>
        <v>1079464.5818181818</v>
      </c>
      <c r="H171" s="88">
        <f>SUM(H172:H179)</f>
        <v>4431633.8941963632</v>
      </c>
      <c r="I171" s="112">
        <v>0</v>
      </c>
      <c r="J171" s="84"/>
      <c r="K171" s="190"/>
      <c r="L171" s="765"/>
      <c r="M171" s="765">
        <f t="shared" si="29"/>
        <v>0</v>
      </c>
      <c r="N171" s="765">
        <f t="shared" si="30"/>
        <v>0</v>
      </c>
      <c r="O171" s="765">
        <f t="shared" si="31"/>
        <v>0</v>
      </c>
    </row>
    <row r="172" spans="1:15" s="98" customFormat="1" outlineLevel="1">
      <c r="A172" s="141" t="s">
        <v>3483</v>
      </c>
      <c r="B172" s="175" t="s">
        <v>1353</v>
      </c>
      <c r="C172" s="100" t="s">
        <v>2698</v>
      </c>
      <c r="D172" s="183" t="s">
        <v>1468</v>
      </c>
      <c r="E172" s="491">
        <v>19540</v>
      </c>
      <c r="F172" s="20">
        <f t="shared" ref="F172:F179" si="32">O172</f>
        <v>5.4909090909090912</v>
      </c>
      <c r="G172" s="19">
        <f t="shared" ref="G172:G179" si="33">E172*F172</f>
        <v>107292.36363636365</v>
      </c>
      <c r="H172" s="19">
        <f t="shared" ref="H172:H179" si="34">G172*(1+J172)</f>
        <v>440478.06967272726</v>
      </c>
      <c r="I172" s="114" t="s">
        <v>1521</v>
      </c>
      <c r="J172" s="210">
        <f>VLOOKUP(I172,'Reajuste Atual'!$L$19:$M$25,2,FALSE)</f>
        <v>3.1053999999999999</v>
      </c>
      <c r="K172" s="190"/>
      <c r="L172" s="765">
        <v>7.55</v>
      </c>
      <c r="M172" s="765">
        <f t="shared" si="29"/>
        <v>5.3928571428571432</v>
      </c>
      <c r="N172" s="765">
        <f t="shared" si="30"/>
        <v>5.4909090909090912</v>
      </c>
      <c r="O172" s="765">
        <f t="shared" si="31"/>
        <v>5.4909090909090912</v>
      </c>
    </row>
    <row r="173" spans="1:15" s="98" customFormat="1" outlineLevel="1">
      <c r="A173" s="141" t="s">
        <v>3483</v>
      </c>
      <c r="B173" s="175" t="s">
        <v>1354</v>
      </c>
      <c r="C173" s="100" t="s">
        <v>2699</v>
      </c>
      <c r="D173" s="183" t="s">
        <v>1468</v>
      </c>
      <c r="E173" s="491">
        <v>19540</v>
      </c>
      <c r="F173" s="20">
        <f t="shared" si="32"/>
        <v>1.4909090909090907</v>
      </c>
      <c r="G173" s="19">
        <f t="shared" si="33"/>
        <v>29132.363636363632</v>
      </c>
      <c r="H173" s="19">
        <f t="shared" si="34"/>
        <v>119600.00567272725</v>
      </c>
      <c r="I173" s="114" t="s">
        <v>1521</v>
      </c>
      <c r="J173" s="210">
        <f>VLOOKUP(I173,'Reajuste Atual'!$L$19:$M$25,2,FALSE)</f>
        <v>3.1053999999999999</v>
      </c>
      <c r="K173" s="190"/>
      <c r="L173" s="765">
        <v>2.0499999999999998</v>
      </c>
      <c r="M173" s="765">
        <f t="shared" si="29"/>
        <v>1.4642857142857142</v>
      </c>
      <c r="N173" s="765">
        <f t="shared" si="30"/>
        <v>1.4909090909090907</v>
      </c>
      <c r="O173" s="765">
        <f t="shared" si="31"/>
        <v>1.4909090909090907</v>
      </c>
    </row>
    <row r="174" spans="1:15" s="98" customFormat="1" outlineLevel="1">
      <c r="A174" s="141" t="s">
        <v>3483</v>
      </c>
      <c r="B174" s="175" t="s">
        <v>1355</v>
      </c>
      <c r="C174" s="100" t="s">
        <v>2700</v>
      </c>
      <c r="D174" s="183" t="s">
        <v>1468</v>
      </c>
      <c r="E174" s="491">
        <v>19540</v>
      </c>
      <c r="F174" s="20">
        <f t="shared" si="32"/>
        <v>5.5563636363636357</v>
      </c>
      <c r="G174" s="19">
        <f t="shared" si="33"/>
        <v>108571.34545454544</v>
      </c>
      <c r="H174" s="19">
        <f t="shared" si="34"/>
        <v>445728.8016290908</v>
      </c>
      <c r="I174" s="114" t="s">
        <v>1521</v>
      </c>
      <c r="J174" s="210">
        <f>VLOOKUP(I174,'Reajuste Atual'!$L$19:$M$25,2,FALSE)</f>
        <v>3.1053999999999999</v>
      </c>
      <c r="K174" s="190"/>
      <c r="L174" s="765">
        <v>7.64</v>
      </c>
      <c r="M174" s="765">
        <f t="shared" si="29"/>
        <v>5.4571428571428573</v>
      </c>
      <c r="N174" s="765">
        <f t="shared" si="30"/>
        <v>5.5563636363636357</v>
      </c>
      <c r="O174" s="765">
        <f t="shared" si="31"/>
        <v>5.5563636363636357</v>
      </c>
    </row>
    <row r="175" spans="1:15" s="98" customFormat="1" outlineLevel="1">
      <c r="A175" s="141" t="s">
        <v>3483</v>
      </c>
      <c r="B175" s="175" t="s">
        <v>1356</v>
      </c>
      <c r="C175" s="100" t="s">
        <v>2701</v>
      </c>
      <c r="D175" s="183" t="s">
        <v>1468</v>
      </c>
      <c r="E175" s="491">
        <v>19540</v>
      </c>
      <c r="F175" s="20">
        <f t="shared" si="32"/>
        <v>0.6836363636363636</v>
      </c>
      <c r="G175" s="19">
        <f t="shared" si="33"/>
        <v>13358.254545454545</v>
      </c>
      <c r="H175" s="19">
        <f t="shared" si="34"/>
        <v>54840.978210909081</v>
      </c>
      <c r="I175" s="114" t="s">
        <v>1521</v>
      </c>
      <c r="J175" s="210">
        <f>VLOOKUP(I175,'Reajuste Atual'!$L$19:$M$25,2,FALSE)</f>
        <v>3.1053999999999999</v>
      </c>
      <c r="K175" s="190"/>
      <c r="L175" s="765">
        <v>0.94</v>
      </c>
      <c r="M175" s="765">
        <f t="shared" si="29"/>
        <v>0.67142857142857149</v>
      </c>
      <c r="N175" s="765">
        <f t="shared" si="30"/>
        <v>0.6836363636363636</v>
      </c>
      <c r="O175" s="765">
        <f t="shared" si="31"/>
        <v>0.6836363636363636</v>
      </c>
    </row>
    <row r="176" spans="1:15" s="98" customFormat="1" outlineLevel="1">
      <c r="A176" s="141" t="s">
        <v>3483</v>
      </c>
      <c r="B176" s="175" t="s">
        <v>1357</v>
      </c>
      <c r="C176" s="100" t="s">
        <v>2702</v>
      </c>
      <c r="D176" s="183" t="s">
        <v>1468</v>
      </c>
      <c r="E176" s="491">
        <v>19540</v>
      </c>
      <c r="F176" s="20">
        <f t="shared" si="32"/>
        <v>0.72</v>
      </c>
      <c r="G176" s="19">
        <f t="shared" si="33"/>
        <v>14068.8</v>
      </c>
      <c r="H176" s="19">
        <f t="shared" si="34"/>
        <v>57758.051519999986</v>
      </c>
      <c r="I176" s="114" t="s">
        <v>1521</v>
      </c>
      <c r="J176" s="210">
        <f>VLOOKUP(I176,'Reajuste Atual'!$L$19:$M$25,2,FALSE)</f>
        <v>3.1053999999999999</v>
      </c>
      <c r="K176" s="190"/>
      <c r="L176" s="765">
        <v>0.99</v>
      </c>
      <c r="M176" s="765">
        <f t="shared" si="29"/>
        <v>0.70714285714285718</v>
      </c>
      <c r="N176" s="765">
        <f t="shared" si="30"/>
        <v>0.72</v>
      </c>
      <c r="O176" s="765">
        <f t="shared" si="31"/>
        <v>0.72</v>
      </c>
    </row>
    <row r="177" spans="1:15" s="98" customFormat="1" outlineLevel="1">
      <c r="A177" s="141" t="s">
        <v>3483</v>
      </c>
      <c r="B177" s="175" t="s">
        <v>1358</v>
      </c>
      <c r="C177" s="100" t="s">
        <v>2703</v>
      </c>
      <c r="D177" s="99" t="s">
        <v>1472</v>
      </c>
      <c r="E177" s="491">
        <v>195400</v>
      </c>
      <c r="F177" s="20">
        <f t="shared" si="32"/>
        <v>0.37090909090909091</v>
      </c>
      <c r="G177" s="19">
        <f t="shared" si="33"/>
        <v>72475.636363636368</v>
      </c>
      <c r="H177" s="19">
        <f t="shared" si="34"/>
        <v>297541.47752727271</v>
      </c>
      <c r="I177" s="114" t="s">
        <v>1521</v>
      </c>
      <c r="J177" s="210">
        <f>VLOOKUP(I177,'Reajuste Atual'!$L$19:$M$25,2,FALSE)</f>
        <v>3.1053999999999999</v>
      </c>
      <c r="K177" s="190"/>
      <c r="L177" s="765">
        <v>0.51</v>
      </c>
      <c r="M177" s="765">
        <f t="shared" si="29"/>
        <v>0.36428571428571432</v>
      </c>
      <c r="N177" s="765">
        <f t="shared" si="30"/>
        <v>0.37090909090909091</v>
      </c>
      <c r="O177" s="765">
        <f t="shared" si="31"/>
        <v>0.37090909090909091</v>
      </c>
    </row>
    <row r="178" spans="1:15" s="98" customFormat="1" ht="31.5" outlineLevel="1">
      <c r="A178" s="141" t="s">
        <v>3483</v>
      </c>
      <c r="B178" s="175" t="s">
        <v>1359</v>
      </c>
      <c r="C178" s="100" t="s">
        <v>2704</v>
      </c>
      <c r="D178" s="183" t="s">
        <v>1468</v>
      </c>
      <c r="E178" s="491">
        <v>831920</v>
      </c>
      <c r="F178" s="20">
        <f t="shared" si="32"/>
        <v>0.87272727272727268</v>
      </c>
      <c r="G178" s="19">
        <f t="shared" si="33"/>
        <v>726039.27272727271</v>
      </c>
      <c r="H178" s="19">
        <f t="shared" si="34"/>
        <v>2980681.6302545448</v>
      </c>
      <c r="I178" s="114" t="s">
        <v>1521</v>
      </c>
      <c r="J178" s="210">
        <f>VLOOKUP(I178,'Reajuste Atual'!$L$19:$M$25,2,FALSE)</f>
        <v>3.1053999999999999</v>
      </c>
      <c r="K178" s="190"/>
      <c r="L178" s="765">
        <v>1.2</v>
      </c>
      <c r="M178" s="765">
        <f t="shared" si="29"/>
        <v>0.85714285714285721</v>
      </c>
      <c r="N178" s="765">
        <f t="shared" si="30"/>
        <v>0.87272727272727268</v>
      </c>
      <c r="O178" s="765">
        <f t="shared" si="31"/>
        <v>0.87272727272727268</v>
      </c>
    </row>
    <row r="179" spans="1:15" s="98" customFormat="1" outlineLevel="1">
      <c r="A179" s="141" t="s">
        <v>3483</v>
      </c>
      <c r="B179" s="175" t="s">
        <v>1360</v>
      </c>
      <c r="C179" s="100" t="s">
        <v>2705</v>
      </c>
      <c r="D179" s="183" t="s">
        <v>1468</v>
      </c>
      <c r="E179" s="491">
        <v>78160</v>
      </c>
      <c r="F179" s="20">
        <f t="shared" si="32"/>
        <v>0.10909090909090909</v>
      </c>
      <c r="G179" s="19">
        <f t="shared" si="33"/>
        <v>8526.545454545454</v>
      </c>
      <c r="H179" s="19">
        <f t="shared" si="34"/>
        <v>35004.879709090899</v>
      </c>
      <c r="I179" s="114" t="s">
        <v>1521</v>
      </c>
      <c r="J179" s="210">
        <f>VLOOKUP(I179,'Reajuste Atual'!$L$19:$M$25,2,FALSE)</f>
        <v>3.1053999999999999</v>
      </c>
      <c r="K179" s="192"/>
      <c r="L179" s="765">
        <v>0.15</v>
      </c>
      <c r="M179" s="765">
        <f t="shared" si="29"/>
        <v>0.10714285714285715</v>
      </c>
      <c r="N179" s="765">
        <f t="shared" si="30"/>
        <v>0.10909090909090909</v>
      </c>
      <c r="O179" s="765">
        <f t="shared" si="31"/>
        <v>0.10909090909090909</v>
      </c>
    </row>
    <row r="180" spans="1:15" s="98" customFormat="1" ht="15" customHeight="1" outlineLevel="1">
      <c r="B180" s="179" t="s">
        <v>1361</v>
      </c>
      <c r="C180" s="104" t="s">
        <v>3647</v>
      </c>
      <c r="D180" s="81"/>
      <c r="E180" s="88"/>
      <c r="F180" s="83"/>
      <c r="G180" s="88">
        <f>SUM(G181:G189)</f>
        <v>3225995.9200000004</v>
      </c>
      <c r="H180" s="88">
        <f>SUM(H181:H189)</f>
        <v>13244003.649968</v>
      </c>
      <c r="I180" s="112">
        <v>0</v>
      </c>
      <c r="J180" s="84"/>
      <c r="K180" s="190"/>
      <c r="L180" s="765"/>
      <c r="M180" s="765">
        <f t="shared" si="29"/>
        <v>0</v>
      </c>
      <c r="N180" s="765">
        <f t="shared" si="30"/>
        <v>0</v>
      </c>
      <c r="O180" s="765">
        <f t="shared" si="31"/>
        <v>0</v>
      </c>
    </row>
    <row r="181" spans="1:15" s="98" customFormat="1" outlineLevel="1">
      <c r="A181" s="141" t="s">
        <v>3483</v>
      </c>
      <c r="B181" s="175" t="s">
        <v>1362</v>
      </c>
      <c r="C181" s="100" t="s">
        <v>2706</v>
      </c>
      <c r="D181" s="183" t="s">
        <v>1468</v>
      </c>
      <c r="E181" s="491">
        <v>19540</v>
      </c>
      <c r="F181" s="20">
        <f t="shared" ref="F181:F189" si="35">O181</f>
        <v>5.585454545454545</v>
      </c>
      <c r="G181" s="19">
        <f t="shared" ref="G181:G189" si="36">E181*F181</f>
        <v>109139.78181818181</v>
      </c>
      <c r="H181" s="19">
        <f t="shared" ref="H181:H189" si="37">G181*(1+J181)</f>
        <v>448062.46027636359</v>
      </c>
      <c r="I181" s="114" t="s">
        <v>1521</v>
      </c>
      <c r="J181" s="210">
        <f>VLOOKUP(I181,'Reajuste Atual'!$L$19:$M$25,2,FALSE)</f>
        <v>3.1053999999999999</v>
      </c>
      <c r="K181" s="190"/>
      <c r="L181" s="765">
        <v>7.68</v>
      </c>
      <c r="M181" s="765">
        <f t="shared" si="29"/>
        <v>5.4857142857142858</v>
      </c>
      <c r="N181" s="765">
        <f t="shared" si="30"/>
        <v>5.585454545454545</v>
      </c>
      <c r="O181" s="765">
        <f t="shared" si="31"/>
        <v>5.585454545454545</v>
      </c>
    </row>
    <row r="182" spans="1:15" s="98" customFormat="1" outlineLevel="1">
      <c r="A182" s="141" t="s">
        <v>3483</v>
      </c>
      <c r="B182" s="175" t="s">
        <v>1363</v>
      </c>
      <c r="C182" s="100" t="s">
        <v>2691</v>
      </c>
      <c r="D182" s="183" t="s">
        <v>1468</v>
      </c>
      <c r="E182" s="491">
        <v>19540</v>
      </c>
      <c r="F182" s="20">
        <f t="shared" si="35"/>
        <v>1.4909090909090907</v>
      </c>
      <c r="G182" s="19">
        <f t="shared" si="36"/>
        <v>29132.363636363632</v>
      </c>
      <c r="H182" s="19">
        <f t="shared" si="37"/>
        <v>119600.00567272725</v>
      </c>
      <c r="I182" s="114" t="s">
        <v>1521</v>
      </c>
      <c r="J182" s="210">
        <f>VLOOKUP(I182,'Reajuste Atual'!$L$19:$M$25,2,FALSE)</f>
        <v>3.1053999999999999</v>
      </c>
      <c r="K182" s="190"/>
      <c r="L182" s="765">
        <v>2.0499999999999998</v>
      </c>
      <c r="M182" s="765">
        <f t="shared" si="29"/>
        <v>1.4642857142857142</v>
      </c>
      <c r="N182" s="765">
        <f t="shared" si="30"/>
        <v>1.4909090909090907</v>
      </c>
      <c r="O182" s="765">
        <f t="shared" si="31"/>
        <v>1.4909090909090907</v>
      </c>
    </row>
    <row r="183" spans="1:15" s="98" customFormat="1" outlineLevel="1">
      <c r="A183" s="141" t="s">
        <v>3483</v>
      </c>
      <c r="B183" s="175" t="s">
        <v>1364</v>
      </c>
      <c r="C183" s="100" t="s">
        <v>2700</v>
      </c>
      <c r="D183" s="183" t="s">
        <v>1468</v>
      </c>
      <c r="E183" s="491">
        <v>19540</v>
      </c>
      <c r="F183" s="20">
        <f t="shared" si="35"/>
        <v>5.7163636363636368</v>
      </c>
      <c r="G183" s="19">
        <f t="shared" si="36"/>
        <v>111697.74545454547</v>
      </c>
      <c r="H183" s="19">
        <f t="shared" si="37"/>
        <v>458563.9241890909</v>
      </c>
      <c r="I183" s="114" t="s">
        <v>1521</v>
      </c>
      <c r="J183" s="210">
        <f>VLOOKUP(I183,'Reajuste Atual'!$L$19:$M$25,2,FALSE)</f>
        <v>3.1053999999999999</v>
      </c>
      <c r="K183" s="190"/>
      <c r="L183" s="765">
        <v>7.86</v>
      </c>
      <c r="M183" s="765">
        <f t="shared" si="29"/>
        <v>5.6142857142857148</v>
      </c>
      <c r="N183" s="765">
        <f t="shared" si="30"/>
        <v>5.7163636363636368</v>
      </c>
      <c r="O183" s="765">
        <f t="shared" si="31"/>
        <v>5.7163636363636368</v>
      </c>
    </row>
    <row r="184" spans="1:15" s="98" customFormat="1" outlineLevel="1">
      <c r="A184" s="141" t="s">
        <v>3483</v>
      </c>
      <c r="B184" s="175" t="s">
        <v>1365</v>
      </c>
      <c r="C184" s="100" t="s">
        <v>2701</v>
      </c>
      <c r="D184" s="183" t="s">
        <v>1468</v>
      </c>
      <c r="E184" s="491">
        <v>19540</v>
      </c>
      <c r="F184" s="20">
        <f t="shared" si="35"/>
        <v>0.6836363636363636</v>
      </c>
      <c r="G184" s="19">
        <f t="shared" si="36"/>
        <v>13358.254545454545</v>
      </c>
      <c r="H184" s="19">
        <f t="shared" si="37"/>
        <v>54840.978210909081</v>
      </c>
      <c r="I184" s="114" t="s">
        <v>1521</v>
      </c>
      <c r="J184" s="210">
        <f>VLOOKUP(I184,'Reajuste Atual'!$L$19:$M$25,2,FALSE)</f>
        <v>3.1053999999999999</v>
      </c>
      <c r="K184" s="190"/>
      <c r="L184" s="765">
        <v>0.94</v>
      </c>
      <c r="M184" s="765">
        <f t="shared" si="29"/>
        <v>0.67142857142857149</v>
      </c>
      <c r="N184" s="765">
        <f t="shared" si="30"/>
        <v>0.6836363636363636</v>
      </c>
      <c r="O184" s="765">
        <f t="shared" si="31"/>
        <v>0.6836363636363636</v>
      </c>
    </row>
    <row r="185" spans="1:15" s="98" customFormat="1" outlineLevel="1">
      <c r="A185" s="141" t="s">
        <v>3483</v>
      </c>
      <c r="B185" s="175" t="s">
        <v>1366</v>
      </c>
      <c r="C185" s="100" t="s">
        <v>2707</v>
      </c>
      <c r="D185" s="183" t="s">
        <v>1468</v>
      </c>
      <c r="E185" s="491">
        <v>19540</v>
      </c>
      <c r="F185" s="20">
        <f t="shared" si="35"/>
        <v>0.84363636363636363</v>
      </c>
      <c r="G185" s="19">
        <f t="shared" si="36"/>
        <v>16484.654545454545</v>
      </c>
      <c r="H185" s="19">
        <f t="shared" si="37"/>
        <v>67676.100770909077</v>
      </c>
      <c r="I185" s="114" t="s">
        <v>1521</v>
      </c>
      <c r="J185" s="210">
        <f>VLOOKUP(I185,'Reajuste Atual'!$L$19:$M$25,2,FALSE)</f>
        <v>3.1053999999999999</v>
      </c>
      <c r="K185" s="190"/>
      <c r="L185" s="765">
        <v>1.1599999999999999</v>
      </c>
      <c r="M185" s="765">
        <f t="shared" si="29"/>
        <v>0.82857142857142851</v>
      </c>
      <c r="N185" s="765">
        <f t="shared" si="30"/>
        <v>0.84363636363636363</v>
      </c>
      <c r="O185" s="765">
        <f t="shared" si="31"/>
        <v>0.84363636363636363</v>
      </c>
    </row>
    <row r="186" spans="1:15" s="98" customFormat="1" outlineLevel="1">
      <c r="A186" s="141" t="s">
        <v>3483</v>
      </c>
      <c r="B186" s="175" t="s">
        <v>1367</v>
      </c>
      <c r="C186" s="100" t="s">
        <v>2708</v>
      </c>
      <c r="D186" s="99" t="s">
        <v>1472</v>
      </c>
      <c r="E186" s="491">
        <v>195400</v>
      </c>
      <c r="F186" s="20">
        <f t="shared" si="35"/>
        <v>0.24000000000000002</v>
      </c>
      <c r="G186" s="19">
        <f t="shared" si="36"/>
        <v>46896.000000000007</v>
      </c>
      <c r="H186" s="19">
        <f t="shared" si="37"/>
        <v>192526.83840000001</v>
      </c>
      <c r="I186" s="114" t="s">
        <v>1521</v>
      </c>
      <c r="J186" s="210">
        <f>VLOOKUP(I186,'Reajuste Atual'!$L$19:$M$25,2,FALSE)</f>
        <v>3.1053999999999999</v>
      </c>
      <c r="K186" s="190"/>
      <c r="L186" s="765">
        <v>0.33</v>
      </c>
      <c r="M186" s="765">
        <f t="shared" si="29"/>
        <v>0.23571428571428574</v>
      </c>
      <c r="N186" s="765">
        <f t="shared" si="30"/>
        <v>0.24000000000000002</v>
      </c>
      <c r="O186" s="765">
        <f t="shared" si="31"/>
        <v>0.24000000000000002</v>
      </c>
    </row>
    <row r="187" spans="1:15" s="98" customFormat="1" outlineLevel="1">
      <c r="A187" s="141" t="s">
        <v>3483</v>
      </c>
      <c r="B187" s="175" t="s">
        <v>1368</v>
      </c>
      <c r="C187" s="100" t="s">
        <v>2709</v>
      </c>
      <c r="D187" s="183" t="s">
        <v>1468</v>
      </c>
      <c r="E187" s="491">
        <v>117240</v>
      </c>
      <c r="F187" s="20">
        <f t="shared" si="35"/>
        <v>0.15272727272727271</v>
      </c>
      <c r="G187" s="19">
        <f t="shared" si="36"/>
        <v>17905.745454545453</v>
      </c>
      <c r="H187" s="19">
        <f t="shared" si="37"/>
        <v>73510.247389090888</v>
      </c>
      <c r="I187" s="114" t="s">
        <v>1521</v>
      </c>
      <c r="J187" s="210">
        <f>VLOOKUP(I187,'Reajuste Atual'!$L$19:$M$25,2,FALSE)</f>
        <v>3.1053999999999999</v>
      </c>
      <c r="K187" s="190"/>
      <c r="L187" s="765">
        <v>0.21</v>
      </c>
      <c r="M187" s="765">
        <f t="shared" si="29"/>
        <v>0.15</v>
      </c>
      <c r="N187" s="765">
        <f t="shared" si="30"/>
        <v>0.15272727272727271</v>
      </c>
      <c r="O187" s="765">
        <f t="shared" si="31"/>
        <v>0.15272727272727271</v>
      </c>
    </row>
    <row r="188" spans="1:15" s="98" customFormat="1" outlineLevel="1">
      <c r="A188" s="141" t="s">
        <v>3483</v>
      </c>
      <c r="B188" s="175" t="s">
        <v>1369</v>
      </c>
      <c r="C188" s="766" t="s">
        <v>2710</v>
      </c>
      <c r="D188" s="99" t="s">
        <v>1472</v>
      </c>
      <c r="E188" s="491">
        <v>6257093</v>
      </c>
      <c r="F188" s="20">
        <f t="shared" si="35"/>
        <v>0.45818181818181819</v>
      </c>
      <c r="G188" s="19">
        <f t="shared" si="36"/>
        <v>2866886.2472727275</v>
      </c>
      <c r="H188" s="19">
        <f t="shared" si="37"/>
        <v>11769714.799553454</v>
      </c>
      <c r="I188" s="114" t="s">
        <v>1521</v>
      </c>
      <c r="J188" s="210">
        <f>VLOOKUP(I188,'Reajuste Atual'!$L$19:$M$25,2,FALSE)</f>
        <v>3.1053999999999999</v>
      </c>
      <c r="K188" s="190"/>
      <c r="L188" s="765">
        <v>0.63</v>
      </c>
      <c r="M188" s="765">
        <f t="shared" si="29"/>
        <v>0.45</v>
      </c>
      <c r="N188" s="765">
        <f t="shared" si="30"/>
        <v>0.45818181818181819</v>
      </c>
      <c r="O188" s="765">
        <f t="shared" si="31"/>
        <v>0.45818181818181819</v>
      </c>
    </row>
    <row r="189" spans="1:15" s="98" customFormat="1" outlineLevel="1">
      <c r="A189" s="141" t="s">
        <v>3483</v>
      </c>
      <c r="B189" s="175" t="s">
        <v>1370</v>
      </c>
      <c r="C189" s="100" t="s">
        <v>2711</v>
      </c>
      <c r="D189" s="183" t="s">
        <v>1468</v>
      </c>
      <c r="E189" s="491">
        <v>117240</v>
      </c>
      <c r="F189" s="20">
        <f t="shared" si="35"/>
        <v>0.12363636363636364</v>
      </c>
      <c r="G189" s="19">
        <f t="shared" si="36"/>
        <v>14495.127272727274</v>
      </c>
      <c r="H189" s="19">
        <f t="shared" si="37"/>
        <v>59508.295505454538</v>
      </c>
      <c r="I189" s="114" t="s">
        <v>1521</v>
      </c>
      <c r="J189" s="210">
        <f>VLOOKUP(I189,'Reajuste Atual'!$L$19:$M$25,2,FALSE)</f>
        <v>3.1053999999999999</v>
      </c>
      <c r="K189" s="192"/>
      <c r="L189" s="765">
        <v>0.17</v>
      </c>
      <c r="M189" s="765">
        <f t="shared" si="29"/>
        <v>0.12142857142857144</v>
      </c>
      <c r="N189" s="765">
        <f t="shared" si="30"/>
        <v>0.12363636363636364</v>
      </c>
      <c r="O189" s="765">
        <f t="shared" si="31"/>
        <v>0.12363636363636364</v>
      </c>
    </row>
    <row r="190" spans="1:15" s="98" customFormat="1" outlineLevel="1">
      <c r="B190" s="179" t="s">
        <v>1371</v>
      </c>
      <c r="C190" s="104" t="s">
        <v>1455</v>
      </c>
      <c r="D190" s="81"/>
      <c r="E190" s="88"/>
      <c r="F190" s="83"/>
      <c r="G190" s="88">
        <f>SUM(G191:G195)</f>
        <v>26995.796363636364</v>
      </c>
      <c r="H190" s="88">
        <f>SUM(H191:H195)</f>
        <v>110828.54239127271</v>
      </c>
      <c r="I190" s="112">
        <v>0</v>
      </c>
      <c r="J190" s="84"/>
      <c r="K190" s="190"/>
      <c r="L190" s="765"/>
      <c r="M190" s="765">
        <f t="shared" si="29"/>
        <v>0</v>
      </c>
      <c r="N190" s="765">
        <f t="shared" si="30"/>
        <v>0</v>
      </c>
      <c r="O190" s="765">
        <f t="shared" si="31"/>
        <v>0</v>
      </c>
    </row>
    <row r="191" spans="1:15" s="98" customFormat="1" outlineLevel="1">
      <c r="A191" s="141" t="s">
        <v>3483</v>
      </c>
      <c r="B191" s="175" t="s">
        <v>1372</v>
      </c>
      <c r="C191" s="100" t="s">
        <v>2712</v>
      </c>
      <c r="D191" s="183" t="s">
        <v>1468</v>
      </c>
      <c r="E191" s="491">
        <v>862</v>
      </c>
      <c r="F191" s="20">
        <f t="shared" ref="F191:F195" si="38">O191</f>
        <v>11.025454545454545</v>
      </c>
      <c r="G191" s="19">
        <f>E191*F191</f>
        <v>9503.9418181818182</v>
      </c>
      <c r="H191" s="19">
        <f t="shared" ref="H191:H195" si="39">G191*(1+J191)</f>
        <v>39017.48274036363</v>
      </c>
      <c r="I191" s="114" t="s">
        <v>1521</v>
      </c>
      <c r="J191" s="210">
        <f>VLOOKUP(I191,'Reajuste Atual'!$L$19:$M$25,2,FALSE)</f>
        <v>3.1053999999999999</v>
      </c>
      <c r="K191" s="190"/>
      <c r="L191" s="765">
        <v>15.16</v>
      </c>
      <c r="M191" s="765">
        <f t="shared" si="29"/>
        <v>10.828571428571429</v>
      </c>
      <c r="N191" s="765">
        <f t="shared" si="30"/>
        <v>11.025454545454545</v>
      </c>
      <c r="O191" s="765">
        <f t="shared" si="31"/>
        <v>11.025454545454545</v>
      </c>
    </row>
    <row r="192" spans="1:15" s="98" customFormat="1" outlineLevel="1">
      <c r="A192" s="141" t="s">
        <v>3483</v>
      </c>
      <c r="B192" s="175" t="s">
        <v>1373</v>
      </c>
      <c r="C192" s="100" t="s">
        <v>2713</v>
      </c>
      <c r="D192" s="183" t="s">
        <v>1468</v>
      </c>
      <c r="E192" s="491">
        <v>3732</v>
      </c>
      <c r="F192" s="20">
        <f t="shared" si="38"/>
        <v>2.2981818181818183</v>
      </c>
      <c r="G192" s="19">
        <f>E192*F192</f>
        <v>8576.8145454545465</v>
      </c>
      <c r="H192" s="19">
        <f t="shared" si="39"/>
        <v>35211.254434909089</v>
      </c>
      <c r="I192" s="114" t="s">
        <v>1521</v>
      </c>
      <c r="J192" s="210">
        <f>VLOOKUP(I192,'Reajuste Atual'!$L$19:$M$25,2,FALSE)</f>
        <v>3.1053999999999999</v>
      </c>
      <c r="K192" s="190"/>
      <c r="L192" s="765">
        <v>3.16</v>
      </c>
      <c r="M192" s="765">
        <f t="shared" si="29"/>
        <v>2.2571428571428576</v>
      </c>
      <c r="N192" s="765">
        <f t="shared" si="30"/>
        <v>2.2981818181818183</v>
      </c>
      <c r="O192" s="765">
        <f t="shared" si="31"/>
        <v>2.2981818181818183</v>
      </c>
    </row>
    <row r="193" spans="1:67" s="98" customFormat="1" outlineLevel="1">
      <c r="A193" s="141" t="s">
        <v>3483</v>
      </c>
      <c r="B193" s="175" t="s">
        <v>1374</v>
      </c>
      <c r="C193" s="100" t="s">
        <v>2714</v>
      </c>
      <c r="D193" s="183" t="s">
        <v>1468</v>
      </c>
      <c r="E193" s="491">
        <v>3732</v>
      </c>
      <c r="F193" s="20">
        <f t="shared" si="38"/>
        <v>0.96000000000000008</v>
      </c>
      <c r="G193" s="19">
        <f>E193*F193</f>
        <v>3582.7200000000003</v>
      </c>
      <c r="H193" s="19">
        <f t="shared" si="39"/>
        <v>14708.498688</v>
      </c>
      <c r="I193" s="114" t="s">
        <v>1521</v>
      </c>
      <c r="J193" s="210">
        <f>VLOOKUP(I193,'Reajuste Atual'!$L$19:$M$25,2,FALSE)</f>
        <v>3.1053999999999999</v>
      </c>
      <c r="K193" s="190"/>
      <c r="L193" s="765">
        <v>1.32</v>
      </c>
      <c r="M193" s="765">
        <f t="shared" si="29"/>
        <v>0.94285714285714295</v>
      </c>
      <c r="N193" s="765">
        <f t="shared" si="30"/>
        <v>0.96000000000000008</v>
      </c>
      <c r="O193" s="765">
        <f t="shared" si="31"/>
        <v>0.96000000000000008</v>
      </c>
    </row>
    <row r="194" spans="1:67" s="98" customFormat="1" outlineLevel="1">
      <c r="A194" s="141" t="s">
        <v>3483</v>
      </c>
      <c r="B194" s="175" t="s">
        <v>1375</v>
      </c>
      <c r="C194" s="100" t="s">
        <v>2715</v>
      </c>
      <c r="D194" s="183" t="s">
        <v>1468</v>
      </c>
      <c r="E194" s="491">
        <v>693</v>
      </c>
      <c r="F194" s="20">
        <f t="shared" si="38"/>
        <v>6.8072727272727267</v>
      </c>
      <c r="G194" s="19">
        <f>E194*F194</f>
        <v>4717.4399999999996</v>
      </c>
      <c r="H194" s="19">
        <f t="shared" si="39"/>
        <v>19366.978175999997</v>
      </c>
      <c r="I194" s="114" t="s">
        <v>1521</v>
      </c>
      <c r="J194" s="210">
        <f>VLOOKUP(I194,'Reajuste Atual'!$L$19:$M$25,2,FALSE)</f>
        <v>3.1053999999999999</v>
      </c>
      <c r="K194" s="190"/>
      <c r="L194" s="765">
        <v>9.36</v>
      </c>
      <c r="M194" s="765">
        <f t="shared" si="29"/>
        <v>6.6857142857142859</v>
      </c>
      <c r="N194" s="765">
        <f t="shared" si="30"/>
        <v>6.8072727272727267</v>
      </c>
      <c r="O194" s="765">
        <f t="shared" si="31"/>
        <v>6.8072727272727267</v>
      </c>
    </row>
    <row r="195" spans="1:67" s="98" customFormat="1" outlineLevel="1">
      <c r="A195" s="141" t="s">
        <v>3483</v>
      </c>
      <c r="B195" s="175" t="s">
        <v>1376</v>
      </c>
      <c r="C195" s="100" t="s">
        <v>2716</v>
      </c>
      <c r="D195" s="183" t="s">
        <v>1468</v>
      </c>
      <c r="E195" s="491">
        <v>693</v>
      </c>
      <c r="F195" s="20">
        <f t="shared" si="38"/>
        <v>0.88727272727272721</v>
      </c>
      <c r="G195" s="19">
        <f>E195*F195</f>
        <v>614.88</v>
      </c>
      <c r="H195" s="19">
        <f t="shared" si="39"/>
        <v>2524.3283519999995</v>
      </c>
      <c r="I195" s="114" t="s">
        <v>1521</v>
      </c>
      <c r="J195" s="210">
        <f>VLOOKUP(I195,'Reajuste Atual'!$L$19:$M$25,2,FALSE)</f>
        <v>3.1053999999999999</v>
      </c>
      <c r="K195" s="192"/>
      <c r="L195" s="765">
        <v>1.22</v>
      </c>
      <c r="M195" s="765">
        <f t="shared" si="29"/>
        <v>0.87142857142857144</v>
      </c>
      <c r="N195" s="765">
        <f t="shared" si="30"/>
        <v>0.88727272727272721</v>
      </c>
      <c r="O195" s="765">
        <f t="shared" si="31"/>
        <v>0.88727272727272721</v>
      </c>
    </row>
    <row r="196" spans="1:67" s="98" customFormat="1" outlineLevel="1">
      <c r="B196" s="179" t="s">
        <v>1377</v>
      </c>
      <c r="C196" s="104" t="s">
        <v>1456</v>
      </c>
      <c r="D196" s="81"/>
      <c r="E196" s="88"/>
      <c r="F196" s="83"/>
      <c r="G196" s="88">
        <f>G197</f>
        <v>37723.636363636368</v>
      </c>
      <c r="H196" s="88">
        <f>H197</f>
        <v>154870.61672727272</v>
      </c>
      <c r="I196" s="112"/>
      <c r="J196" s="84"/>
      <c r="K196" s="190"/>
      <c r="L196" s="765"/>
      <c r="M196" s="765">
        <f t="shared" si="29"/>
        <v>0</v>
      </c>
      <c r="N196" s="765">
        <f t="shared" si="30"/>
        <v>0</v>
      </c>
      <c r="O196" s="765">
        <f t="shared" si="31"/>
        <v>0</v>
      </c>
    </row>
    <row r="197" spans="1:67" s="98" customFormat="1" outlineLevel="1" collapsed="1">
      <c r="A197" s="141" t="s">
        <v>3483</v>
      </c>
      <c r="B197" s="175" t="s">
        <v>1378</v>
      </c>
      <c r="C197" s="100" t="s">
        <v>2717</v>
      </c>
      <c r="D197" s="183" t="s">
        <v>1468</v>
      </c>
      <c r="E197" s="491">
        <v>39000</v>
      </c>
      <c r="F197" s="20">
        <f>O197</f>
        <v>0.96727272727272728</v>
      </c>
      <c r="G197" s="19">
        <f>E197*F197</f>
        <v>37723.636363636368</v>
      </c>
      <c r="H197" s="19">
        <f t="shared" ref="H197" si="40">G197*(1+J197)</f>
        <v>154870.61672727272</v>
      </c>
      <c r="I197" s="114" t="s">
        <v>1521</v>
      </c>
      <c r="J197" s="210">
        <f>VLOOKUP(I197,'Reajuste Atual'!$L$19:$M$25,2,FALSE)</f>
        <v>3.1053999999999999</v>
      </c>
      <c r="K197" s="195"/>
      <c r="L197" s="765">
        <v>1.33</v>
      </c>
      <c r="M197" s="765">
        <f t="shared" si="29"/>
        <v>0.95000000000000007</v>
      </c>
      <c r="N197" s="765">
        <f t="shared" si="30"/>
        <v>0.96727272727272728</v>
      </c>
      <c r="O197" s="765">
        <f t="shared" si="31"/>
        <v>0.96727272727272728</v>
      </c>
    </row>
    <row r="199" spans="1:67">
      <c r="B199" s="48" t="s">
        <v>3586</v>
      </c>
    </row>
    <row r="200" spans="1:67">
      <c r="B200" s="777" t="s">
        <v>3587</v>
      </c>
    </row>
    <row r="201" spans="1:67">
      <c r="B201" s="777" t="s">
        <v>3588</v>
      </c>
    </row>
    <row r="202" spans="1:67">
      <c r="B202" s="777" t="s">
        <v>3589</v>
      </c>
    </row>
    <row r="204" spans="1:67">
      <c r="B204" s="48" t="s">
        <v>3633</v>
      </c>
    </row>
    <row r="205" spans="1:67" s="166" customFormat="1">
      <c r="B205" s="777" t="s">
        <v>3634</v>
      </c>
      <c r="C205" s="49"/>
      <c r="D205" s="141"/>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row>
    <row r="206" spans="1:67" s="166" customFormat="1">
      <c r="B206" s="48"/>
      <c r="C206" s="49"/>
      <c r="D206" s="141"/>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row>
    <row r="207" spans="1:67" s="166" customFormat="1">
      <c r="B207" s="48"/>
      <c r="C207" s="49"/>
      <c r="D207" s="141"/>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row>
    <row r="208" spans="1:67" s="166" customFormat="1">
      <c r="B208" s="48"/>
      <c r="C208" s="49"/>
      <c r="D208" s="141"/>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row>
    <row r="209" spans="2:67" s="166" customFormat="1">
      <c r="B209" s="48"/>
      <c r="C209" s="49"/>
      <c r="D209" s="141"/>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row>
    <row r="210" spans="2:67" s="166" customFormat="1">
      <c r="B210" s="48"/>
      <c r="C210" s="49"/>
      <c r="D210" s="141"/>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row>
    <row r="211" spans="2:67" s="166" customFormat="1">
      <c r="B211" s="48"/>
      <c r="C211" s="49"/>
      <c r="D211" s="141"/>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c r="BL211" s="50"/>
      <c r="BM211" s="50"/>
      <c r="BN211" s="50"/>
      <c r="BO211" s="50"/>
    </row>
    <row r="212" spans="2:67" s="166" customFormat="1">
      <c r="B212" s="48"/>
      <c r="C212" s="49"/>
      <c r="D212" s="141"/>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c r="BL212" s="50"/>
      <c r="BM212" s="50"/>
      <c r="BN212" s="50"/>
      <c r="BO212" s="50"/>
    </row>
    <row r="213" spans="2:67" s="166" customFormat="1">
      <c r="B213" s="48"/>
      <c r="C213" s="49"/>
      <c r="D213" s="141"/>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row>
    <row r="214" spans="2:67" s="166" customFormat="1">
      <c r="B214" s="48"/>
      <c r="C214" s="49"/>
      <c r="D214" s="141"/>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row>
    <row r="215" spans="2:67" s="166" customFormat="1">
      <c r="B215" s="48"/>
      <c r="C215" s="49"/>
      <c r="D215" s="141"/>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row>
    <row r="216" spans="2:67" s="166" customFormat="1">
      <c r="B216" s="48"/>
      <c r="C216" s="49"/>
      <c r="D216" s="141"/>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row>
    <row r="217" spans="2:67" s="166" customFormat="1">
      <c r="B217" s="48"/>
      <c r="C217" s="49"/>
      <c r="D217" s="141"/>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row>
    <row r="218" spans="2:67" s="166" customFormat="1">
      <c r="B218" s="48"/>
      <c r="C218" s="49"/>
      <c r="D218" s="141"/>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row>
    <row r="219" spans="2:67" s="166" customFormat="1">
      <c r="B219" s="48"/>
      <c r="C219" s="49"/>
      <c r="D219" s="141"/>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row>
    <row r="220" spans="2:67" s="166" customFormat="1">
      <c r="B220" s="48"/>
      <c r="C220" s="49"/>
      <c r="D220" s="141"/>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row>
    <row r="221" spans="2:67" s="166" customFormat="1">
      <c r="B221" s="48"/>
      <c r="C221" s="49"/>
      <c r="D221" s="141"/>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row>
    <row r="222" spans="2:67" s="166" customFormat="1">
      <c r="B222" s="48"/>
      <c r="C222" s="49"/>
      <c r="D222" s="141"/>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row>
    <row r="223" spans="2:67" s="166" customFormat="1">
      <c r="B223" s="48"/>
      <c r="C223" s="49"/>
      <c r="D223" s="141"/>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row>
    <row r="224" spans="2:67" s="166" customFormat="1">
      <c r="B224" s="48"/>
      <c r="C224" s="49"/>
      <c r="D224" s="141"/>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row>
    <row r="225" spans="2:67" s="166" customFormat="1">
      <c r="B225" s="48"/>
      <c r="C225" s="49"/>
      <c r="D225" s="141"/>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row>
    <row r="226" spans="2:67" s="166" customFormat="1">
      <c r="B226" s="48"/>
      <c r="C226" s="49"/>
      <c r="D226" s="141"/>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row>
    <row r="227" spans="2:67" s="166" customFormat="1">
      <c r="B227" s="48"/>
      <c r="C227" s="49"/>
      <c r="D227" s="141"/>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row>
    <row r="228" spans="2:67" s="166" customFormat="1">
      <c r="B228" s="48"/>
      <c r="C228" s="49"/>
      <c r="D228" s="141"/>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row>
    <row r="229" spans="2:67" s="166" customFormat="1">
      <c r="B229" s="48"/>
      <c r="C229" s="49"/>
      <c r="D229" s="141"/>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row>
    <row r="230" spans="2:67" s="166" customFormat="1">
      <c r="B230" s="48"/>
      <c r="C230" s="49"/>
      <c r="D230" s="141"/>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row>
    <row r="231" spans="2:67" s="166" customFormat="1">
      <c r="B231" s="48"/>
      <c r="C231" s="49"/>
      <c r="D231" s="141"/>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row>
    <row r="232" spans="2:67" s="166" customFormat="1">
      <c r="B232" s="48"/>
      <c r="C232" s="49"/>
      <c r="D232" s="141"/>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row>
    <row r="233" spans="2:67" s="166" customFormat="1">
      <c r="B233" s="48"/>
      <c r="C233" s="49"/>
      <c r="D233" s="141"/>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row>
    <row r="234" spans="2:67" s="166" customFormat="1">
      <c r="B234" s="48"/>
      <c r="C234" s="49"/>
      <c r="D234" s="141"/>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row>
    <row r="235" spans="2:67" s="166" customFormat="1">
      <c r="B235" s="48"/>
      <c r="C235" s="49"/>
      <c r="D235" s="141"/>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row>
    <row r="236" spans="2:67" s="166" customFormat="1">
      <c r="B236" s="48"/>
      <c r="C236" s="49"/>
      <c r="D236" s="141"/>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row>
    <row r="237" spans="2:67" s="166" customFormat="1">
      <c r="B237" s="48"/>
      <c r="C237" s="49"/>
      <c r="D237" s="141"/>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row>
    <row r="239" spans="2:67" s="166" customFormat="1">
      <c r="B239" s="48"/>
      <c r="C239" s="49"/>
      <c r="D239" s="141"/>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row>
    <row r="240" spans="2:67" s="166" customFormat="1">
      <c r="B240" s="48"/>
      <c r="C240" s="49"/>
      <c r="D240" s="141"/>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row>
    <row r="241" spans="2:67" s="166" customFormat="1">
      <c r="B241" s="48"/>
      <c r="C241" s="49"/>
      <c r="D241" s="141"/>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row>
    <row r="242" spans="2:67" s="166" customFormat="1">
      <c r="B242" s="48"/>
      <c r="C242" s="49"/>
      <c r="D242" s="141"/>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row>
    <row r="243" spans="2:67" s="166" customFormat="1">
      <c r="B243" s="48"/>
      <c r="C243" s="49"/>
      <c r="D243" s="141"/>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row>
    <row r="244" spans="2:67" s="166" customFormat="1">
      <c r="B244" s="48"/>
      <c r="C244" s="49"/>
      <c r="D244" s="141"/>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row>
    <row r="245" spans="2:67" s="166" customFormat="1">
      <c r="B245" s="48"/>
      <c r="C245" s="49"/>
      <c r="D245" s="141"/>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row>
    <row r="246" spans="2:67" s="166" customFormat="1">
      <c r="B246" s="48"/>
      <c r="C246" s="49"/>
      <c r="D246" s="141"/>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row>
    <row r="247" spans="2:67" s="166" customFormat="1">
      <c r="B247" s="48"/>
      <c r="C247" s="49"/>
      <c r="D247" s="141"/>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row>
    <row r="248" spans="2:67" s="166" customFormat="1">
      <c r="B248" s="48"/>
      <c r="C248" s="49"/>
      <c r="D248" s="141"/>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row>
    <row r="249" spans="2:67" s="166" customFormat="1">
      <c r="B249" s="48"/>
      <c r="C249" s="49"/>
      <c r="D249" s="141"/>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row>
    <row r="250" spans="2:67" s="166" customFormat="1">
      <c r="B250" s="48"/>
      <c r="C250" s="49"/>
      <c r="D250" s="141"/>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c r="BL250" s="50"/>
      <c r="BM250" s="50"/>
      <c r="BN250" s="50"/>
      <c r="BO250" s="50"/>
    </row>
    <row r="251" spans="2:67" s="166" customFormat="1">
      <c r="B251" s="48"/>
      <c r="C251" s="49"/>
      <c r="D251" s="141"/>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50"/>
    </row>
    <row r="252" spans="2:67" s="166" customFormat="1">
      <c r="B252" s="48"/>
      <c r="C252" s="49"/>
      <c r="D252" s="141"/>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c r="BJ252" s="50"/>
      <c r="BK252" s="50"/>
      <c r="BL252" s="50"/>
      <c r="BM252" s="50"/>
      <c r="BN252" s="50"/>
      <c r="BO252" s="50"/>
    </row>
    <row r="253" spans="2:67" s="166" customFormat="1">
      <c r="B253" s="48"/>
      <c r="C253" s="49"/>
      <c r="D253" s="141"/>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c r="BJ253" s="50"/>
      <c r="BK253" s="50"/>
      <c r="BL253" s="50"/>
      <c r="BM253" s="50"/>
      <c r="BN253" s="50"/>
      <c r="BO253" s="50"/>
    </row>
    <row r="254" spans="2:67" s="166" customFormat="1">
      <c r="B254" s="48"/>
      <c r="C254" s="49"/>
      <c r="D254" s="141"/>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row>
    <row r="255" spans="2:67" s="166" customFormat="1">
      <c r="B255" s="48"/>
      <c r="C255" s="49"/>
      <c r="D255" s="141"/>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row>
  </sheetData>
  <autoFilter ref="B22:J197"/>
  <mergeCells count="9">
    <mergeCell ref="J15:J19"/>
    <mergeCell ref="E21:G21"/>
    <mergeCell ref="I21:J21"/>
    <mergeCell ref="B4:J4"/>
    <mergeCell ref="B5:J5"/>
    <mergeCell ref="B6:J6"/>
    <mergeCell ref="B8:J8"/>
    <mergeCell ref="J9:J11"/>
    <mergeCell ref="J12:J14"/>
  </mergeCells>
  <printOptions horizontalCentered="1"/>
  <pageMargins left="0.39370078740157483" right="0.39370078740157483" top="0.39370078740157483" bottom="0.39370078740157483" header="0" footer="0"/>
  <pageSetup paperSize="9" scale="56" fitToHeight="0" orientation="landscape" r:id="rId1"/>
  <headerFooter alignWithMargins="0"/>
  <rowBreaks count="1" manualBreakCount="1">
    <brk id="189"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8"/>
  <sheetViews>
    <sheetView showGridLines="0" zoomScaleNormal="100" zoomScaleSheetLayoutView="100" workbookViewId="0">
      <selection activeCell="E6" sqref="E6:E7"/>
    </sheetView>
  </sheetViews>
  <sheetFormatPr defaultRowHeight="15"/>
  <cols>
    <col min="1" max="1" width="7.85546875" style="718" customWidth="1"/>
    <col min="2" max="2" width="49.140625" style="718" customWidth="1"/>
    <col min="3" max="3" width="10.7109375" style="718" customWidth="1"/>
    <col min="4" max="4" width="13.5703125" style="718" customWidth="1"/>
    <col min="5" max="5" width="13.42578125" style="718" customWidth="1"/>
    <col min="6" max="6" width="11.85546875" style="718" customWidth="1"/>
    <col min="7" max="7" width="14.28515625" style="718" customWidth="1"/>
    <col min="8" max="8" width="9.140625" style="439"/>
    <col min="9" max="9" width="20.42578125" style="439" customWidth="1"/>
    <col min="10" max="10" width="15.28515625" style="439" customWidth="1"/>
    <col min="11" max="11" width="6.7109375" style="439" customWidth="1"/>
    <col min="12" max="12" width="13.5703125" style="439" customWidth="1"/>
    <col min="13" max="256" width="9.140625" style="439"/>
    <col min="257" max="257" width="7.85546875" style="439" customWidth="1"/>
    <col min="258" max="258" width="56.7109375" style="439" customWidth="1"/>
    <col min="259" max="259" width="10.7109375" style="439" customWidth="1"/>
    <col min="260" max="260" width="13.5703125" style="439" customWidth="1"/>
    <col min="261" max="262" width="11.85546875" style="439" customWidth="1"/>
    <col min="263" max="263" width="13.140625" style="439" customWidth="1"/>
    <col min="264" max="264" width="9.140625" style="439"/>
    <col min="265" max="265" width="12.7109375" style="439" bestFit="1" customWidth="1"/>
    <col min="266" max="512" width="9.140625" style="439"/>
    <col min="513" max="513" width="7.85546875" style="439" customWidth="1"/>
    <col min="514" max="514" width="56.7109375" style="439" customWidth="1"/>
    <col min="515" max="515" width="10.7109375" style="439" customWidth="1"/>
    <col min="516" max="516" width="13.5703125" style="439" customWidth="1"/>
    <col min="517" max="518" width="11.85546875" style="439" customWidth="1"/>
    <col min="519" max="519" width="13.140625" style="439" customWidth="1"/>
    <col min="520" max="520" width="9.140625" style="439"/>
    <col min="521" max="521" width="12.7109375" style="439" bestFit="1" customWidth="1"/>
    <col min="522" max="768" width="9.140625" style="439"/>
    <col min="769" max="769" width="7.85546875" style="439" customWidth="1"/>
    <col min="770" max="770" width="56.7109375" style="439" customWidth="1"/>
    <col min="771" max="771" width="10.7109375" style="439" customWidth="1"/>
    <col min="772" max="772" width="13.5703125" style="439" customWidth="1"/>
    <col min="773" max="774" width="11.85546875" style="439" customWidth="1"/>
    <col min="775" max="775" width="13.140625" style="439" customWidth="1"/>
    <col min="776" max="776" width="9.140625" style="439"/>
    <col min="777" max="777" width="12.7109375" style="439" bestFit="1" customWidth="1"/>
    <col min="778" max="1024" width="9.140625" style="439"/>
    <col min="1025" max="1025" width="7.85546875" style="439" customWidth="1"/>
    <col min="1026" max="1026" width="56.7109375" style="439" customWidth="1"/>
    <col min="1027" max="1027" width="10.7109375" style="439" customWidth="1"/>
    <col min="1028" max="1028" width="13.5703125" style="439" customWidth="1"/>
    <col min="1029" max="1030" width="11.85546875" style="439" customWidth="1"/>
    <col min="1031" max="1031" width="13.140625" style="439" customWidth="1"/>
    <col min="1032" max="1032" width="9.140625" style="439"/>
    <col min="1033" max="1033" width="12.7109375" style="439" bestFit="1" customWidth="1"/>
    <col min="1034" max="1280" width="9.140625" style="439"/>
    <col min="1281" max="1281" width="7.85546875" style="439" customWidth="1"/>
    <col min="1282" max="1282" width="56.7109375" style="439" customWidth="1"/>
    <col min="1283" max="1283" width="10.7109375" style="439" customWidth="1"/>
    <col min="1284" max="1284" width="13.5703125" style="439" customWidth="1"/>
    <col min="1285" max="1286" width="11.85546875" style="439" customWidth="1"/>
    <col min="1287" max="1287" width="13.140625" style="439" customWidth="1"/>
    <col min="1288" max="1288" width="9.140625" style="439"/>
    <col min="1289" max="1289" width="12.7109375" style="439" bestFit="1" customWidth="1"/>
    <col min="1290" max="1536" width="9.140625" style="439"/>
    <col min="1537" max="1537" width="7.85546875" style="439" customWidth="1"/>
    <col min="1538" max="1538" width="56.7109375" style="439" customWidth="1"/>
    <col min="1539" max="1539" width="10.7109375" style="439" customWidth="1"/>
    <col min="1540" max="1540" width="13.5703125" style="439" customWidth="1"/>
    <col min="1541" max="1542" width="11.85546875" style="439" customWidth="1"/>
    <col min="1543" max="1543" width="13.140625" style="439" customWidth="1"/>
    <col min="1544" max="1544" width="9.140625" style="439"/>
    <col min="1545" max="1545" width="12.7109375" style="439" bestFit="1" customWidth="1"/>
    <col min="1546" max="1792" width="9.140625" style="439"/>
    <col min="1793" max="1793" width="7.85546875" style="439" customWidth="1"/>
    <col min="1794" max="1794" width="56.7109375" style="439" customWidth="1"/>
    <col min="1795" max="1795" width="10.7109375" style="439" customWidth="1"/>
    <col min="1796" max="1796" width="13.5703125" style="439" customWidth="1"/>
    <col min="1797" max="1798" width="11.85546875" style="439" customWidth="1"/>
    <col min="1799" max="1799" width="13.140625" style="439" customWidth="1"/>
    <col min="1800" max="1800" width="9.140625" style="439"/>
    <col min="1801" max="1801" width="12.7109375" style="439" bestFit="1" customWidth="1"/>
    <col min="1802" max="2048" width="9.140625" style="439"/>
    <col min="2049" max="2049" width="7.85546875" style="439" customWidth="1"/>
    <col min="2050" max="2050" width="56.7109375" style="439" customWidth="1"/>
    <col min="2051" max="2051" width="10.7109375" style="439" customWidth="1"/>
    <col min="2052" max="2052" width="13.5703125" style="439" customWidth="1"/>
    <col min="2053" max="2054" width="11.85546875" style="439" customWidth="1"/>
    <col min="2055" max="2055" width="13.140625" style="439" customWidth="1"/>
    <col min="2056" max="2056" width="9.140625" style="439"/>
    <col min="2057" max="2057" width="12.7109375" style="439" bestFit="1" customWidth="1"/>
    <col min="2058" max="2304" width="9.140625" style="439"/>
    <col min="2305" max="2305" width="7.85546875" style="439" customWidth="1"/>
    <col min="2306" max="2306" width="56.7109375" style="439" customWidth="1"/>
    <col min="2307" max="2307" width="10.7109375" style="439" customWidth="1"/>
    <col min="2308" max="2308" width="13.5703125" style="439" customWidth="1"/>
    <col min="2309" max="2310" width="11.85546875" style="439" customWidth="1"/>
    <col min="2311" max="2311" width="13.140625" style="439" customWidth="1"/>
    <col min="2312" max="2312" width="9.140625" style="439"/>
    <col min="2313" max="2313" width="12.7109375" style="439" bestFit="1" customWidth="1"/>
    <col min="2314" max="2560" width="9.140625" style="439"/>
    <col min="2561" max="2561" width="7.85546875" style="439" customWidth="1"/>
    <col min="2562" max="2562" width="56.7109375" style="439" customWidth="1"/>
    <col min="2563" max="2563" width="10.7109375" style="439" customWidth="1"/>
    <col min="2564" max="2564" width="13.5703125" style="439" customWidth="1"/>
    <col min="2565" max="2566" width="11.85546875" style="439" customWidth="1"/>
    <col min="2567" max="2567" width="13.140625" style="439" customWidth="1"/>
    <col min="2568" max="2568" width="9.140625" style="439"/>
    <col min="2569" max="2569" width="12.7109375" style="439" bestFit="1" customWidth="1"/>
    <col min="2570" max="2816" width="9.140625" style="439"/>
    <col min="2817" max="2817" width="7.85546875" style="439" customWidth="1"/>
    <col min="2818" max="2818" width="56.7109375" style="439" customWidth="1"/>
    <col min="2819" max="2819" width="10.7109375" style="439" customWidth="1"/>
    <col min="2820" max="2820" width="13.5703125" style="439" customWidth="1"/>
    <col min="2821" max="2822" width="11.85546875" style="439" customWidth="1"/>
    <col min="2823" max="2823" width="13.140625" style="439" customWidth="1"/>
    <col min="2824" max="2824" width="9.140625" style="439"/>
    <col min="2825" max="2825" width="12.7109375" style="439" bestFit="1" customWidth="1"/>
    <col min="2826" max="3072" width="9.140625" style="439"/>
    <col min="3073" max="3073" width="7.85546875" style="439" customWidth="1"/>
    <col min="3074" max="3074" width="56.7109375" style="439" customWidth="1"/>
    <col min="3075" max="3075" width="10.7109375" style="439" customWidth="1"/>
    <col min="3076" max="3076" width="13.5703125" style="439" customWidth="1"/>
    <col min="3077" max="3078" width="11.85546875" style="439" customWidth="1"/>
    <col min="3079" max="3079" width="13.140625" style="439" customWidth="1"/>
    <col min="3080" max="3080" width="9.140625" style="439"/>
    <col min="3081" max="3081" width="12.7109375" style="439" bestFit="1" customWidth="1"/>
    <col min="3082" max="3328" width="9.140625" style="439"/>
    <col min="3329" max="3329" width="7.85546875" style="439" customWidth="1"/>
    <col min="3330" max="3330" width="56.7109375" style="439" customWidth="1"/>
    <col min="3331" max="3331" width="10.7109375" style="439" customWidth="1"/>
    <col min="3332" max="3332" width="13.5703125" style="439" customWidth="1"/>
    <col min="3333" max="3334" width="11.85546875" style="439" customWidth="1"/>
    <col min="3335" max="3335" width="13.140625" style="439" customWidth="1"/>
    <col min="3336" max="3336" width="9.140625" style="439"/>
    <col min="3337" max="3337" width="12.7109375" style="439" bestFit="1" customWidth="1"/>
    <col min="3338" max="3584" width="9.140625" style="439"/>
    <col min="3585" max="3585" width="7.85546875" style="439" customWidth="1"/>
    <col min="3586" max="3586" width="56.7109375" style="439" customWidth="1"/>
    <col min="3587" max="3587" width="10.7109375" style="439" customWidth="1"/>
    <col min="3588" max="3588" width="13.5703125" style="439" customWidth="1"/>
    <col min="3589" max="3590" width="11.85546875" style="439" customWidth="1"/>
    <col min="3591" max="3591" width="13.140625" style="439" customWidth="1"/>
    <col min="3592" max="3592" width="9.140625" style="439"/>
    <col min="3593" max="3593" width="12.7109375" style="439" bestFit="1" customWidth="1"/>
    <col min="3594" max="3840" width="9.140625" style="439"/>
    <col min="3841" max="3841" width="7.85546875" style="439" customWidth="1"/>
    <col min="3842" max="3842" width="56.7109375" style="439" customWidth="1"/>
    <col min="3843" max="3843" width="10.7109375" style="439" customWidth="1"/>
    <col min="3844" max="3844" width="13.5703125" style="439" customWidth="1"/>
    <col min="3845" max="3846" width="11.85546875" style="439" customWidth="1"/>
    <col min="3847" max="3847" width="13.140625" style="439" customWidth="1"/>
    <col min="3848" max="3848" width="9.140625" style="439"/>
    <col min="3849" max="3849" width="12.7109375" style="439" bestFit="1" customWidth="1"/>
    <col min="3850" max="4096" width="9.140625" style="439"/>
    <col min="4097" max="4097" width="7.85546875" style="439" customWidth="1"/>
    <col min="4098" max="4098" width="56.7109375" style="439" customWidth="1"/>
    <col min="4099" max="4099" width="10.7109375" style="439" customWidth="1"/>
    <col min="4100" max="4100" width="13.5703125" style="439" customWidth="1"/>
    <col min="4101" max="4102" width="11.85546875" style="439" customWidth="1"/>
    <col min="4103" max="4103" width="13.140625" style="439" customWidth="1"/>
    <col min="4104" max="4104" width="9.140625" style="439"/>
    <col min="4105" max="4105" width="12.7109375" style="439" bestFit="1" customWidth="1"/>
    <col min="4106" max="4352" width="9.140625" style="439"/>
    <col min="4353" max="4353" width="7.85546875" style="439" customWidth="1"/>
    <col min="4354" max="4354" width="56.7109375" style="439" customWidth="1"/>
    <col min="4355" max="4355" width="10.7109375" style="439" customWidth="1"/>
    <col min="4356" max="4356" width="13.5703125" style="439" customWidth="1"/>
    <col min="4357" max="4358" width="11.85546875" style="439" customWidth="1"/>
    <col min="4359" max="4359" width="13.140625" style="439" customWidth="1"/>
    <col min="4360" max="4360" width="9.140625" style="439"/>
    <col min="4361" max="4361" width="12.7109375" style="439" bestFit="1" customWidth="1"/>
    <col min="4362" max="4608" width="9.140625" style="439"/>
    <col min="4609" max="4609" width="7.85546875" style="439" customWidth="1"/>
    <col min="4610" max="4610" width="56.7109375" style="439" customWidth="1"/>
    <col min="4611" max="4611" width="10.7109375" style="439" customWidth="1"/>
    <col min="4612" max="4612" width="13.5703125" style="439" customWidth="1"/>
    <col min="4613" max="4614" width="11.85546875" style="439" customWidth="1"/>
    <col min="4615" max="4615" width="13.140625" style="439" customWidth="1"/>
    <col min="4616" max="4616" width="9.140625" style="439"/>
    <col min="4617" max="4617" width="12.7109375" style="439" bestFit="1" customWidth="1"/>
    <col min="4618" max="4864" width="9.140625" style="439"/>
    <col min="4865" max="4865" width="7.85546875" style="439" customWidth="1"/>
    <col min="4866" max="4866" width="56.7109375" style="439" customWidth="1"/>
    <col min="4867" max="4867" width="10.7109375" style="439" customWidth="1"/>
    <col min="4868" max="4868" width="13.5703125" style="439" customWidth="1"/>
    <col min="4869" max="4870" width="11.85546875" style="439" customWidth="1"/>
    <col min="4871" max="4871" width="13.140625" style="439" customWidth="1"/>
    <col min="4872" max="4872" width="9.140625" style="439"/>
    <col min="4873" max="4873" width="12.7109375" style="439" bestFit="1" customWidth="1"/>
    <col min="4874" max="5120" width="9.140625" style="439"/>
    <col min="5121" max="5121" width="7.85546875" style="439" customWidth="1"/>
    <col min="5122" max="5122" width="56.7109375" style="439" customWidth="1"/>
    <col min="5123" max="5123" width="10.7109375" style="439" customWidth="1"/>
    <col min="5124" max="5124" width="13.5703125" style="439" customWidth="1"/>
    <col min="5125" max="5126" width="11.85546875" style="439" customWidth="1"/>
    <col min="5127" max="5127" width="13.140625" style="439" customWidth="1"/>
    <col min="5128" max="5128" width="9.140625" style="439"/>
    <col min="5129" max="5129" width="12.7109375" style="439" bestFit="1" customWidth="1"/>
    <col min="5130" max="5376" width="9.140625" style="439"/>
    <col min="5377" max="5377" width="7.85546875" style="439" customWidth="1"/>
    <col min="5378" max="5378" width="56.7109375" style="439" customWidth="1"/>
    <col min="5379" max="5379" width="10.7109375" style="439" customWidth="1"/>
    <col min="5380" max="5380" width="13.5703125" style="439" customWidth="1"/>
    <col min="5381" max="5382" width="11.85546875" style="439" customWidth="1"/>
    <col min="5383" max="5383" width="13.140625" style="439" customWidth="1"/>
    <col min="5384" max="5384" width="9.140625" style="439"/>
    <col min="5385" max="5385" width="12.7109375" style="439" bestFit="1" customWidth="1"/>
    <col min="5386" max="5632" width="9.140625" style="439"/>
    <col min="5633" max="5633" width="7.85546875" style="439" customWidth="1"/>
    <col min="5634" max="5634" width="56.7109375" style="439" customWidth="1"/>
    <col min="5635" max="5635" width="10.7109375" style="439" customWidth="1"/>
    <col min="5636" max="5636" width="13.5703125" style="439" customWidth="1"/>
    <col min="5637" max="5638" width="11.85546875" style="439" customWidth="1"/>
    <col min="5639" max="5639" width="13.140625" style="439" customWidth="1"/>
    <col min="5640" max="5640" width="9.140625" style="439"/>
    <col min="5641" max="5641" width="12.7109375" style="439" bestFit="1" customWidth="1"/>
    <col min="5642" max="5888" width="9.140625" style="439"/>
    <col min="5889" max="5889" width="7.85546875" style="439" customWidth="1"/>
    <col min="5890" max="5890" width="56.7109375" style="439" customWidth="1"/>
    <col min="5891" max="5891" width="10.7109375" style="439" customWidth="1"/>
    <col min="5892" max="5892" width="13.5703125" style="439" customWidth="1"/>
    <col min="5893" max="5894" width="11.85546875" style="439" customWidth="1"/>
    <col min="5895" max="5895" width="13.140625" style="439" customWidth="1"/>
    <col min="5896" max="5896" width="9.140625" style="439"/>
    <col min="5897" max="5897" width="12.7109375" style="439" bestFit="1" customWidth="1"/>
    <col min="5898" max="6144" width="9.140625" style="439"/>
    <col min="6145" max="6145" width="7.85546875" style="439" customWidth="1"/>
    <col min="6146" max="6146" width="56.7109375" style="439" customWidth="1"/>
    <col min="6147" max="6147" width="10.7109375" style="439" customWidth="1"/>
    <col min="6148" max="6148" width="13.5703125" style="439" customWidth="1"/>
    <col min="6149" max="6150" width="11.85546875" style="439" customWidth="1"/>
    <col min="6151" max="6151" width="13.140625" style="439" customWidth="1"/>
    <col min="6152" max="6152" width="9.140625" style="439"/>
    <col min="6153" max="6153" width="12.7109375" style="439" bestFit="1" customWidth="1"/>
    <col min="6154" max="6400" width="9.140625" style="439"/>
    <col min="6401" max="6401" width="7.85546875" style="439" customWidth="1"/>
    <col min="6402" max="6402" width="56.7109375" style="439" customWidth="1"/>
    <col min="6403" max="6403" width="10.7109375" style="439" customWidth="1"/>
    <col min="6404" max="6404" width="13.5703125" style="439" customWidth="1"/>
    <col min="6405" max="6406" width="11.85546875" style="439" customWidth="1"/>
    <col min="6407" max="6407" width="13.140625" style="439" customWidth="1"/>
    <col min="6408" max="6408" width="9.140625" style="439"/>
    <col min="6409" max="6409" width="12.7109375" style="439" bestFit="1" customWidth="1"/>
    <col min="6410" max="6656" width="9.140625" style="439"/>
    <col min="6657" max="6657" width="7.85546875" style="439" customWidth="1"/>
    <col min="6658" max="6658" width="56.7109375" style="439" customWidth="1"/>
    <col min="6659" max="6659" width="10.7109375" style="439" customWidth="1"/>
    <col min="6660" max="6660" width="13.5703125" style="439" customWidth="1"/>
    <col min="6661" max="6662" width="11.85546875" style="439" customWidth="1"/>
    <col min="6663" max="6663" width="13.140625" style="439" customWidth="1"/>
    <col min="6664" max="6664" width="9.140625" style="439"/>
    <col min="6665" max="6665" width="12.7109375" style="439" bestFit="1" customWidth="1"/>
    <col min="6666" max="6912" width="9.140625" style="439"/>
    <col min="6913" max="6913" width="7.85546875" style="439" customWidth="1"/>
    <col min="6914" max="6914" width="56.7109375" style="439" customWidth="1"/>
    <col min="6915" max="6915" width="10.7109375" style="439" customWidth="1"/>
    <col min="6916" max="6916" width="13.5703125" style="439" customWidth="1"/>
    <col min="6917" max="6918" width="11.85546875" style="439" customWidth="1"/>
    <col min="6919" max="6919" width="13.140625" style="439" customWidth="1"/>
    <col min="6920" max="6920" width="9.140625" style="439"/>
    <col min="6921" max="6921" width="12.7109375" style="439" bestFit="1" customWidth="1"/>
    <col min="6922" max="7168" width="9.140625" style="439"/>
    <col min="7169" max="7169" width="7.85546875" style="439" customWidth="1"/>
    <col min="7170" max="7170" width="56.7109375" style="439" customWidth="1"/>
    <col min="7171" max="7171" width="10.7109375" style="439" customWidth="1"/>
    <col min="7172" max="7172" width="13.5703125" style="439" customWidth="1"/>
    <col min="7173" max="7174" width="11.85546875" style="439" customWidth="1"/>
    <col min="7175" max="7175" width="13.140625" style="439" customWidth="1"/>
    <col min="7176" max="7176" width="9.140625" style="439"/>
    <col min="7177" max="7177" width="12.7109375" style="439" bestFit="1" customWidth="1"/>
    <col min="7178" max="7424" width="9.140625" style="439"/>
    <col min="7425" max="7425" width="7.85546875" style="439" customWidth="1"/>
    <col min="7426" max="7426" width="56.7109375" style="439" customWidth="1"/>
    <col min="7427" max="7427" width="10.7109375" style="439" customWidth="1"/>
    <col min="7428" max="7428" width="13.5703125" style="439" customWidth="1"/>
    <col min="7429" max="7430" width="11.85546875" style="439" customWidth="1"/>
    <col min="7431" max="7431" width="13.140625" style="439" customWidth="1"/>
    <col min="7432" max="7432" width="9.140625" style="439"/>
    <col min="7433" max="7433" width="12.7109375" style="439" bestFit="1" customWidth="1"/>
    <col min="7434" max="7680" width="9.140625" style="439"/>
    <col min="7681" max="7681" width="7.85546875" style="439" customWidth="1"/>
    <col min="7682" max="7682" width="56.7109375" style="439" customWidth="1"/>
    <col min="7683" max="7683" width="10.7109375" style="439" customWidth="1"/>
    <col min="7684" max="7684" width="13.5703125" style="439" customWidth="1"/>
    <col min="7685" max="7686" width="11.85546875" style="439" customWidth="1"/>
    <col min="7687" max="7687" width="13.140625" style="439" customWidth="1"/>
    <col min="7688" max="7688" width="9.140625" style="439"/>
    <col min="7689" max="7689" width="12.7109375" style="439" bestFit="1" customWidth="1"/>
    <col min="7690" max="7936" width="9.140625" style="439"/>
    <col min="7937" max="7937" width="7.85546875" style="439" customWidth="1"/>
    <col min="7938" max="7938" width="56.7109375" style="439" customWidth="1"/>
    <col min="7939" max="7939" width="10.7109375" style="439" customWidth="1"/>
    <col min="7940" max="7940" width="13.5703125" style="439" customWidth="1"/>
    <col min="7941" max="7942" width="11.85546875" style="439" customWidth="1"/>
    <col min="7943" max="7943" width="13.140625" style="439" customWidth="1"/>
    <col min="7944" max="7944" width="9.140625" style="439"/>
    <col min="7945" max="7945" width="12.7109375" style="439" bestFit="1" customWidth="1"/>
    <col min="7946" max="8192" width="9.140625" style="439"/>
    <col min="8193" max="8193" width="7.85546875" style="439" customWidth="1"/>
    <col min="8194" max="8194" width="56.7109375" style="439" customWidth="1"/>
    <col min="8195" max="8195" width="10.7109375" style="439" customWidth="1"/>
    <col min="8196" max="8196" width="13.5703125" style="439" customWidth="1"/>
    <col min="8197" max="8198" width="11.85546875" style="439" customWidth="1"/>
    <col min="8199" max="8199" width="13.140625" style="439" customWidth="1"/>
    <col min="8200" max="8200" width="9.140625" style="439"/>
    <col min="8201" max="8201" width="12.7109375" style="439" bestFit="1" customWidth="1"/>
    <col min="8202" max="8448" width="9.140625" style="439"/>
    <col min="8449" max="8449" width="7.85546875" style="439" customWidth="1"/>
    <col min="8450" max="8450" width="56.7109375" style="439" customWidth="1"/>
    <col min="8451" max="8451" width="10.7109375" style="439" customWidth="1"/>
    <col min="8452" max="8452" width="13.5703125" style="439" customWidth="1"/>
    <col min="8453" max="8454" width="11.85546875" style="439" customWidth="1"/>
    <col min="8455" max="8455" width="13.140625" style="439" customWidth="1"/>
    <col min="8456" max="8456" width="9.140625" style="439"/>
    <col min="8457" max="8457" width="12.7109375" style="439" bestFit="1" customWidth="1"/>
    <col min="8458" max="8704" width="9.140625" style="439"/>
    <col min="8705" max="8705" width="7.85546875" style="439" customWidth="1"/>
    <col min="8706" max="8706" width="56.7109375" style="439" customWidth="1"/>
    <col min="8707" max="8707" width="10.7109375" style="439" customWidth="1"/>
    <col min="8708" max="8708" width="13.5703125" style="439" customWidth="1"/>
    <col min="8709" max="8710" width="11.85546875" style="439" customWidth="1"/>
    <col min="8711" max="8711" width="13.140625" style="439" customWidth="1"/>
    <col min="8712" max="8712" width="9.140625" style="439"/>
    <col min="8713" max="8713" width="12.7109375" style="439" bestFit="1" customWidth="1"/>
    <col min="8714" max="8960" width="9.140625" style="439"/>
    <col min="8961" max="8961" width="7.85546875" style="439" customWidth="1"/>
    <col min="8962" max="8962" width="56.7109375" style="439" customWidth="1"/>
    <col min="8963" max="8963" width="10.7109375" style="439" customWidth="1"/>
    <col min="8964" max="8964" width="13.5703125" style="439" customWidth="1"/>
    <col min="8965" max="8966" width="11.85546875" style="439" customWidth="1"/>
    <col min="8967" max="8967" width="13.140625" style="439" customWidth="1"/>
    <col min="8968" max="8968" width="9.140625" style="439"/>
    <col min="8969" max="8969" width="12.7109375" style="439" bestFit="1" customWidth="1"/>
    <col min="8970" max="9216" width="9.140625" style="439"/>
    <col min="9217" max="9217" width="7.85546875" style="439" customWidth="1"/>
    <col min="9218" max="9218" width="56.7109375" style="439" customWidth="1"/>
    <col min="9219" max="9219" width="10.7109375" style="439" customWidth="1"/>
    <col min="9220" max="9220" width="13.5703125" style="439" customWidth="1"/>
    <col min="9221" max="9222" width="11.85546875" style="439" customWidth="1"/>
    <col min="9223" max="9223" width="13.140625" style="439" customWidth="1"/>
    <col min="9224" max="9224" width="9.140625" style="439"/>
    <col min="9225" max="9225" width="12.7109375" style="439" bestFit="1" customWidth="1"/>
    <col min="9226" max="9472" width="9.140625" style="439"/>
    <col min="9473" max="9473" width="7.85546875" style="439" customWidth="1"/>
    <col min="9474" max="9474" width="56.7109375" style="439" customWidth="1"/>
    <col min="9475" max="9475" width="10.7109375" style="439" customWidth="1"/>
    <col min="9476" max="9476" width="13.5703125" style="439" customWidth="1"/>
    <col min="9477" max="9478" width="11.85546875" style="439" customWidth="1"/>
    <col min="9479" max="9479" width="13.140625" style="439" customWidth="1"/>
    <col min="9480" max="9480" width="9.140625" style="439"/>
    <col min="9481" max="9481" width="12.7109375" style="439" bestFit="1" customWidth="1"/>
    <col min="9482" max="9728" width="9.140625" style="439"/>
    <col min="9729" max="9729" width="7.85546875" style="439" customWidth="1"/>
    <col min="9730" max="9730" width="56.7109375" style="439" customWidth="1"/>
    <col min="9731" max="9731" width="10.7109375" style="439" customWidth="1"/>
    <col min="9732" max="9732" width="13.5703125" style="439" customWidth="1"/>
    <col min="9733" max="9734" width="11.85546875" style="439" customWidth="1"/>
    <col min="9735" max="9735" width="13.140625" style="439" customWidth="1"/>
    <col min="9736" max="9736" width="9.140625" style="439"/>
    <col min="9737" max="9737" width="12.7109375" style="439" bestFit="1" customWidth="1"/>
    <col min="9738" max="9984" width="9.140625" style="439"/>
    <col min="9985" max="9985" width="7.85546875" style="439" customWidth="1"/>
    <col min="9986" max="9986" width="56.7109375" style="439" customWidth="1"/>
    <col min="9987" max="9987" width="10.7109375" style="439" customWidth="1"/>
    <col min="9988" max="9988" width="13.5703125" style="439" customWidth="1"/>
    <col min="9989" max="9990" width="11.85546875" style="439" customWidth="1"/>
    <col min="9991" max="9991" width="13.140625" style="439" customWidth="1"/>
    <col min="9992" max="9992" width="9.140625" style="439"/>
    <col min="9993" max="9993" width="12.7109375" style="439" bestFit="1" customWidth="1"/>
    <col min="9994" max="10240" width="9.140625" style="439"/>
    <col min="10241" max="10241" width="7.85546875" style="439" customWidth="1"/>
    <col min="10242" max="10242" width="56.7109375" style="439" customWidth="1"/>
    <col min="10243" max="10243" width="10.7109375" style="439" customWidth="1"/>
    <col min="10244" max="10244" width="13.5703125" style="439" customWidth="1"/>
    <col min="10245" max="10246" width="11.85546875" style="439" customWidth="1"/>
    <col min="10247" max="10247" width="13.140625" style="439" customWidth="1"/>
    <col min="10248" max="10248" width="9.140625" style="439"/>
    <col min="10249" max="10249" width="12.7109375" style="439" bestFit="1" customWidth="1"/>
    <col min="10250" max="10496" width="9.140625" style="439"/>
    <col min="10497" max="10497" width="7.85546875" style="439" customWidth="1"/>
    <col min="10498" max="10498" width="56.7109375" style="439" customWidth="1"/>
    <col min="10499" max="10499" width="10.7109375" style="439" customWidth="1"/>
    <col min="10500" max="10500" width="13.5703125" style="439" customWidth="1"/>
    <col min="10501" max="10502" width="11.85546875" style="439" customWidth="1"/>
    <col min="10503" max="10503" width="13.140625" style="439" customWidth="1"/>
    <col min="10504" max="10504" width="9.140625" style="439"/>
    <col min="10505" max="10505" width="12.7109375" style="439" bestFit="1" customWidth="1"/>
    <col min="10506" max="10752" width="9.140625" style="439"/>
    <col min="10753" max="10753" width="7.85546875" style="439" customWidth="1"/>
    <col min="10754" max="10754" width="56.7109375" style="439" customWidth="1"/>
    <col min="10755" max="10755" width="10.7109375" style="439" customWidth="1"/>
    <col min="10756" max="10756" width="13.5703125" style="439" customWidth="1"/>
    <col min="10757" max="10758" width="11.85546875" style="439" customWidth="1"/>
    <col min="10759" max="10759" width="13.140625" style="439" customWidth="1"/>
    <col min="10760" max="10760" width="9.140625" style="439"/>
    <col min="10761" max="10761" width="12.7109375" style="439" bestFit="1" customWidth="1"/>
    <col min="10762" max="11008" width="9.140625" style="439"/>
    <col min="11009" max="11009" width="7.85546875" style="439" customWidth="1"/>
    <col min="11010" max="11010" width="56.7109375" style="439" customWidth="1"/>
    <col min="11011" max="11011" width="10.7109375" style="439" customWidth="1"/>
    <col min="11012" max="11012" width="13.5703125" style="439" customWidth="1"/>
    <col min="11013" max="11014" width="11.85546875" style="439" customWidth="1"/>
    <col min="11015" max="11015" width="13.140625" style="439" customWidth="1"/>
    <col min="11016" max="11016" width="9.140625" style="439"/>
    <col min="11017" max="11017" width="12.7109375" style="439" bestFit="1" customWidth="1"/>
    <col min="11018" max="11264" width="9.140625" style="439"/>
    <col min="11265" max="11265" width="7.85546875" style="439" customWidth="1"/>
    <col min="11266" max="11266" width="56.7109375" style="439" customWidth="1"/>
    <col min="11267" max="11267" width="10.7109375" style="439" customWidth="1"/>
    <col min="11268" max="11268" width="13.5703125" style="439" customWidth="1"/>
    <col min="11269" max="11270" width="11.85546875" style="439" customWidth="1"/>
    <col min="11271" max="11271" width="13.140625" style="439" customWidth="1"/>
    <col min="11272" max="11272" width="9.140625" style="439"/>
    <col min="11273" max="11273" width="12.7109375" style="439" bestFit="1" customWidth="1"/>
    <col min="11274" max="11520" width="9.140625" style="439"/>
    <col min="11521" max="11521" width="7.85546875" style="439" customWidth="1"/>
    <col min="11522" max="11522" width="56.7109375" style="439" customWidth="1"/>
    <col min="11523" max="11523" width="10.7109375" style="439" customWidth="1"/>
    <col min="11524" max="11524" width="13.5703125" style="439" customWidth="1"/>
    <col min="11525" max="11526" width="11.85546875" style="439" customWidth="1"/>
    <col min="11527" max="11527" width="13.140625" style="439" customWidth="1"/>
    <col min="11528" max="11528" width="9.140625" style="439"/>
    <col min="11529" max="11529" width="12.7109375" style="439" bestFit="1" customWidth="1"/>
    <col min="11530" max="11776" width="9.140625" style="439"/>
    <col min="11777" max="11777" width="7.85546875" style="439" customWidth="1"/>
    <col min="11778" max="11778" width="56.7109375" style="439" customWidth="1"/>
    <col min="11779" max="11779" width="10.7109375" style="439" customWidth="1"/>
    <col min="11780" max="11780" width="13.5703125" style="439" customWidth="1"/>
    <col min="11781" max="11782" width="11.85546875" style="439" customWidth="1"/>
    <col min="11783" max="11783" width="13.140625" style="439" customWidth="1"/>
    <col min="11784" max="11784" width="9.140625" style="439"/>
    <col min="11785" max="11785" width="12.7109375" style="439" bestFit="1" customWidth="1"/>
    <col min="11786" max="12032" width="9.140625" style="439"/>
    <col min="12033" max="12033" width="7.85546875" style="439" customWidth="1"/>
    <col min="12034" max="12034" width="56.7109375" style="439" customWidth="1"/>
    <col min="12035" max="12035" width="10.7109375" style="439" customWidth="1"/>
    <col min="12036" max="12036" width="13.5703125" style="439" customWidth="1"/>
    <col min="12037" max="12038" width="11.85546875" style="439" customWidth="1"/>
    <col min="12039" max="12039" width="13.140625" style="439" customWidth="1"/>
    <col min="12040" max="12040" width="9.140625" style="439"/>
    <col min="12041" max="12041" width="12.7109375" style="439" bestFit="1" customWidth="1"/>
    <col min="12042" max="12288" width="9.140625" style="439"/>
    <col min="12289" max="12289" width="7.85546875" style="439" customWidth="1"/>
    <col min="12290" max="12290" width="56.7109375" style="439" customWidth="1"/>
    <col min="12291" max="12291" width="10.7109375" style="439" customWidth="1"/>
    <col min="12292" max="12292" width="13.5703125" style="439" customWidth="1"/>
    <col min="12293" max="12294" width="11.85546875" style="439" customWidth="1"/>
    <col min="12295" max="12295" width="13.140625" style="439" customWidth="1"/>
    <col min="12296" max="12296" width="9.140625" style="439"/>
    <col min="12297" max="12297" width="12.7109375" style="439" bestFit="1" customWidth="1"/>
    <col min="12298" max="12544" width="9.140625" style="439"/>
    <col min="12545" max="12545" width="7.85546875" style="439" customWidth="1"/>
    <col min="12546" max="12546" width="56.7109375" style="439" customWidth="1"/>
    <col min="12547" max="12547" width="10.7109375" style="439" customWidth="1"/>
    <col min="12548" max="12548" width="13.5703125" style="439" customWidth="1"/>
    <col min="12549" max="12550" width="11.85546875" style="439" customWidth="1"/>
    <col min="12551" max="12551" width="13.140625" style="439" customWidth="1"/>
    <col min="12552" max="12552" width="9.140625" style="439"/>
    <col min="12553" max="12553" width="12.7109375" style="439" bestFit="1" customWidth="1"/>
    <col min="12554" max="12800" width="9.140625" style="439"/>
    <col min="12801" max="12801" width="7.85546875" style="439" customWidth="1"/>
    <col min="12802" max="12802" width="56.7109375" style="439" customWidth="1"/>
    <col min="12803" max="12803" width="10.7109375" style="439" customWidth="1"/>
    <col min="12804" max="12804" width="13.5703125" style="439" customWidth="1"/>
    <col min="12805" max="12806" width="11.85546875" style="439" customWidth="1"/>
    <col min="12807" max="12807" width="13.140625" style="439" customWidth="1"/>
    <col min="12808" max="12808" width="9.140625" style="439"/>
    <col min="12809" max="12809" width="12.7109375" style="439" bestFit="1" customWidth="1"/>
    <col min="12810" max="13056" width="9.140625" style="439"/>
    <col min="13057" max="13057" width="7.85546875" style="439" customWidth="1"/>
    <col min="13058" max="13058" width="56.7109375" style="439" customWidth="1"/>
    <col min="13059" max="13059" width="10.7109375" style="439" customWidth="1"/>
    <col min="13060" max="13060" width="13.5703125" style="439" customWidth="1"/>
    <col min="13061" max="13062" width="11.85546875" style="439" customWidth="1"/>
    <col min="13063" max="13063" width="13.140625" style="439" customWidth="1"/>
    <col min="13064" max="13064" width="9.140625" style="439"/>
    <col min="13065" max="13065" width="12.7109375" style="439" bestFit="1" customWidth="1"/>
    <col min="13066" max="13312" width="9.140625" style="439"/>
    <col min="13313" max="13313" width="7.85546875" style="439" customWidth="1"/>
    <col min="13314" max="13314" width="56.7109375" style="439" customWidth="1"/>
    <col min="13315" max="13315" width="10.7109375" style="439" customWidth="1"/>
    <col min="13316" max="13316" width="13.5703125" style="439" customWidth="1"/>
    <col min="13317" max="13318" width="11.85546875" style="439" customWidth="1"/>
    <col min="13319" max="13319" width="13.140625" style="439" customWidth="1"/>
    <col min="13320" max="13320" width="9.140625" style="439"/>
    <col min="13321" max="13321" width="12.7109375" style="439" bestFit="1" customWidth="1"/>
    <col min="13322" max="13568" width="9.140625" style="439"/>
    <col min="13569" max="13569" width="7.85546875" style="439" customWidth="1"/>
    <col min="13570" max="13570" width="56.7109375" style="439" customWidth="1"/>
    <col min="13571" max="13571" width="10.7109375" style="439" customWidth="1"/>
    <col min="13572" max="13572" width="13.5703125" style="439" customWidth="1"/>
    <col min="13573" max="13574" width="11.85546875" style="439" customWidth="1"/>
    <col min="13575" max="13575" width="13.140625" style="439" customWidth="1"/>
    <col min="13576" max="13576" width="9.140625" style="439"/>
    <col min="13577" max="13577" width="12.7109375" style="439" bestFit="1" customWidth="1"/>
    <col min="13578" max="13824" width="9.140625" style="439"/>
    <col min="13825" max="13825" width="7.85546875" style="439" customWidth="1"/>
    <col min="13826" max="13826" width="56.7109375" style="439" customWidth="1"/>
    <col min="13827" max="13827" width="10.7109375" style="439" customWidth="1"/>
    <col min="13828" max="13828" width="13.5703125" style="439" customWidth="1"/>
    <col min="13829" max="13830" width="11.85546875" style="439" customWidth="1"/>
    <col min="13831" max="13831" width="13.140625" style="439" customWidth="1"/>
    <col min="13832" max="13832" width="9.140625" style="439"/>
    <col min="13833" max="13833" width="12.7109375" style="439" bestFit="1" customWidth="1"/>
    <col min="13834" max="14080" width="9.140625" style="439"/>
    <col min="14081" max="14081" width="7.85546875" style="439" customWidth="1"/>
    <col min="14082" max="14082" width="56.7109375" style="439" customWidth="1"/>
    <col min="14083" max="14083" width="10.7109375" style="439" customWidth="1"/>
    <col min="14084" max="14084" width="13.5703125" style="439" customWidth="1"/>
    <col min="14085" max="14086" width="11.85546875" style="439" customWidth="1"/>
    <col min="14087" max="14087" width="13.140625" style="439" customWidth="1"/>
    <col min="14088" max="14088" width="9.140625" style="439"/>
    <col min="14089" max="14089" width="12.7109375" style="439" bestFit="1" customWidth="1"/>
    <col min="14090" max="14336" width="9.140625" style="439"/>
    <col min="14337" max="14337" width="7.85546875" style="439" customWidth="1"/>
    <col min="14338" max="14338" width="56.7109375" style="439" customWidth="1"/>
    <col min="14339" max="14339" width="10.7109375" style="439" customWidth="1"/>
    <col min="14340" max="14340" width="13.5703125" style="439" customWidth="1"/>
    <col min="14341" max="14342" width="11.85546875" style="439" customWidth="1"/>
    <col min="14343" max="14343" width="13.140625" style="439" customWidth="1"/>
    <col min="14344" max="14344" width="9.140625" style="439"/>
    <col min="14345" max="14345" width="12.7109375" style="439" bestFit="1" customWidth="1"/>
    <col min="14346" max="14592" width="9.140625" style="439"/>
    <col min="14593" max="14593" width="7.85546875" style="439" customWidth="1"/>
    <col min="14594" max="14594" width="56.7109375" style="439" customWidth="1"/>
    <col min="14595" max="14595" width="10.7109375" style="439" customWidth="1"/>
    <col min="14596" max="14596" width="13.5703125" style="439" customWidth="1"/>
    <col min="14597" max="14598" width="11.85546875" style="439" customWidth="1"/>
    <col min="14599" max="14599" width="13.140625" style="439" customWidth="1"/>
    <col min="14600" max="14600" width="9.140625" style="439"/>
    <col min="14601" max="14601" width="12.7109375" style="439" bestFit="1" customWidth="1"/>
    <col min="14602" max="14848" width="9.140625" style="439"/>
    <col min="14849" max="14849" width="7.85546875" style="439" customWidth="1"/>
    <col min="14850" max="14850" width="56.7109375" style="439" customWidth="1"/>
    <col min="14851" max="14851" width="10.7109375" style="439" customWidth="1"/>
    <col min="14852" max="14852" width="13.5703125" style="439" customWidth="1"/>
    <col min="14853" max="14854" width="11.85546875" style="439" customWidth="1"/>
    <col min="14855" max="14855" width="13.140625" style="439" customWidth="1"/>
    <col min="14856" max="14856" width="9.140625" style="439"/>
    <col min="14857" max="14857" width="12.7109375" style="439" bestFit="1" customWidth="1"/>
    <col min="14858" max="15104" width="9.140625" style="439"/>
    <col min="15105" max="15105" width="7.85546875" style="439" customWidth="1"/>
    <col min="15106" max="15106" width="56.7109375" style="439" customWidth="1"/>
    <col min="15107" max="15107" width="10.7109375" style="439" customWidth="1"/>
    <col min="15108" max="15108" width="13.5703125" style="439" customWidth="1"/>
    <col min="15109" max="15110" width="11.85546875" style="439" customWidth="1"/>
    <col min="15111" max="15111" width="13.140625" style="439" customWidth="1"/>
    <col min="15112" max="15112" width="9.140625" style="439"/>
    <col min="15113" max="15113" width="12.7109375" style="439" bestFit="1" customWidth="1"/>
    <col min="15114" max="15360" width="9.140625" style="439"/>
    <col min="15361" max="15361" width="7.85546875" style="439" customWidth="1"/>
    <col min="15362" max="15362" width="56.7109375" style="439" customWidth="1"/>
    <col min="15363" max="15363" width="10.7109375" style="439" customWidth="1"/>
    <col min="15364" max="15364" width="13.5703125" style="439" customWidth="1"/>
    <col min="15365" max="15366" width="11.85546875" style="439" customWidth="1"/>
    <col min="15367" max="15367" width="13.140625" style="439" customWidth="1"/>
    <col min="15368" max="15368" width="9.140625" style="439"/>
    <col min="15369" max="15369" width="12.7109375" style="439" bestFit="1" customWidth="1"/>
    <col min="15370" max="15616" width="9.140625" style="439"/>
    <col min="15617" max="15617" width="7.85546875" style="439" customWidth="1"/>
    <col min="15618" max="15618" width="56.7109375" style="439" customWidth="1"/>
    <col min="15619" max="15619" width="10.7109375" style="439" customWidth="1"/>
    <col min="15620" max="15620" width="13.5703125" style="439" customWidth="1"/>
    <col min="15621" max="15622" width="11.85546875" style="439" customWidth="1"/>
    <col min="15623" max="15623" width="13.140625" style="439" customWidth="1"/>
    <col min="15624" max="15624" width="9.140625" style="439"/>
    <col min="15625" max="15625" width="12.7109375" style="439" bestFit="1" customWidth="1"/>
    <col min="15626" max="15872" width="9.140625" style="439"/>
    <col min="15873" max="15873" width="7.85546875" style="439" customWidth="1"/>
    <col min="15874" max="15874" width="56.7109375" style="439" customWidth="1"/>
    <col min="15875" max="15875" width="10.7109375" style="439" customWidth="1"/>
    <col min="15876" max="15876" width="13.5703125" style="439" customWidth="1"/>
    <col min="15877" max="15878" width="11.85546875" style="439" customWidth="1"/>
    <col min="15879" max="15879" width="13.140625" style="439" customWidth="1"/>
    <col min="15880" max="15880" width="9.140625" style="439"/>
    <col min="15881" max="15881" width="12.7109375" style="439" bestFit="1" customWidth="1"/>
    <col min="15882" max="16128" width="9.140625" style="439"/>
    <col min="16129" max="16129" width="7.85546875" style="439" customWidth="1"/>
    <col min="16130" max="16130" width="56.7109375" style="439" customWidth="1"/>
    <col min="16131" max="16131" width="10.7109375" style="439" customWidth="1"/>
    <col min="16132" max="16132" width="13.5703125" style="439" customWidth="1"/>
    <col min="16133" max="16134" width="11.85546875" style="439" customWidth="1"/>
    <col min="16135" max="16135" width="13.140625" style="439" customWidth="1"/>
    <col min="16136" max="16136" width="9.140625" style="439"/>
    <col min="16137" max="16137" width="12.7109375" style="439" bestFit="1" customWidth="1"/>
    <col min="16138" max="16384" width="9.140625" style="439"/>
  </cols>
  <sheetData>
    <row r="1" spans="1:10">
      <c r="A1" s="1058" t="s">
        <v>3527</v>
      </c>
      <c r="B1" s="1058"/>
      <c r="C1" s="1058"/>
      <c r="D1" s="1058"/>
      <c r="E1" s="1058"/>
      <c r="F1" s="1058"/>
      <c r="G1" s="1058"/>
    </row>
    <row r="2" spans="1:10">
      <c r="A2" s="1059" t="s">
        <v>3528</v>
      </c>
      <c r="B2" s="1059"/>
      <c r="C2" s="1059"/>
      <c r="D2" s="1059"/>
      <c r="E2" s="1059"/>
      <c r="F2" s="1059"/>
      <c r="G2" s="1059"/>
      <c r="H2" s="716"/>
    </row>
    <row r="3" spans="1:10" ht="14.25">
      <c r="A3" s="717"/>
      <c r="B3" s="717"/>
      <c r="C3" s="717"/>
      <c r="D3" s="717"/>
      <c r="E3" s="717"/>
      <c r="F3" s="717"/>
      <c r="G3" s="717"/>
      <c r="J3" s="712"/>
    </row>
    <row r="4" spans="1:10" ht="15" customHeight="1">
      <c r="A4" s="1062" t="s">
        <v>3529</v>
      </c>
      <c r="B4" s="1062"/>
      <c r="C4" s="1062"/>
      <c r="D4" s="1062"/>
      <c r="E4" s="1062"/>
      <c r="F4" s="1062"/>
      <c r="G4" s="1062"/>
    </row>
    <row r="5" spans="1:10" ht="18.75" customHeight="1">
      <c r="A5" s="948"/>
      <c r="B5" s="948"/>
      <c r="C5" s="948"/>
      <c r="D5" s="948"/>
      <c r="E5" s="948"/>
      <c r="F5" s="948"/>
      <c r="G5" s="948"/>
    </row>
    <row r="6" spans="1:10" ht="18.75" customHeight="1">
      <c r="A6" s="948"/>
      <c r="B6" s="948"/>
      <c r="C6" s="948"/>
      <c r="D6" s="948"/>
      <c r="E6" s="1063" t="s">
        <v>3309</v>
      </c>
      <c r="F6" s="961" t="s">
        <v>3526</v>
      </c>
      <c r="G6" s="950">
        <v>0.2462</v>
      </c>
      <c r="J6" s="956"/>
    </row>
    <row r="7" spans="1:10" ht="18.75" customHeight="1">
      <c r="A7" s="948"/>
      <c r="B7" s="948"/>
      <c r="C7" s="948"/>
      <c r="D7" s="948"/>
      <c r="E7" s="1063"/>
      <c r="F7" s="961" t="s">
        <v>3454</v>
      </c>
      <c r="G7" s="950">
        <v>0.15279999999999999</v>
      </c>
      <c r="J7" s="956"/>
    </row>
    <row r="8" spans="1:10">
      <c r="D8" s="719"/>
    </row>
    <row r="9" spans="1:10" ht="12.75">
      <c r="A9" s="1060" t="s">
        <v>0</v>
      </c>
      <c r="B9" s="1060" t="s">
        <v>1489</v>
      </c>
      <c r="C9" s="1060" t="s">
        <v>3246</v>
      </c>
      <c r="D9" s="1060" t="s">
        <v>3247</v>
      </c>
      <c r="E9" s="1060" t="s">
        <v>3530</v>
      </c>
      <c r="F9" s="1060"/>
      <c r="G9" s="1061"/>
    </row>
    <row r="10" spans="1:10" ht="12.75">
      <c r="A10" s="1060"/>
      <c r="B10" s="1060"/>
      <c r="C10" s="1060"/>
      <c r="D10" s="1060"/>
      <c r="E10" s="720" t="s">
        <v>3531</v>
      </c>
      <c r="F10" s="720" t="s">
        <v>3309</v>
      </c>
      <c r="G10" s="720" t="s">
        <v>3532</v>
      </c>
    </row>
    <row r="11" spans="1:10" ht="12.75">
      <c r="A11" s="721"/>
      <c r="B11" s="722" t="s">
        <v>3533</v>
      </c>
      <c r="C11" s="721"/>
      <c r="D11" s="721"/>
      <c r="E11" s="722"/>
      <c r="F11" s="722"/>
      <c r="G11" s="722"/>
    </row>
    <row r="12" spans="1:10" ht="12.75">
      <c r="A12" s="721"/>
      <c r="B12" s="722"/>
      <c r="C12" s="721"/>
      <c r="D12" s="721"/>
      <c r="E12" s="722"/>
      <c r="F12" s="722"/>
      <c r="G12" s="722"/>
    </row>
    <row r="13" spans="1:10" ht="12.75">
      <c r="A13" s="780" t="s">
        <v>3648</v>
      </c>
      <c r="B13" s="725" t="s">
        <v>3304</v>
      </c>
      <c r="C13" s="726"/>
      <c r="D13" s="727"/>
      <c r="E13" s="723">
        <f>E14+E15</f>
        <v>55625307.713257164</v>
      </c>
      <c r="F13" s="729"/>
      <c r="G13" s="723">
        <f>G14+G15</f>
        <v>65126930.552697897</v>
      </c>
    </row>
    <row r="14" spans="1:10" ht="12.75">
      <c r="A14" s="724" t="s">
        <v>1206</v>
      </c>
      <c r="B14" s="737" t="s">
        <v>1407</v>
      </c>
      <c r="C14" s="724" t="s">
        <v>3536</v>
      </c>
      <c r="D14" s="797">
        <v>1</v>
      </c>
      <c r="E14" s="728">
        <f>'Custos On farm'!H24</f>
        <v>10728863.178319428</v>
      </c>
      <c r="F14" s="783">
        <f>$G$6</f>
        <v>0.2462</v>
      </c>
      <c r="G14" s="728">
        <f>D14*((E14*F14)+E14)</f>
        <v>13370309.292821672</v>
      </c>
    </row>
    <row r="15" spans="1:10" ht="12.75">
      <c r="A15" s="724" t="s">
        <v>1215</v>
      </c>
      <c r="B15" s="737" t="s">
        <v>3565</v>
      </c>
      <c r="C15" s="732"/>
      <c r="D15" s="733"/>
      <c r="E15" s="728">
        <f>SUM(E16:E28)</f>
        <v>44896444.534937739</v>
      </c>
      <c r="F15" s="735"/>
      <c r="G15" s="728">
        <f>SUM(G16:G28)</f>
        <v>51756621.259876229</v>
      </c>
    </row>
    <row r="16" spans="1:10" ht="12.75">
      <c r="A16" s="732" t="s">
        <v>1216</v>
      </c>
      <c r="B16" s="731" t="s">
        <v>3813</v>
      </c>
      <c r="C16" s="732" t="s">
        <v>3536</v>
      </c>
      <c r="D16" s="733">
        <v>1</v>
      </c>
      <c r="E16" s="734">
        <f>'Custos On farm'!H34</f>
        <v>13117856.74052218</v>
      </c>
      <c r="F16" s="735">
        <f t="shared" ref="F16:F27" si="0">$G$7</f>
        <v>0.15279999999999999</v>
      </c>
      <c r="G16" s="734">
        <f>D16*((E16*F16)+E16)</f>
        <v>15122265.250473969</v>
      </c>
    </row>
    <row r="17" spans="1:9" ht="12.75">
      <c r="A17" s="732" t="s">
        <v>1262</v>
      </c>
      <c r="B17" s="731" t="s">
        <v>3649</v>
      </c>
      <c r="C17" s="732" t="s">
        <v>3536</v>
      </c>
      <c r="D17" s="733">
        <v>1</v>
      </c>
      <c r="E17" s="734">
        <f>'Custos On farm'!H81</f>
        <v>0</v>
      </c>
      <c r="F17" s="735">
        <f t="shared" si="0"/>
        <v>0.15279999999999999</v>
      </c>
      <c r="G17" s="734">
        <f t="shared" ref="G17:G27" si="1">D17*((E17*F17)+E17)</f>
        <v>0</v>
      </c>
    </row>
    <row r="18" spans="1:9" ht="12.75">
      <c r="A18" s="732" t="s">
        <v>1284</v>
      </c>
      <c r="B18" s="731" t="s">
        <v>3650</v>
      </c>
      <c r="C18" s="732" t="s">
        <v>3536</v>
      </c>
      <c r="D18" s="733">
        <v>1</v>
      </c>
      <c r="E18" s="734">
        <f>'Custos On farm'!H103</f>
        <v>7115897.5859239269</v>
      </c>
      <c r="F18" s="735">
        <f t="shared" si="0"/>
        <v>0.15279999999999999</v>
      </c>
      <c r="G18" s="734">
        <f t="shared" si="1"/>
        <v>8203206.7370531028</v>
      </c>
    </row>
    <row r="19" spans="1:9" ht="12.75">
      <c r="A19" s="732" t="s">
        <v>1297</v>
      </c>
      <c r="B19" s="731" t="s">
        <v>3651</v>
      </c>
      <c r="C19" s="732" t="s">
        <v>3536</v>
      </c>
      <c r="D19" s="733">
        <v>1</v>
      </c>
      <c r="E19" s="734">
        <f>'Custos On farm'!H116</f>
        <v>250694.0564770909</v>
      </c>
      <c r="F19" s="735">
        <f t="shared" si="0"/>
        <v>0.15279999999999999</v>
      </c>
      <c r="G19" s="734">
        <f t="shared" si="1"/>
        <v>289000.10830679035</v>
      </c>
    </row>
    <row r="20" spans="1:9" ht="12.75">
      <c r="A20" s="732" t="s">
        <v>1302</v>
      </c>
      <c r="B20" s="731" t="s">
        <v>3652</v>
      </c>
      <c r="C20" s="732" t="s">
        <v>3536</v>
      </c>
      <c r="D20" s="733">
        <v>1</v>
      </c>
      <c r="E20" s="734">
        <f>'Custos On farm'!H121</f>
        <v>29602.710743272724</v>
      </c>
      <c r="F20" s="735">
        <f t="shared" si="0"/>
        <v>0.15279999999999999</v>
      </c>
      <c r="G20" s="734">
        <f t="shared" si="1"/>
        <v>34126.004944844797</v>
      </c>
    </row>
    <row r="21" spans="1:9" ht="12.75">
      <c r="A21" s="732" t="s">
        <v>1305</v>
      </c>
      <c r="B21" s="731" t="s">
        <v>3653</v>
      </c>
      <c r="C21" s="732" t="s">
        <v>3536</v>
      </c>
      <c r="D21" s="733">
        <v>1</v>
      </c>
      <c r="E21" s="734">
        <f>'Custos On farm'!H124</f>
        <v>1226478.9344741818</v>
      </c>
      <c r="F21" s="735">
        <f t="shared" si="0"/>
        <v>0.15279999999999999</v>
      </c>
      <c r="G21" s="734">
        <f t="shared" si="1"/>
        <v>1413884.9156618367</v>
      </c>
    </row>
    <row r="22" spans="1:9" ht="22.5">
      <c r="A22" s="732" t="s">
        <v>1320</v>
      </c>
      <c r="B22" s="731" t="s">
        <v>3654</v>
      </c>
      <c r="C22" s="732" t="s">
        <v>3536</v>
      </c>
      <c r="D22" s="733">
        <v>1</v>
      </c>
      <c r="E22" s="734">
        <f>'Custos On farm'!H139</f>
        <v>572563.59697018191</v>
      </c>
      <c r="F22" s="735">
        <f t="shared" si="0"/>
        <v>0.15279999999999999</v>
      </c>
      <c r="G22" s="734">
        <f t="shared" si="1"/>
        <v>660051.31458722567</v>
      </c>
    </row>
    <row r="23" spans="1:9" ht="22.5">
      <c r="A23" s="732" t="s">
        <v>1333</v>
      </c>
      <c r="B23" s="731" t="s">
        <v>3655</v>
      </c>
      <c r="C23" s="732" t="s">
        <v>3536</v>
      </c>
      <c r="D23" s="733">
        <v>1</v>
      </c>
      <c r="E23" s="734">
        <f>'Custos On farm'!H152</f>
        <v>4642014.2065439997</v>
      </c>
      <c r="F23" s="735">
        <f t="shared" si="0"/>
        <v>0.15279999999999999</v>
      </c>
      <c r="G23" s="734">
        <f t="shared" si="1"/>
        <v>5351313.9773039231</v>
      </c>
    </row>
    <row r="24" spans="1:9" ht="12.75">
      <c r="A24" s="732" t="s">
        <v>1352</v>
      </c>
      <c r="B24" s="731" t="s">
        <v>3656</v>
      </c>
      <c r="C24" s="732" t="s">
        <v>3536</v>
      </c>
      <c r="D24" s="733">
        <v>1</v>
      </c>
      <c r="E24" s="734">
        <f>'Custos On farm'!H171</f>
        <v>4431633.8941963632</v>
      </c>
      <c r="F24" s="735">
        <f t="shared" si="0"/>
        <v>0.15279999999999999</v>
      </c>
      <c r="G24" s="734">
        <f t="shared" si="1"/>
        <v>5108787.5532295676</v>
      </c>
    </row>
    <row r="25" spans="1:9" ht="12.75">
      <c r="A25" s="732" t="s">
        <v>1361</v>
      </c>
      <c r="B25" s="731" t="s">
        <v>3657</v>
      </c>
      <c r="C25" s="732" t="s">
        <v>3536</v>
      </c>
      <c r="D25" s="733">
        <v>1</v>
      </c>
      <c r="E25" s="734">
        <f>'Custos On farm'!H180</f>
        <v>13244003.649968</v>
      </c>
      <c r="F25" s="735">
        <f t="shared" si="0"/>
        <v>0.15279999999999999</v>
      </c>
      <c r="G25" s="734">
        <f t="shared" si="1"/>
        <v>15267687.40768311</v>
      </c>
    </row>
    <row r="26" spans="1:9" ht="12.75">
      <c r="A26" s="732" t="s">
        <v>1371</v>
      </c>
      <c r="B26" s="731" t="s">
        <v>3658</v>
      </c>
      <c r="C26" s="732" t="s">
        <v>3536</v>
      </c>
      <c r="D26" s="733">
        <v>1</v>
      </c>
      <c r="E26" s="734">
        <f>'Custos On farm'!H190</f>
        <v>110828.54239127271</v>
      </c>
      <c r="F26" s="735">
        <f t="shared" si="0"/>
        <v>0.15279999999999999</v>
      </c>
      <c r="G26" s="734">
        <f t="shared" si="1"/>
        <v>127763.14366865918</v>
      </c>
    </row>
    <row r="27" spans="1:9" ht="12.75">
      <c r="A27" s="732" t="s">
        <v>1377</v>
      </c>
      <c r="B27" s="731" t="s">
        <v>3659</v>
      </c>
      <c r="C27" s="732" t="s">
        <v>3536</v>
      </c>
      <c r="D27" s="733">
        <v>1</v>
      </c>
      <c r="E27" s="734">
        <f>'Custos On farm'!H196</f>
        <v>154870.61672727272</v>
      </c>
      <c r="F27" s="735">
        <f t="shared" si="0"/>
        <v>0.15279999999999999</v>
      </c>
      <c r="G27" s="734">
        <f t="shared" si="1"/>
        <v>178534.84696319999</v>
      </c>
    </row>
    <row r="28" spans="1:9" ht="12.75">
      <c r="A28" s="732"/>
      <c r="B28" s="731"/>
      <c r="C28" s="732"/>
      <c r="D28" s="733"/>
      <c r="E28" s="734"/>
      <c r="F28" s="735"/>
      <c r="G28" s="734"/>
      <c r="I28" s="738"/>
    </row>
    <row r="29" spans="1:9" ht="12.75">
      <c r="A29" s="732"/>
      <c r="B29" s="739"/>
      <c r="C29" s="740"/>
      <c r="D29" s="741"/>
      <c r="E29" s="734"/>
      <c r="F29" s="742"/>
      <c r="G29" s="742"/>
    </row>
    <row r="30" spans="1:9" ht="12.75">
      <c r="A30" s="1055" t="s">
        <v>3660</v>
      </c>
      <c r="B30" s="1091"/>
      <c r="C30" s="1091"/>
      <c r="D30" s="1057"/>
      <c r="E30" s="743">
        <f>E15+E14</f>
        <v>55625307.713257164</v>
      </c>
      <c r="F30" s="744"/>
      <c r="G30" s="743">
        <f>G15+G14</f>
        <v>65126930.552697897</v>
      </c>
    </row>
    <row r="31" spans="1:9">
      <c r="A31" s="745"/>
      <c r="B31" s="746"/>
      <c r="C31" s="746"/>
      <c r="D31" s="746"/>
      <c r="E31" s="746"/>
    </row>
    <row r="32" spans="1:9">
      <c r="A32" s="747"/>
      <c r="H32" s="718"/>
    </row>
    <row r="33" spans="1:9">
      <c r="A33" s="747"/>
      <c r="G33" s="748"/>
      <c r="H33" s="718"/>
      <c r="I33" s="749"/>
    </row>
    <row r="34" spans="1:9">
      <c r="A34" s="747"/>
      <c r="G34" s="719"/>
      <c r="H34" s="718"/>
      <c r="I34" s="749"/>
    </row>
    <row r="35" spans="1:9">
      <c r="H35" s="718"/>
    </row>
    <row r="36" spans="1:9">
      <c r="H36" s="718"/>
    </row>
    <row r="37" spans="1:9">
      <c r="G37" s="749"/>
    </row>
    <row r="38" spans="1:9">
      <c r="G38" s="719"/>
    </row>
  </sheetData>
  <mergeCells count="10">
    <mergeCell ref="A30:D30"/>
    <mergeCell ref="A1:G1"/>
    <mergeCell ref="A2:G2"/>
    <mergeCell ref="A9:A10"/>
    <mergeCell ref="B9:B10"/>
    <mergeCell ref="C9:C10"/>
    <mergeCell ref="D9:D10"/>
    <mergeCell ref="E9:G9"/>
    <mergeCell ref="A4:G4"/>
    <mergeCell ref="E6:E7"/>
  </mergeCells>
  <conditionalFormatting sqref="G6:G7 J6:J7">
    <cfRule type="expression" dxfId="12" priority="1" stopIfTrue="1">
      <formula>#REF!="Não"</formula>
    </cfRule>
  </conditionalFormatting>
  <printOptions horizontalCentered="1"/>
  <pageMargins left="0.51181102362204722" right="0.51181102362204722" top="0.78740157480314965" bottom="0.78740157480314965" header="0.31496062992125984" footer="0.31496062992125984"/>
  <pageSetup paperSize="9" scale="74"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pageSetUpPr autoPageBreaks="0" fitToPage="1"/>
  </sheetPr>
  <dimension ref="B1:BR118"/>
  <sheetViews>
    <sheetView showGridLines="0" showZeros="0" showRuler="0" showWhiteSpace="0" view="pageBreakPreview" zoomScale="55" zoomScaleNormal="55" zoomScaleSheetLayoutView="55" zoomScalePageLayoutView="60" workbookViewId="0">
      <pane ySplit="22" topLeftCell="A47" activePane="bottomLeft" state="frozen"/>
      <selection activeCell="H39" sqref="H39"/>
      <selection pane="bottomLeft" activeCell="B54" sqref="B54:B60"/>
    </sheetView>
  </sheetViews>
  <sheetFormatPr defaultColWidth="9.140625" defaultRowHeight="15.75" outlineLevelRow="1"/>
  <cols>
    <col min="1" max="1" width="9.140625" style="50"/>
    <col min="2" max="2" width="12" style="48" customWidth="1"/>
    <col min="3" max="3" width="98" style="49" customWidth="1"/>
    <col min="4" max="4" width="9.140625" style="141" customWidth="1"/>
    <col min="5" max="5" width="19.7109375" style="50" customWidth="1"/>
    <col min="6" max="6" width="17.42578125" style="50" customWidth="1"/>
    <col min="7" max="8" width="22" style="50" customWidth="1"/>
    <col min="9" max="9" width="28.85546875" style="50" customWidth="1"/>
    <col min="10" max="10" width="14" style="50" customWidth="1"/>
    <col min="11" max="11" width="22.7109375" style="50" customWidth="1"/>
    <col min="12" max="12" width="3.7109375" style="50" customWidth="1"/>
    <col min="13" max="13" width="19" style="50" customWidth="1"/>
    <col min="14" max="14" width="19.85546875" style="50" customWidth="1"/>
    <col min="15" max="15" width="18.28515625" style="50" customWidth="1"/>
    <col min="16" max="16" width="19" style="50" customWidth="1"/>
    <col min="17" max="16384" width="9.140625" style="50"/>
  </cols>
  <sheetData>
    <row r="1" spans="2:14">
      <c r="G1" s="244"/>
      <c r="H1" s="244"/>
    </row>
    <row r="2" spans="2:14" hidden="1">
      <c r="M2" s="124" t="s">
        <v>2749</v>
      </c>
      <c r="N2" s="124" t="s">
        <v>2750</v>
      </c>
    </row>
    <row r="3" spans="2:14" hidden="1">
      <c r="B3" s="142"/>
      <c r="C3" s="143"/>
      <c r="D3" s="144"/>
      <c r="E3" s="143"/>
      <c r="F3" s="143"/>
      <c r="G3" s="143"/>
      <c r="H3" s="143"/>
      <c r="I3" s="143"/>
      <c r="J3" s="143"/>
      <c r="K3" s="186"/>
      <c r="L3" s="50" t="s">
        <v>1521</v>
      </c>
      <c r="M3" s="821" t="e">
        <f>SUMIF($I$21:$L$52,#REF!,#REF!)-0.03</f>
        <v>#REF!</v>
      </c>
      <c r="N3" s="822" t="e">
        <f>ROUND(M3*#REF!,2)</f>
        <v>#REF!</v>
      </c>
    </row>
    <row r="4" spans="2:14" ht="18.75" hidden="1">
      <c r="B4" s="1065" t="s">
        <v>3056</v>
      </c>
      <c r="C4" s="1066"/>
      <c r="D4" s="1066"/>
      <c r="E4" s="1066"/>
      <c r="F4" s="1066"/>
      <c r="G4" s="1066"/>
      <c r="H4" s="1066"/>
      <c r="I4" s="1066"/>
      <c r="J4" s="1066"/>
      <c r="K4" s="187"/>
      <c r="L4" s="50" t="s">
        <v>1524</v>
      </c>
      <c r="M4" s="821" t="e">
        <f>SUMIF($I$21:$L$52,#REF!,#REF!)-0.03</f>
        <v>#REF!</v>
      </c>
      <c r="N4" s="822" t="e">
        <f>ROUND(M4*#REF!,2)</f>
        <v>#REF!</v>
      </c>
    </row>
    <row r="5" spans="2:14" ht="18.75" hidden="1">
      <c r="B5" s="1067" t="s">
        <v>4</v>
      </c>
      <c r="C5" s="1068"/>
      <c r="D5" s="1068"/>
      <c r="E5" s="1068"/>
      <c r="F5" s="1068"/>
      <c r="G5" s="1068"/>
      <c r="H5" s="1068"/>
      <c r="I5" s="1068"/>
      <c r="J5" s="1068"/>
      <c r="K5" s="187"/>
      <c r="L5" s="50" t="s">
        <v>1525</v>
      </c>
      <c r="M5" s="821" t="e">
        <f>SUMIF($I$21:$L$52,#REF!,#REF!)-0.05</f>
        <v>#REF!</v>
      </c>
      <c r="N5" s="822" t="e">
        <f>ROUND(M5*#REF!,2)</f>
        <v>#REF!</v>
      </c>
    </row>
    <row r="6" spans="2:14" ht="18.75" hidden="1">
      <c r="B6" s="1067" t="s">
        <v>1527</v>
      </c>
      <c r="C6" s="1068"/>
      <c r="D6" s="1068"/>
      <c r="E6" s="1068"/>
      <c r="F6" s="1068"/>
      <c r="G6" s="1068"/>
      <c r="H6" s="1068"/>
      <c r="I6" s="1068"/>
      <c r="J6" s="1068"/>
      <c r="K6" s="187"/>
      <c r="L6" s="50" t="s">
        <v>1522</v>
      </c>
      <c r="M6" s="821" t="e">
        <f>SUMIF($I$21:$L$52,#REF!,#REF!)-0.01</f>
        <v>#REF!</v>
      </c>
      <c r="N6" s="822" t="e">
        <f>ROUND(M6*#REF!,2)</f>
        <v>#REF!</v>
      </c>
    </row>
    <row r="7" spans="2:14" ht="16.5" hidden="1" thickBot="1">
      <c r="B7" s="147"/>
      <c r="C7" s="148"/>
      <c r="D7" s="149"/>
      <c r="E7" s="150"/>
      <c r="F7" s="150"/>
      <c r="G7" s="150"/>
      <c r="H7" s="150"/>
      <c r="I7" s="150"/>
      <c r="J7" s="150"/>
      <c r="K7" s="188"/>
      <c r="L7" s="50" t="s">
        <v>1523</v>
      </c>
      <c r="M7" s="821" t="e">
        <f>SUMIF($I$21:$L$52,#REF!,#REF!)</f>
        <v>#REF!</v>
      </c>
      <c r="N7" s="822" t="e">
        <f>ROUND(M7*#REF!,2)</f>
        <v>#REF!</v>
      </c>
    </row>
    <row r="8" spans="2:14" ht="24" hidden="1" thickBot="1">
      <c r="B8" s="1069" t="s">
        <v>3058</v>
      </c>
      <c r="C8" s="1070"/>
      <c r="D8" s="1070"/>
      <c r="E8" s="1070"/>
      <c r="F8" s="1070"/>
      <c r="G8" s="1070"/>
      <c r="H8" s="1070"/>
      <c r="I8" s="1070"/>
      <c r="J8" s="1070"/>
      <c r="K8" s="189"/>
      <c r="L8" s="50" t="s">
        <v>1526</v>
      </c>
      <c r="M8" s="821" t="e">
        <f>SUMIF($I$21:$L$52,#REF!,#REF!)-0.02</f>
        <v>#REF!</v>
      </c>
      <c r="N8" s="822" t="e">
        <f>ROUND(M8*#REF!,2)</f>
        <v>#REF!</v>
      </c>
    </row>
    <row r="9" spans="2:14" hidden="1">
      <c r="B9" s="152" t="s">
        <v>7</v>
      </c>
      <c r="C9" s="153" t="s">
        <v>1519</v>
      </c>
      <c r="D9" s="154"/>
      <c r="E9" s="196" t="s">
        <v>1535</v>
      </c>
      <c r="F9" s="145"/>
      <c r="G9" s="145"/>
      <c r="H9" s="145"/>
      <c r="I9" s="198"/>
      <c r="J9" s="1071" t="e">
        <f>CONCATENATE(#REF!," ",#REF!)</f>
        <v>#REF!</v>
      </c>
      <c r="K9" s="160"/>
      <c r="M9" s="207" t="e">
        <f>SUM(M3:M8)</f>
        <v>#REF!</v>
      </c>
      <c r="N9" s="207" t="e">
        <f>SUM(N3:N8)</f>
        <v>#REF!</v>
      </c>
    </row>
    <row r="10" spans="2:14" hidden="1">
      <c r="B10" s="155" t="s">
        <v>6</v>
      </c>
      <c r="C10" s="156" t="s">
        <v>1530</v>
      </c>
      <c r="D10" s="157"/>
      <c r="E10" s="197" t="s">
        <v>5</v>
      </c>
      <c r="F10" s="146"/>
      <c r="G10" s="159"/>
      <c r="H10" s="159"/>
      <c r="I10" s="756"/>
      <c r="J10" s="1072"/>
      <c r="K10" s="160"/>
      <c r="M10" s="208" t="e">
        <f>M9-#REF!</f>
        <v>#REF!</v>
      </c>
      <c r="N10" s="123"/>
    </row>
    <row r="11" spans="2:14" hidden="1">
      <c r="B11" s="155" t="s">
        <v>8</v>
      </c>
      <c r="C11" s="156" t="s">
        <v>1483</v>
      </c>
      <c r="D11" s="157"/>
      <c r="E11" s="197" t="s">
        <v>1537</v>
      </c>
      <c r="F11" s="146"/>
      <c r="G11" s="159"/>
      <c r="H11" s="159"/>
      <c r="I11" s="756"/>
      <c r="J11" s="1072"/>
      <c r="K11" s="160"/>
    </row>
    <row r="12" spans="2:14" hidden="1">
      <c r="B12" s="155" t="s">
        <v>9</v>
      </c>
      <c r="C12" s="156" t="s">
        <v>1488</v>
      </c>
      <c r="D12" s="157"/>
      <c r="E12" s="197" t="s">
        <v>3057</v>
      </c>
      <c r="F12" s="146"/>
      <c r="G12" s="159"/>
      <c r="H12" s="159"/>
      <c r="I12" s="199"/>
      <c r="J12" s="1072" t="e">
        <f>CONCATENATE(#REF!," ",#REF!)</f>
        <v>#REF!</v>
      </c>
      <c r="K12" s="161"/>
    </row>
    <row r="13" spans="2:14" hidden="1">
      <c r="B13" s="155" t="s">
        <v>10</v>
      </c>
      <c r="C13" s="162">
        <v>79745584.319999993</v>
      </c>
      <c r="D13" s="163"/>
      <c r="E13" s="197" t="e">
        <f>#REF!</f>
        <v>#REF!</v>
      </c>
      <c r="F13" s="146"/>
      <c r="G13" s="159"/>
      <c r="H13" s="159"/>
      <c r="I13" s="756"/>
      <c r="J13" s="1072"/>
      <c r="K13" s="160"/>
    </row>
    <row r="14" spans="2:14" hidden="1">
      <c r="B14" s="164" t="s">
        <v>1529</v>
      </c>
      <c r="C14" s="157"/>
      <c r="D14" s="163"/>
      <c r="E14" s="197" t="e">
        <f>#REF!</f>
        <v>#REF!</v>
      </c>
      <c r="F14" s="146"/>
      <c r="G14" s="159"/>
      <c r="H14" s="159"/>
      <c r="I14" s="756"/>
      <c r="J14" s="1072"/>
      <c r="K14" s="160"/>
    </row>
    <row r="15" spans="2:14" hidden="1">
      <c r="B15" s="165"/>
      <c r="C15" s="157"/>
      <c r="D15" s="163"/>
      <c r="E15" s="197" t="e">
        <f>#REF!</f>
        <v>#REF!</v>
      </c>
      <c r="F15" s="146"/>
      <c r="G15" s="146"/>
      <c r="H15" s="146"/>
      <c r="I15" s="199"/>
      <c r="J15" s="1087" t="e">
        <f>CONCATENATE(#REF!," ",#REF!)</f>
        <v>#REF!</v>
      </c>
      <c r="K15" s="161"/>
    </row>
    <row r="16" spans="2:14" hidden="1">
      <c r="B16" s="165"/>
      <c r="C16" s="157"/>
      <c r="D16" s="163"/>
      <c r="E16" s="158"/>
      <c r="F16" s="146"/>
      <c r="G16" s="146"/>
      <c r="H16" s="146"/>
      <c r="I16" s="199"/>
      <c r="J16" s="1074"/>
      <c r="K16" s="161"/>
    </row>
    <row r="17" spans="2:16" hidden="1">
      <c r="B17" s="165"/>
      <c r="C17" s="157"/>
      <c r="D17" s="163"/>
      <c r="E17" s="158"/>
      <c r="F17" s="146"/>
      <c r="G17" s="146"/>
      <c r="H17" s="146"/>
      <c r="I17" s="199"/>
      <c r="J17" s="1074"/>
      <c r="K17" s="161"/>
    </row>
    <row r="18" spans="2:16" hidden="1">
      <c r="B18" s="165"/>
      <c r="C18" s="157"/>
      <c r="D18" s="163"/>
      <c r="E18" s="158"/>
      <c r="F18" s="146"/>
      <c r="G18" s="146"/>
      <c r="H18" s="146"/>
      <c r="I18" s="756"/>
      <c r="J18" s="1074"/>
      <c r="K18" s="160"/>
    </row>
    <row r="19" spans="2:16" ht="16.5" hidden="1" thickBot="1">
      <c r="B19" s="165"/>
      <c r="C19" s="168"/>
      <c r="D19" s="169"/>
      <c r="E19" s="170"/>
      <c r="F19" s="151"/>
      <c r="G19" s="151"/>
      <c r="H19" s="151"/>
      <c r="I19" s="168"/>
      <c r="J19" s="1075"/>
      <c r="K19" s="138"/>
    </row>
    <row r="20" spans="2:16">
      <c r="B20" s="955"/>
      <c r="C20" s="372"/>
      <c r="D20" s="373"/>
      <c r="E20" s="126"/>
      <c r="F20" s="126"/>
      <c r="G20" s="757"/>
      <c r="H20" s="757"/>
      <c r="I20" s="126"/>
      <c r="J20" s="126"/>
      <c r="K20" s="126"/>
    </row>
    <row r="21" spans="2:16" ht="24" customHeight="1">
      <c r="B21" s="818"/>
      <c r="C21" s="818"/>
      <c r="D21" s="818" t="s">
        <v>11</v>
      </c>
      <c r="E21" s="1088" t="s">
        <v>3053</v>
      </c>
      <c r="F21" s="1088"/>
      <c r="G21" s="1088"/>
      <c r="H21" s="819"/>
      <c r="I21" s="1089" t="s">
        <v>2745</v>
      </c>
      <c r="J21" s="1090"/>
      <c r="K21" s="137"/>
      <c r="L21" s="174"/>
    </row>
    <row r="22" spans="2:16" ht="38.25" customHeight="1" thickBot="1">
      <c r="B22" s="375" t="s">
        <v>0</v>
      </c>
      <c r="C22" s="376" t="s">
        <v>1520</v>
      </c>
      <c r="D22" s="375"/>
      <c r="E22" s="108" t="s">
        <v>1531</v>
      </c>
      <c r="F22" s="108" t="s">
        <v>12</v>
      </c>
      <c r="G22" s="108" t="s">
        <v>3190</v>
      </c>
      <c r="H22" s="108" t="s">
        <v>3191</v>
      </c>
      <c r="I22" s="377" t="s">
        <v>1491</v>
      </c>
      <c r="J22" s="377" t="s">
        <v>1490</v>
      </c>
      <c r="K22" s="209"/>
      <c r="L22"/>
      <c r="M22" s="761" t="s">
        <v>3471</v>
      </c>
      <c r="N22" s="762" t="s">
        <v>1400</v>
      </c>
      <c r="O22" s="762" t="s">
        <v>1546</v>
      </c>
      <c r="P22" s="762" t="s">
        <v>3472</v>
      </c>
    </row>
    <row r="23" spans="2:16" s="98" customFormat="1">
      <c r="B23" s="176" t="s">
        <v>1379</v>
      </c>
      <c r="C23" s="101" t="s">
        <v>1457</v>
      </c>
      <c r="D23" s="74"/>
      <c r="E23" s="75"/>
      <c r="F23" s="75"/>
      <c r="G23" s="75">
        <f>G24+G36</f>
        <v>2525879.5467982478</v>
      </c>
      <c r="H23" s="75">
        <f>H24+H36</f>
        <v>9156272.2280695681</v>
      </c>
      <c r="I23" s="110">
        <v>0</v>
      </c>
      <c r="J23" s="73"/>
      <c r="K23" s="191"/>
      <c r="L23" s="139"/>
      <c r="M23" s="763"/>
      <c r="N23" s="764">
        <v>0.4</v>
      </c>
      <c r="O23" s="764">
        <v>0.375</v>
      </c>
      <c r="P23" s="763"/>
    </row>
    <row r="24" spans="2:16" s="98" customFormat="1" outlineLevel="1">
      <c r="B24" s="178" t="s">
        <v>1380</v>
      </c>
      <c r="C24" s="102" t="s">
        <v>1458</v>
      </c>
      <c r="D24" s="85"/>
      <c r="E24" s="64"/>
      <c r="F24" s="64"/>
      <c r="G24" s="64">
        <f>SUM(G25:G35)</f>
        <v>946766.88059636368</v>
      </c>
      <c r="H24" s="64">
        <f>SUM(H25:H35)</f>
        <v>3299460.9828223852</v>
      </c>
      <c r="I24" s="111">
        <v>0</v>
      </c>
      <c r="J24" s="86"/>
      <c r="K24" s="190"/>
      <c r="L24" s="139"/>
      <c r="M24" s="763"/>
      <c r="N24" s="763"/>
      <c r="O24" s="763"/>
      <c r="P24" s="763"/>
    </row>
    <row r="25" spans="2:16" s="98" customFormat="1" outlineLevel="1">
      <c r="B25" s="175" t="s">
        <v>3661</v>
      </c>
      <c r="C25" s="100" t="s">
        <v>1576</v>
      </c>
      <c r="D25" s="99" t="s">
        <v>1469</v>
      </c>
      <c r="E25" s="20">
        <v>9.85</v>
      </c>
      <c r="F25" s="20">
        <f>P25</f>
        <v>1207.810909090909</v>
      </c>
      <c r="G25" s="19">
        <f t="shared" ref="G25:G35" si="0">E25*F25</f>
        <v>11896.937454545454</v>
      </c>
      <c r="H25" s="19">
        <f>G25*(1+J25)</f>
        <v>41097.970436727272</v>
      </c>
      <c r="I25" s="114" t="s">
        <v>1523</v>
      </c>
      <c r="J25" s="210">
        <f>VLOOKUP(I25,'Reajuste Atual'!$L$19:$M$25,2,FALSE)</f>
        <v>2.4544999999999999</v>
      </c>
      <c r="K25" s="190"/>
      <c r="L25" s="139"/>
      <c r="M25" s="765">
        <v>1660.74</v>
      </c>
      <c r="N25" s="765">
        <f>M25/($N$23+1)</f>
        <v>1186.2428571428572</v>
      </c>
      <c r="O25" s="765">
        <f>M25/($O$23+1)</f>
        <v>1207.810909090909</v>
      </c>
      <c r="P25" s="765">
        <f>IF(A25="S",N25,O25)</f>
        <v>1207.810909090909</v>
      </c>
    </row>
    <row r="26" spans="2:16" s="98" customFormat="1" outlineLevel="1">
      <c r="B26" s="175" t="s">
        <v>3662</v>
      </c>
      <c r="C26" s="100" t="s">
        <v>1568</v>
      </c>
      <c r="D26" s="99" t="s">
        <v>1467</v>
      </c>
      <c r="E26" s="20">
        <v>170094.95</v>
      </c>
      <c r="F26" s="20">
        <f t="shared" ref="F26:F35" si="1">P26</f>
        <v>4.0290909090909093</v>
      </c>
      <c r="G26" s="19">
        <f t="shared" si="0"/>
        <v>685328.01672727277</v>
      </c>
      <c r="H26" s="19">
        <f t="shared" ref="H26:H52" si="2">G26*(1+J26)</f>
        <v>2367465.6337843635</v>
      </c>
      <c r="I26" s="114" t="s">
        <v>1523</v>
      </c>
      <c r="J26" s="210">
        <f>VLOOKUP(I26,'Reajuste Atual'!$L$19:$M$25,2,FALSE)</f>
        <v>2.4544999999999999</v>
      </c>
      <c r="K26" s="190"/>
      <c r="L26" s="139"/>
      <c r="M26" s="805">
        <v>5.54</v>
      </c>
      <c r="N26" s="765">
        <f>M26/($N$23+1)</f>
        <v>3.9571428571428573</v>
      </c>
      <c r="O26" s="765">
        <f>M26/($O$23+1)</f>
        <v>4.0290909090909093</v>
      </c>
      <c r="P26" s="765">
        <f>IF(A26="S",N26,O26)</f>
        <v>4.0290909090909093</v>
      </c>
    </row>
    <row r="27" spans="2:16" s="98" customFormat="1" outlineLevel="1">
      <c r="B27" s="175" t="s">
        <v>3663</v>
      </c>
      <c r="C27" s="100" t="s">
        <v>1569</v>
      </c>
      <c r="D27" s="99" t="s">
        <v>1467</v>
      </c>
      <c r="E27" s="20">
        <v>14333.55</v>
      </c>
      <c r="F27" s="20">
        <f t="shared" si="1"/>
        <v>5.3890909090909096</v>
      </c>
      <c r="G27" s="19">
        <f t="shared" si="0"/>
        <v>77244.804000000004</v>
      </c>
      <c r="H27" s="19">
        <f t="shared" si="2"/>
        <v>266842.17541800003</v>
      </c>
      <c r="I27" s="114" t="s">
        <v>1523</v>
      </c>
      <c r="J27" s="210">
        <f>VLOOKUP(I27,'Reajuste Atual'!$L$19:$M$25,2,FALSE)</f>
        <v>2.4544999999999999</v>
      </c>
      <c r="K27" s="190"/>
      <c r="L27" s="177"/>
      <c r="M27" s="765">
        <v>7.41</v>
      </c>
      <c r="N27" s="765">
        <f t="shared" ref="N27:N52" si="3">M27/($N$23+1)</f>
        <v>5.2928571428571436</v>
      </c>
      <c r="O27" s="765">
        <f t="shared" ref="O27:O52" si="4">M27/($O$23+1)</f>
        <v>5.3890909090909096</v>
      </c>
      <c r="P27" s="765">
        <f t="shared" ref="P27:P52" si="5">IF(A27="S",N27,O27)</f>
        <v>5.3890909090909096</v>
      </c>
    </row>
    <row r="28" spans="2:16" s="98" customFormat="1" outlineLevel="1">
      <c r="B28" s="175" t="s">
        <v>3664</v>
      </c>
      <c r="C28" s="100" t="s">
        <v>1649</v>
      </c>
      <c r="D28" s="99" t="s">
        <v>1467</v>
      </c>
      <c r="E28" s="20">
        <v>500</v>
      </c>
      <c r="F28" s="20">
        <f t="shared" si="1"/>
        <v>30.429090909090913</v>
      </c>
      <c r="G28" s="19">
        <f t="shared" si="0"/>
        <v>15214.545454545456</v>
      </c>
      <c r="H28" s="19">
        <f>G28*(1+J28)</f>
        <v>52558.647272727278</v>
      </c>
      <c r="I28" s="114" t="s">
        <v>1523</v>
      </c>
      <c r="J28" s="210">
        <f>VLOOKUP(I28,'Reajuste Atual'!$L$19:$M$25,2,FALSE)</f>
        <v>2.4544999999999999</v>
      </c>
      <c r="K28" s="190"/>
      <c r="L28" s="139"/>
      <c r="M28" s="765">
        <v>41.84</v>
      </c>
      <c r="N28" s="765">
        <f t="shared" si="3"/>
        <v>29.88571428571429</v>
      </c>
      <c r="O28" s="765">
        <f t="shared" si="4"/>
        <v>30.429090909090913</v>
      </c>
      <c r="P28" s="765">
        <f t="shared" si="5"/>
        <v>30.429090909090913</v>
      </c>
    </row>
    <row r="29" spans="2:16" s="98" customFormat="1" outlineLevel="1">
      <c r="B29" s="175" t="s">
        <v>3665</v>
      </c>
      <c r="C29" s="100" t="s">
        <v>3666</v>
      </c>
      <c r="D29" s="99" t="s">
        <v>1467</v>
      </c>
      <c r="E29" s="20">
        <v>925.44</v>
      </c>
      <c r="F29" s="20">
        <f t="shared" si="1"/>
        <v>128.46545454545455</v>
      </c>
      <c r="G29" s="19">
        <f t="shared" si="0"/>
        <v>118887.07025454547</v>
      </c>
      <c r="H29" s="19">
        <f t="shared" si="2"/>
        <v>433688.14358155639</v>
      </c>
      <c r="I29" s="114" t="s">
        <v>1526</v>
      </c>
      <c r="J29" s="210">
        <f>VLOOKUP(I29,'Reajuste Atual'!$L$19:$M$25,2,FALSE)</f>
        <v>2.6478999999999999</v>
      </c>
      <c r="K29" s="190"/>
      <c r="L29" s="139"/>
      <c r="M29" s="765">
        <v>176.64</v>
      </c>
      <c r="N29" s="765">
        <f t="shared" si="3"/>
        <v>126.17142857142856</v>
      </c>
      <c r="O29" s="765">
        <f t="shared" si="4"/>
        <v>128.46545454545455</v>
      </c>
      <c r="P29" s="765">
        <f t="shared" si="5"/>
        <v>128.46545454545455</v>
      </c>
    </row>
    <row r="30" spans="2:16" s="98" customFormat="1" outlineLevel="1">
      <c r="B30" s="175" t="s">
        <v>3667</v>
      </c>
      <c r="C30" s="100" t="s">
        <v>1574</v>
      </c>
      <c r="D30" s="99" t="s">
        <v>1467</v>
      </c>
      <c r="E30" s="20">
        <v>42.284499999999994</v>
      </c>
      <c r="F30" s="20">
        <f t="shared" si="1"/>
        <v>171.89818181818183</v>
      </c>
      <c r="G30" s="19">
        <f t="shared" si="0"/>
        <v>7268.6286690909083</v>
      </c>
      <c r="H30" s="19">
        <f t="shared" si="2"/>
        <v>26515.230521976722</v>
      </c>
      <c r="I30" s="114" t="s">
        <v>1526</v>
      </c>
      <c r="J30" s="210">
        <f>VLOOKUP(I30,'Reajuste Atual'!$L$19:$M$25,2,FALSE)</f>
        <v>2.6478999999999999</v>
      </c>
      <c r="K30" s="190"/>
      <c r="L30" s="139"/>
      <c r="M30" s="765">
        <v>236.36</v>
      </c>
      <c r="N30" s="765">
        <f t="shared" si="3"/>
        <v>168.82857142857145</v>
      </c>
      <c r="O30" s="765">
        <f t="shared" si="4"/>
        <v>171.89818181818183</v>
      </c>
      <c r="P30" s="765">
        <f t="shared" si="5"/>
        <v>171.89818181818183</v>
      </c>
    </row>
    <row r="31" spans="2:16" s="98" customFormat="1" outlineLevel="1">
      <c r="B31" s="175" t="s">
        <v>3668</v>
      </c>
      <c r="C31" s="100" t="s">
        <v>1586</v>
      </c>
      <c r="D31" s="99" t="s">
        <v>1467</v>
      </c>
      <c r="E31" s="850">
        <v>0</v>
      </c>
      <c r="F31" s="20">
        <f t="shared" si="1"/>
        <v>120.31272727272727</v>
      </c>
      <c r="G31" s="19">
        <f t="shared" si="0"/>
        <v>0</v>
      </c>
      <c r="H31" s="19">
        <f t="shared" si="2"/>
        <v>0</v>
      </c>
      <c r="I31" s="114" t="s">
        <v>1522</v>
      </c>
      <c r="J31" s="210">
        <f>VLOOKUP(I31,'Reajuste Atual'!$L$19:$M$25,2,FALSE)</f>
        <v>3.5459999999999998</v>
      </c>
      <c r="K31" s="190"/>
      <c r="L31" s="139"/>
      <c r="M31" s="765">
        <v>165.43</v>
      </c>
      <c r="N31" s="765">
        <f t="shared" si="3"/>
        <v>118.16428571428573</v>
      </c>
      <c r="O31" s="765">
        <f t="shared" si="4"/>
        <v>120.31272727272727</v>
      </c>
      <c r="P31" s="765">
        <f t="shared" si="5"/>
        <v>120.31272727272727</v>
      </c>
    </row>
    <row r="32" spans="2:16" s="98" customFormat="1" outlineLevel="1">
      <c r="B32" s="175" t="s">
        <v>3669</v>
      </c>
      <c r="C32" s="100" t="s">
        <v>1574</v>
      </c>
      <c r="D32" s="99" t="s">
        <v>1467</v>
      </c>
      <c r="E32" s="20">
        <v>113.47</v>
      </c>
      <c r="F32" s="20">
        <f t="shared" si="1"/>
        <v>197.49818181818182</v>
      </c>
      <c r="G32" s="19">
        <f t="shared" si="0"/>
        <v>22410.11869090909</v>
      </c>
      <c r="H32" s="19">
        <f t="shared" si="2"/>
        <v>81749.871972567271</v>
      </c>
      <c r="I32" s="114" t="s">
        <v>1526</v>
      </c>
      <c r="J32" s="210">
        <f>VLOOKUP(I32,'Reajuste Atual'!$L$19:$M$25,2,FALSE)</f>
        <v>2.6478999999999999</v>
      </c>
      <c r="K32" s="190"/>
      <c r="L32" s="177"/>
      <c r="M32" s="765">
        <v>271.56</v>
      </c>
      <c r="N32" s="765">
        <f t="shared" si="3"/>
        <v>193.97142857142859</v>
      </c>
      <c r="O32" s="765">
        <f t="shared" si="4"/>
        <v>197.49818181818182</v>
      </c>
      <c r="P32" s="765">
        <f t="shared" si="5"/>
        <v>197.49818181818182</v>
      </c>
    </row>
    <row r="33" spans="2:16" s="98" customFormat="1" outlineLevel="1">
      <c r="B33" s="175" t="s">
        <v>3670</v>
      </c>
      <c r="C33" s="100" t="s">
        <v>1749</v>
      </c>
      <c r="D33" s="99" t="s">
        <v>1471</v>
      </c>
      <c r="E33" s="20">
        <v>224.43</v>
      </c>
      <c r="F33" s="20">
        <f t="shared" si="1"/>
        <v>2.8145454545454545</v>
      </c>
      <c r="G33" s="19">
        <f t="shared" si="0"/>
        <v>631.66843636363637</v>
      </c>
      <c r="H33" s="19">
        <f t="shared" si="2"/>
        <v>2304.2632890109089</v>
      </c>
      <c r="I33" s="114" t="s">
        <v>1526</v>
      </c>
      <c r="J33" s="210">
        <f>VLOOKUP(I33,'Reajuste Atual'!$L$19:$M$25,2,FALSE)</f>
        <v>2.6478999999999999</v>
      </c>
      <c r="K33" s="190"/>
      <c r="L33" s="139"/>
      <c r="M33" s="765">
        <v>3.87</v>
      </c>
      <c r="N33" s="765">
        <f t="shared" si="3"/>
        <v>2.7642857142857147</v>
      </c>
      <c r="O33" s="765">
        <f t="shared" si="4"/>
        <v>2.8145454545454545</v>
      </c>
      <c r="P33" s="765">
        <f t="shared" si="5"/>
        <v>2.8145454545454545</v>
      </c>
    </row>
    <row r="34" spans="2:16" s="98" customFormat="1" outlineLevel="1">
      <c r="B34" s="175" t="s">
        <v>3671</v>
      </c>
      <c r="C34" s="100" t="s">
        <v>3672</v>
      </c>
      <c r="D34" s="99" t="s">
        <v>1472</v>
      </c>
      <c r="E34" s="246">
        <v>0</v>
      </c>
      <c r="F34" s="20">
        <f t="shared" si="1"/>
        <v>12.632727272727273</v>
      </c>
      <c r="G34" s="19">
        <f t="shared" si="0"/>
        <v>0</v>
      </c>
      <c r="H34" s="19">
        <f t="shared" si="2"/>
        <v>0</v>
      </c>
      <c r="I34" s="114" t="s">
        <v>1522</v>
      </c>
      <c r="J34" s="210">
        <f>VLOOKUP(I34,'Reajuste Atual'!$L$19:$M$25,2,FALSE)</f>
        <v>3.5459999999999998</v>
      </c>
      <c r="K34" s="190"/>
      <c r="L34" s="139"/>
      <c r="M34" s="765">
        <v>17.37</v>
      </c>
      <c r="N34" s="765">
        <f t="shared" si="3"/>
        <v>12.407142857142858</v>
      </c>
      <c r="O34" s="765">
        <f t="shared" si="4"/>
        <v>12.632727272727273</v>
      </c>
      <c r="P34" s="765">
        <f t="shared" si="5"/>
        <v>12.632727272727273</v>
      </c>
    </row>
    <row r="35" spans="2:16" s="98" customFormat="1" outlineLevel="1">
      <c r="B35" s="175" t="s">
        <v>3673</v>
      </c>
      <c r="C35" s="100" t="s">
        <v>1621</v>
      </c>
      <c r="D35" s="99" t="s">
        <v>1467</v>
      </c>
      <c r="E35" s="20">
        <v>600</v>
      </c>
      <c r="F35" s="20">
        <f t="shared" si="1"/>
        <v>13.141818181818183</v>
      </c>
      <c r="G35" s="19">
        <f t="shared" si="0"/>
        <v>7885.0909090909099</v>
      </c>
      <c r="H35" s="19">
        <f t="shared" si="2"/>
        <v>27239.046545454548</v>
      </c>
      <c r="I35" s="114" t="s">
        <v>1523</v>
      </c>
      <c r="J35" s="210">
        <f>VLOOKUP(I35,'Reajuste Atual'!$L$19:$M$25,2,FALSE)</f>
        <v>2.4544999999999999</v>
      </c>
      <c r="K35" s="191"/>
      <c r="L35" s="139"/>
      <c r="M35" s="765">
        <v>18.07</v>
      </c>
      <c r="N35" s="765">
        <f t="shared" si="3"/>
        <v>12.907142857142858</v>
      </c>
      <c r="O35" s="765">
        <f t="shared" si="4"/>
        <v>13.141818181818183</v>
      </c>
      <c r="P35" s="765">
        <f t="shared" si="5"/>
        <v>13.141818181818183</v>
      </c>
    </row>
    <row r="36" spans="2:16" s="98" customFormat="1" outlineLevel="1">
      <c r="B36" s="178" t="s">
        <v>1381</v>
      </c>
      <c r="C36" s="102" t="s">
        <v>1459</v>
      </c>
      <c r="D36" s="85"/>
      <c r="E36" s="64"/>
      <c r="F36" s="64">
        <v>0</v>
      </c>
      <c r="G36" s="64">
        <f>SUM(G37:G52)</f>
        <v>1579112.6662018844</v>
      </c>
      <c r="H36" s="64">
        <f>SUM(H37:H52)</f>
        <v>5856811.2452471824</v>
      </c>
      <c r="I36" s="111">
        <v>0</v>
      </c>
      <c r="J36" s="86"/>
      <c r="K36" s="190"/>
      <c r="L36" s="139"/>
      <c r="M36" s="765">
        <v>0</v>
      </c>
      <c r="N36" s="765">
        <f t="shared" si="3"/>
        <v>0</v>
      </c>
      <c r="O36" s="765">
        <f t="shared" si="4"/>
        <v>0</v>
      </c>
      <c r="P36" s="765">
        <f t="shared" si="5"/>
        <v>0</v>
      </c>
    </row>
    <row r="37" spans="2:16" s="98" customFormat="1" outlineLevel="1">
      <c r="B37" s="175" t="s">
        <v>3674</v>
      </c>
      <c r="C37" s="100" t="s">
        <v>1568</v>
      </c>
      <c r="D37" s="99" t="s">
        <v>1467</v>
      </c>
      <c r="E37" s="20">
        <v>17793.730000000003</v>
      </c>
      <c r="F37" s="20">
        <f t="shared" ref="F37:F52" si="6">P37</f>
        <v>4.0290909090909093</v>
      </c>
      <c r="G37" s="19">
        <f t="shared" ref="G37:G52" si="7">E37*F37</f>
        <v>71692.555781818199</v>
      </c>
      <c r="H37" s="19">
        <f t="shared" si="2"/>
        <v>247661.93394829097</v>
      </c>
      <c r="I37" s="114" t="s">
        <v>1523</v>
      </c>
      <c r="J37" s="210">
        <f>VLOOKUP(I37,'Reajuste Atual'!$L$19:$M$25,2,FALSE)</f>
        <v>2.4544999999999999</v>
      </c>
      <c r="K37" s="190"/>
      <c r="L37" s="139"/>
      <c r="M37" s="765">
        <v>5.54</v>
      </c>
      <c r="N37" s="765">
        <f t="shared" si="3"/>
        <v>3.9571428571428573</v>
      </c>
      <c r="O37" s="765">
        <f t="shared" si="4"/>
        <v>4.0290909090909093</v>
      </c>
      <c r="P37" s="765">
        <f t="shared" si="5"/>
        <v>4.0290909090909093</v>
      </c>
    </row>
    <row r="38" spans="2:16" s="98" customFormat="1" outlineLevel="1">
      <c r="B38" s="175" t="s">
        <v>3675</v>
      </c>
      <c r="C38" s="100" t="s">
        <v>1569</v>
      </c>
      <c r="D38" s="99" t="s">
        <v>1467</v>
      </c>
      <c r="E38" s="20">
        <v>15286.869999999999</v>
      </c>
      <c r="F38" s="20">
        <f t="shared" si="6"/>
        <v>5.3890909090909096</v>
      </c>
      <c r="G38" s="19">
        <f t="shared" si="7"/>
        <v>82382.332145454551</v>
      </c>
      <c r="H38" s="19">
        <f t="shared" si="2"/>
        <v>284589.76639647275</v>
      </c>
      <c r="I38" s="114" t="s">
        <v>1523</v>
      </c>
      <c r="J38" s="210">
        <f>VLOOKUP(I38,'Reajuste Atual'!$L$19:$M$25,2,FALSE)</f>
        <v>2.4544999999999999</v>
      </c>
      <c r="K38" s="190"/>
      <c r="L38" s="139"/>
      <c r="M38" s="765">
        <v>7.41</v>
      </c>
      <c r="N38" s="765">
        <f t="shared" si="3"/>
        <v>5.2928571428571436</v>
      </c>
      <c r="O38" s="765">
        <f t="shared" si="4"/>
        <v>5.3890909090909096</v>
      </c>
      <c r="P38" s="765">
        <f t="shared" si="5"/>
        <v>5.3890909090909096</v>
      </c>
    </row>
    <row r="39" spans="2:16" s="98" customFormat="1" outlineLevel="1">
      <c r="B39" s="175" t="s">
        <v>3676</v>
      </c>
      <c r="C39" s="100" t="s">
        <v>1706</v>
      </c>
      <c r="D39" s="99" t="s">
        <v>1467</v>
      </c>
      <c r="E39" s="20">
        <v>2068.5915693104698</v>
      </c>
      <c r="F39" s="20">
        <f t="shared" si="6"/>
        <v>206.84363636363639</v>
      </c>
      <c r="G39" s="19">
        <f t="shared" si="7"/>
        <v>427875.00234733877</v>
      </c>
      <c r="H39" s="19">
        <f t="shared" si="2"/>
        <v>1560845.221062857</v>
      </c>
      <c r="I39" s="114" t="s">
        <v>1526</v>
      </c>
      <c r="J39" s="210">
        <f>VLOOKUP(I39,'Reajuste Atual'!$L$19:$M$25,2,FALSE)</f>
        <v>2.6478999999999999</v>
      </c>
      <c r="K39" s="190"/>
      <c r="L39" s="139"/>
      <c r="M39" s="765">
        <v>284.41000000000003</v>
      </c>
      <c r="N39" s="765">
        <f t="shared" si="3"/>
        <v>203.15000000000003</v>
      </c>
      <c r="O39" s="765">
        <f t="shared" si="4"/>
        <v>206.84363636363639</v>
      </c>
      <c r="P39" s="765">
        <f t="shared" si="5"/>
        <v>206.84363636363639</v>
      </c>
    </row>
    <row r="40" spans="2:16" s="98" customFormat="1" outlineLevel="1">
      <c r="B40" s="175" t="s">
        <v>3677</v>
      </c>
      <c r="C40" s="100" t="s">
        <v>1574</v>
      </c>
      <c r="D40" s="99" t="s">
        <v>1467</v>
      </c>
      <c r="E40" s="20">
        <v>563.42999999999995</v>
      </c>
      <c r="F40" s="20">
        <f t="shared" si="6"/>
        <v>171.89818181818183</v>
      </c>
      <c r="G40" s="19">
        <f t="shared" si="7"/>
        <v>96852.592581818171</v>
      </c>
      <c r="H40" s="19">
        <f t="shared" si="2"/>
        <v>353308.57247921452</v>
      </c>
      <c r="I40" s="114" t="s">
        <v>1526</v>
      </c>
      <c r="J40" s="210">
        <f>VLOOKUP(I40,'Reajuste Atual'!$L$19:$M$25,2,FALSE)</f>
        <v>2.6478999999999999</v>
      </c>
      <c r="K40" s="190"/>
      <c r="L40" s="139"/>
      <c r="M40" s="765">
        <v>236.36</v>
      </c>
      <c r="N40" s="765">
        <f t="shared" si="3"/>
        <v>168.82857142857145</v>
      </c>
      <c r="O40" s="765">
        <f t="shared" si="4"/>
        <v>171.89818181818183</v>
      </c>
      <c r="P40" s="765">
        <f t="shared" si="5"/>
        <v>171.89818181818183</v>
      </c>
    </row>
    <row r="41" spans="2:16" s="98" customFormat="1" outlineLevel="1">
      <c r="B41" s="175" t="s">
        <v>3678</v>
      </c>
      <c r="C41" s="100" t="s">
        <v>1570</v>
      </c>
      <c r="D41" s="99" t="s">
        <v>1470</v>
      </c>
      <c r="E41" s="20">
        <v>8843.2199999999993</v>
      </c>
      <c r="F41" s="20">
        <f t="shared" si="6"/>
        <v>38.923636363636369</v>
      </c>
      <c r="G41" s="19">
        <f t="shared" si="7"/>
        <v>344210.2795636364</v>
      </c>
      <c r="H41" s="19">
        <f t="shared" si="2"/>
        <v>1255644.6788201893</v>
      </c>
      <c r="I41" s="114" t="s">
        <v>1526</v>
      </c>
      <c r="J41" s="210">
        <f>VLOOKUP(I41,'Reajuste Atual'!$L$19:$M$25,2,FALSE)</f>
        <v>2.6478999999999999</v>
      </c>
      <c r="K41" s="190"/>
      <c r="L41" s="139"/>
      <c r="M41" s="765">
        <v>53.52</v>
      </c>
      <c r="N41" s="765">
        <f t="shared" si="3"/>
        <v>38.228571428571435</v>
      </c>
      <c r="O41" s="765">
        <f t="shared" si="4"/>
        <v>38.923636363636369</v>
      </c>
      <c r="P41" s="765">
        <f t="shared" si="5"/>
        <v>38.923636363636369</v>
      </c>
    </row>
    <row r="42" spans="2:16" s="98" customFormat="1" outlineLevel="1">
      <c r="B42" s="175" t="s">
        <v>3679</v>
      </c>
      <c r="C42" s="100" t="s">
        <v>3680</v>
      </c>
      <c r="D42" s="99" t="s">
        <v>1478</v>
      </c>
      <c r="E42" s="20">
        <v>122741.6</v>
      </c>
      <c r="F42" s="20">
        <f t="shared" si="6"/>
        <v>2.8145454545454545</v>
      </c>
      <c r="G42" s="19">
        <f t="shared" si="7"/>
        <v>345461.81236363639</v>
      </c>
      <c r="H42" s="19">
        <f t="shared" si="2"/>
        <v>1260210.1453213091</v>
      </c>
      <c r="I42" s="114" t="s">
        <v>1526</v>
      </c>
      <c r="J42" s="210">
        <f>VLOOKUP(I42,'Reajuste Atual'!$L$19:$M$25,2,FALSE)</f>
        <v>2.6478999999999999</v>
      </c>
      <c r="K42" s="190"/>
      <c r="L42" s="139"/>
      <c r="M42" s="765">
        <v>3.87</v>
      </c>
      <c r="N42" s="765">
        <f t="shared" si="3"/>
        <v>2.7642857142857147</v>
      </c>
      <c r="O42" s="765">
        <f t="shared" si="4"/>
        <v>2.8145454545454545</v>
      </c>
      <c r="P42" s="765">
        <f t="shared" si="5"/>
        <v>2.8145454545454545</v>
      </c>
    </row>
    <row r="43" spans="2:16" s="98" customFormat="1" outlineLevel="1">
      <c r="B43" s="175" t="s">
        <v>3681</v>
      </c>
      <c r="C43" s="100" t="s">
        <v>1629</v>
      </c>
      <c r="D43" s="99" t="s">
        <v>1472</v>
      </c>
      <c r="E43" s="20">
        <v>97.9</v>
      </c>
      <c r="F43" s="20">
        <f t="shared" si="6"/>
        <v>7.7018181818181821</v>
      </c>
      <c r="G43" s="19">
        <f t="shared" si="7"/>
        <v>754.00800000000004</v>
      </c>
      <c r="H43" s="19">
        <f t="shared" si="2"/>
        <v>3427.7203679999998</v>
      </c>
      <c r="I43" s="114" t="s">
        <v>1522</v>
      </c>
      <c r="J43" s="210">
        <f>VLOOKUP(I43,'Reajuste Atual'!$L$19:$M$25,2,FALSE)</f>
        <v>3.5459999999999998</v>
      </c>
      <c r="K43" s="190"/>
      <c r="L43" s="139"/>
      <c r="M43" s="765">
        <v>10.59</v>
      </c>
      <c r="N43" s="765">
        <f t="shared" si="3"/>
        <v>7.5642857142857149</v>
      </c>
      <c r="O43" s="765">
        <f t="shared" si="4"/>
        <v>7.7018181818181821</v>
      </c>
      <c r="P43" s="765">
        <f t="shared" si="5"/>
        <v>7.7018181818181821</v>
      </c>
    </row>
    <row r="44" spans="2:16" s="98" customFormat="1" outlineLevel="1">
      <c r="B44" s="175" t="s">
        <v>3682</v>
      </c>
      <c r="C44" s="100" t="s">
        <v>2004</v>
      </c>
      <c r="D44" s="99" t="s">
        <v>1467</v>
      </c>
      <c r="E44" s="491">
        <v>50</v>
      </c>
      <c r="F44" s="20">
        <f t="shared" si="6"/>
        <v>120.32</v>
      </c>
      <c r="G44" s="19">
        <f t="shared" si="7"/>
        <v>6016</v>
      </c>
      <c r="H44" s="19">
        <f t="shared" si="2"/>
        <v>27348.735999999997</v>
      </c>
      <c r="I44" s="114" t="s">
        <v>1522</v>
      </c>
      <c r="J44" s="210">
        <f>VLOOKUP(I44,'Reajuste Atual'!$L$19:$M$25,2,FALSE)</f>
        <v>3.5459999999999998</v>
      </c>
      <c r="K44" s="190"/>
      <c r="L44" s="139"/>
      <c r="M44" s="765">
        <v>165.44</v>
      </c>
      <c r="N44" s="765">
        <f t="shared" si="3"/>
        <v>118.17142857142858</v>
      </c>
      <c r="O44" s="765">
        <f t="shared" si="4"/>
        <v>120.32</v>
      </c>
      <c r="P44" s="765">
        <f t="shared" si="5"/>
        <v>120.32</v>
      </c>
    </row>
    <row r="45" spans="2:16" s="98" customFormat="1" outlineLevel="1">
      <c r="B45" s="175" t="s">
        <v>3683</v>
      </c>
      <c r="C45" s="100" t="s">
        <v>3684</v>
      </c>
      <c r="D45" s="99" t="s">
        <v>1472</v>
      </c>
      <c r="E45" s="491">
        <v>0</v>
      </c>
      <c r="F45" s="20">
        <f t="shared" si="6"/>
        <v>315.93454545454546</v>
      </c>
      <c r="G45" s="19">
        <f t="shared" si="7"/>
        <v>0</v>
      </c>
      <c r="H45" s="19">
        <f t="shared" si="2"/>
        <v>0</v>
      </c>
      <c r="I45" s="114" t="s">
        <v>1522</v>
      </c>
      <c r="J45" s="210">
        <f>VLOOKUP(I45,'Reajuste Atual'!$L$19:$M$25,2,FALSE)</f>
        <v>3.5459999999999998</v>
      </c>
      <c r="K45" s="190"/>
      <c r="L45" s="177"/>
      <c r="M45" s="765">
        <v>434.41</v>
      </c>
      <c r="N45" s="765">
        <f t="shared" si="3"/>
        <v>310.2928571428572</v>
      </c>
      <c r="O45" s="765">
        <f t="shared" si="4"/>
        <v>315.93454545454546</v>
      </c>
      <c r="P45" s="765">
        <f t="shared" si="5"/>
        <v>315.93454545454546</v>
      </c>
    </row>
    <row r="46" spans="2:16" s="98" customFormat="1" outlineLevel="1">
      <c r="B46" s="175" t="s">
        <v>3685</v>
      </c>
      <c r="C46" s="100" t="s">
        <v>3686</v>
      </c>
      <c r="D46" s="99" t="s">
        <v>1472</v>
      </c>
      <c r="E46" s="491">
        <v>588</v>
      </c>
      <c r="F46" s="20">
        <f t="shared" si="6"/>
        <v>219.38909090909092</v>
      </c>
      <c r="G46" s="19">
        <f t="shared" si="7"/>
        <v>129000.78545454546</v>
      </c>
      <c r="H46" s="19">
        <f t="shared" si="2"/>
        <v>586437.57067636354</v>
      </c>
      <c r="I46" s="114" t="s">
        <v>1522</v>
      </c>
      <c r="J46" s="210">
        <f>VLOOKUP(I46,'Reajuste Atual'!$L$19:$M$25,2,FALSE)</f>
        <v>3.5459999999999998</v>
      </c>
      <c r="K46" s="190"/>
      <c r="L46" s="177"/>
      <c r="M46" s="765">
        <v>301.66000000000003</v>
      </c>
      <c r="N46" s="765">
        <f t="shared" si="3"/>
        <v>215.47142857142859</v>
      </c>
      <c r="O46" s="765">
        <f t="shared" si="4"/>
        <v>219.38909090909092</v>
      </c>
      <c r="P46" s="765">
        <f t="shared" si="5"/>
        <v>219.38909090909092</v>
      </c>
    </row>
    <row r="47" spans="2:16" s="98" customFormat="1" outlineLevel="1">
      <c r="B47" s="175" t="s">
        <v>3687</v>
      </c>
      <c r="C47" s="100" t="s">
        <v>2007</v>
      </c>
      <c r="D47" s="99" t="s">
        <v>1472</v>
      </c>
      <c r="E47" s="491">
        <v>155.53</v>
      </c>
      <c r="F47" s="20">
        <f t="shared" si="6"/>
        <v>87.963636363636368</v>
      </c>
      <c r="G47" s="19">
        <f t="shared" si="7"/>
        <v>13680.984363636364</v>
      </c>
      <c r="H47" s="19">
        <f t="shared" si="2"/>
        <v>62193.754917090904</v>
      </c>
      <c r="I47" s="114" t="s">
        <v>1522</v>
      </c>
      <c r="J47" s="210">
        <f>VLOOKUP(I47,'Reajuste Atual'!$L$19:$M$25,2,FALSE)</f>
        <v>3.5459999999999998</v>
      </c>
      <c r="K47" s="190"/>
      <c r="L47" s="177"/>
      <c r="M47" s="765">
        <v>120.95</v>
      </c>
      <c r="N47" s="765">
        <f t="shared" si="3"/>
        <v>86.392857142857153</v>
      </c>
      <c r="O47" s="765">
        <f t="shared" si="4"/>
        <v>87.963636363636368</v>
      </c>
      <c r="P47" s="765">
        <f t="shared" si="5"/>
        <v>87.963636363636368</v>
      </c>
    </row>
    <row r="48" spans="2:16" s="98" customFormat="1" outlineLevel="1">
      <c r="B48" s="175" t="s">
        <v>3688</v>
      </c>
      <c r="C48" s="100" t="s">
        <v>3689</v>
      </c>
      <c r="D48" s="99" t="s">
        <v>1467</v>
      </c>
      <c r="E48" s="491">
        <v>107.72999999999999</v>
      </c>
      <c r="F48" s="20">
        <f t="shared" si="6"/>
        <v>128.46545454545455</v>
      </c>
      <c r="G48" s="19">
        <f t="shared" si="7"/>
        <v>13839.583418181817</v>
      </c>
      <c r="H48" s="19">
        <f t="shared" si="2"/>
        <v>50485.416351185449</v>
      </c>
      <c r="I48" s="114" t="s">
        <v>1526</v>
      </c>
      <c r="J48" s="210">
        <f>VLOOKUP(I48,'Reajuste Atual'!$L$19:$M$25,2,FALSE)</f>
        <v>2.6478999999999999</v>
      </c>
      <c r="K48" s="190"/>
      <c r="L48" s="139"/>
      <c r="M48" s="765">
        <v>176.64</v>
      </c>
      <c r="N48" s="765">
        <f t="shared" si="3"/>
        <v>126.17142857142856</v>
      </c>
      <c r="O48" s="765">
        <f t="shared" si="4"/>
        <v>128.46545454545455</v>
      </c>
      <c r="P48" s="765">
        <f t="shared" si="5"/>
        <v>128.46545454545455</v>
      </c>
    </row>
    <row r="49" spans="2:16" s="98" customFormat="1" outlineLevel="1">
      <c r="B49" s="175" t="s">
        <v>3690</v>
      </c>
      <c r="C49" s="100" t="s">
        <v>1649</v>
      </c>
      <c r="D49" s="99" t="s">
        <v>1467</v>
      </c>
      <c r="E49" s="491">
        <v>1301.45</v>
      </c>
      <c r="F49" s="20">
        <f t="shared" si="6"/>
        <v>30.429090909090913</v>
      </c>
      <c r="G49" s="19">
        <f t="shared" si="7"/>
        <v>39601.940363636371</v>
      </c>
      <c r="H49" s="19">
        <f t="shared" si="2"/>
        <v>136804.90298618184</v>
      </c>
      <c r="I49" s="114" t="s">
        <v>1523</v>
      </c>
      <c r="J49" s="210">
        <f>VLOOKUP(I49,'Reajuste Atual'!$L$19:$M$25,2,FALSE)</f>
        <v>2.4544999999999999</v>
      </c>
      <c r="K49" s="190"/>
      <c r="L49" s="139"/>
      <c r="M49" s="765">
        <v>41.84</v>
      </c>
      <c r="N49" s="765">
        <f t="shared" si="3"/>
        <v>29.88571428571429</v>
      </c>
      <c r="O49" s="765">
        <f t="shared" si="4"/>
        <v>30.429090909090913</v>
      </c>
      <c r="P49" s="765">
        <f t="shared" si="5"/>
        <v>30.429090909090913</v>
      </c>
    </row>
    <row r="50" spans="2:16" s="98" customFormat="1" outlineLevel="1">
      <c r="B50" s="175" t="s">
        <v>3691</v>
      </c>
      <c r="C50" s="100" t="s">
        <v>3692</v>
      </c>
      <c r="D50" s="99" t="s">
        <v>1475</v>
      </c>
      <c r="E50" s="20">
        <v>2386.1600000000003</v>
      </c>
      <c r="F50" s="20">
        <f t="shared" si="6"/>
        <v>0.86545454545454537</v>
      </c>
      <c r="G50" s="19">
        <f t="shared" si="7"/>
        <v>2065.1130181818185</v>
      </c>
      <c r="H50" s="19">
        <f t="shared" si="2"/>
        <v>7133.9329213090914</v>
      </c>
      <c r="I50" s="114" t="s">
        <v>1523</v>
      </c>
      <c r="J50" s="210">
        <f>VLOOKUP(I50,'Reajuste Atual'!$L$19:$M$25,2,FALSE)</f>
        <v>2.4544999999999999</v>
      </c>
      <c r="K50" s="190"/>
      <c r="L50" s="177"/>
      <c r="M50" s="765">
        <v>1.19</v>
      </c>
      <c r="N50" s="765">
        <f t="shared" si="3"/>
        <v>0.85</v>
      </c>
      <c r="O50" s="765">
        <f t="shared" si="4"/>
        <v>0.86545454545454537</v>
      </c>
      <c r="P50" s="765">
        <f t="shared" si="5"/>
        <v>0.86545454545454537</v>
      </c>
    </row>
    <row r="51" spans="2:16" s="98" customFormat="1" outlineLevel="1">
      <c r="B51" s="175" t="s">
        <v>3693</v>
      </c>
      <c r="C51" s="100" t="s">
        <v>1697</v>
      </c>
      <c r="D51" s="99" t="s">
        <v>1467</v>
      </c>
      <c r="E51" s="20">
        <v>3.1918911957973251E-16</v>
      </c>
      <c r="F51" s="20">
        <f t="shared" si="6"/>
        <v>197.49818181818182</v>
      </c>
      <c r="G51" s="19">
        <f t="shared" si="7"/>
        <v>6.3039270773143383E-14</v>
      </c>
      <c r="H51" s="19">
        <f t="shared" si="2"/>
        <v>2.2996095585334974E-13</v>
      </c>
      <c r="I51" s="114" t="s">
        <v>1526</v>
      </c>
      <c r="J51" s="210">
        <f>VLOOKUP(I51,'Reajuste Atual'!$L$19:$M$25,2,FALSE)</f>
        <v>2.6478999999999999</v>
      </c>
      <c r="K51" s="190"/>
      <c r="L51" s="139"/>
      <c r="M51" s="765">
        <v>271.56</v>
      </c>
      <c r="N51" s="765">
        <f t="shared" si="3"/>
        <v>193.97142857142859</v>
      </c>
      <c r="O51" s="765">
        <f t="shared" si="4"/>
        <v>197.49818181818182</v>
      </c>
      <c r="P51" s="765">
        <f t="shared" si="5"/>
        <v>197.49818181818182</v>
      </c>
    </row>
    <row r="52" spans="2:16" s="98" customFormat="1" outlineLevel="1" collapsed="1">
      <c r="B52" s="175" t="s">
        <v>3694</v>
      </c>
      <c r="C52" s="100" t="s">
        <v>1401</v>
      </c>
      <c r="D52" s="99" t="s">
        <v>1467</v>
      </c>
      <c r="E52" s="20">
        <v>281.73</v>
      </c>
      <c r="F52" s="20">
        <f t="shared" si="6"/>
        <v>20.16</v>
      </c>
      <c r="G52" s="19">
        <f t="shared" si="7"/>
        <v>5679.6768000000002</v>
      </c>
      <c r="H52" s="19">
        <f t="shared" si="2"/>
        <v>20718.892998719999</v>
      </c>
      <c r="I52" s="114" t="s">
        <v>1526</v>
      </c>
      <c r="J52" s="210">
        <f>VLOOKUP(I52,'Reajuste Atual'!$L$19:$M$25,2,FALSE)</f>
        <v>2.6478999999999999</v>
      </c>
      <c r="K52" s="195"/>
      <c r="L52" s="139"/>
      <c r="M52" s="823">
        <v>27.72</v>
      </c>
      <c r="N52" s="823">
        <f t="shared" si="3"/>
        <v>19.8</v>
      </c>
      <c r="O52" s="823">
        <f t="shared" si="4"/>
        <v>20.16</v>
      </c>
      <c r="P52" s="823">
        <f t="shared" si="5"/>
        <v>20.16</v>
      </c>
    </row>
    <row r="53" spans="2:16">
      <c r="C53" s="1"/>
      <c r="E53" s="1"/>
      <c r="F53" s="1"/>
      <c r="G53" s="1"/>
      <c r="H53" s="1"/>
      <c r="I53" s="1"/>
      <c r="J53" s="1"/>
      <c r="K53" s="1"/>
      <c r="L53"/>
    </row>
    <row r="54" spans="2:16" ht="15">
      <c r="B54" s="48" t="s">
        <v>3586</v>
      </c>
      <c r="C54" s="1"/>
      <c r="D54" s="1"/>
      <c r="E54" s="1"/>
      <c r="F54" s="1"/>
      <c r="G54" s="1"/>
      <c r="H54" s="1"/>
      <c r="I54" s="1"/>
      <c r="J54" s="1"/>
      <c r="K54" s="1"/>
      <c r="L54"/>
    </row>
    <row r="55" spans="2:16">
      <c r="B55" s="777" t="s">
        <v>3587</v>
      </c>
      <c r="L55"/>
    </row>
    <row r="56" spans="2:16">
      <c r="B56" s="777" t="s">
        <v>3588</v>
      </c>
      <c r="L56"/>
    </row>
    <row r="57" spans="2:16">
      <c r="B57" s="777" t="s">
        <v>3589</v>
      </c>
      <c r="L57"/>
    </row>
    <row r="58" spans="2:16">
      <c r="L58"/>
    </row>
    <row r="59" spans="2:16">
      <c r="B59" s="48" t="s">
        <v>3633</v>
      </c>
      <c r="L59"/>
    </row>
    <row r="60" spans="2:16">
      <c r="B60" s="777" t="s">
        <v>3634</v>
      </c>
      <c r="L60"/>
    </row>
    <row r="61" spans="2:16">
      <c r="L61"/>
    </row>
    <row r="62" spans="2:16">
      <c r="L62"/>
    </row>
    <row r="63" spans="2:16">
      <c r="L63"/>
    </row>
    <row r="64" spans="2:16">
      <c r="L64"/>
    </row>
    <row r="68" spans="2:70" s="166" customFormat="1">
      <c r="B68" s="48"/>
      <c r="C68" s="49"/>
      <c r="D68" s="141"/>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row>
    <row r="69" spans="2:70" s="166" customFormat="1">
      <c r="B69" s="48"/>
      <c r="C69" s="49"/>
      <c r="D69" s="141"/>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row>
    <row r="70" spans="2:70" s="166" customFormat="1">
      <c r="B70" s="48"/>
      <c r="C70" s="49"/>
      <c r="D70" s="141"/>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row>
    <row r="71" spans="2:70" s="166" customFormat="1">
      <c r="B71" s="48"/>
      <c r="C71" s="49"/>
      <c r="D71" s="141"/>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row>
    <row r="72" spans="2:70" s="166" customFormat="1">
      <c r="B72" s="48"/>
      <c r="C72" s="49"/>
      <c r="D72" s="141"/>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row>
    <row r="73" spans="2:70" s="166" customFormat="1">
      <c r="B73" s="48"/>
      <c r="C73" s="49"/>
      <c r="D73" s="141"/>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row>
    <row r="74" spans="2:70" s="166" customFormat="1">
      <c r="B74" s="48"/>
      <c r="C74" s="49"/>
      <c r="D74" s="141"/>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row>
    <row r="75" spans="2:70" s="166" customFormat="1">
      <c r="B75" s="48"/>
      <c r="C75" s="49"/>
      <c r="D75" s="141"/>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row>
    <row r="76" spans="2:70" s="166" customFormat="1">
      <c r="B76" s="48"/>
      <c r="C76" s="49"/>
      <c r="D76" s="141"/>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row>
    <row r="77" spans="2:70" s="166" customFormat="1">
      <c r="B77" s="48"/>
      <c r="C77" s="49"/>
      <c r="D77" s="141"/>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row>
    <row r="78" spans="2:70" s="166" customFormat="1">
      <c r="B78" s="48"/>
      <c r="C78" s="49"/>
      <c r="D78" s="141"/>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row>
    <row r="79" spans="2:70" s="166" customFormat="1">
      <c r="B79" s="48"/>
      <c r="C79" s="49"/>
      <c r="D79" s="141"/>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row>
    <row r="80" spans="2:70" s="166" customFormat="1">
      <c r="B80" s="48"/>
      <c r="C80" s="49"/>
      <c r="D80" s="141"/>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row>
    <row r="81" spans="2:70" s="166" customFormat="1">
      <c r="B81" s="48"/>
      <c r="C81" s="49"/>
      <c r="D81" s="141"/>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row>
    <row r="82" spans="2:70" s="166" customFormat="1">
      <c r="B82" s="48"/>
      <c r="C82" s="49"/>
      <c r="D82" s="141"/>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row>
    <row r="83" spans="2:70" s="166" customFormat="1">
      <c r="B83" s="48"/>
      <c r="C83" s="49"/>
      <c r="D83" s="141"/>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row>
    <row r="84" spans="2:70" s="166" customFormat="1">
      <c r="B84" s="48"/>
      <c r="C84" s="49"/>
      <c r="D84" s="141"/>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row>
    <row r="85" spans="2:70" s="166" customFormat="1">
      <c r="B85" s="48"/>
      <c r="C85" s="49"/>
      <c r="D85" s="141"/>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row>
    <row r="86" spans="2:70" s="166" customFormat="1">
      <c r="B86" s="48"/>
      <c r="C86" s="49"/>
      <c r="D86" s="141"/>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row>
    <row r="87" spans="2:70" s="166" customFormat="1">
      <c r="B87" s="48"/>
      <c r="C87" s="49"/>
      <c r="D87" s="141"/>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row>
    <row r="88" spans="2:70" s="166" customFormat="1">
      <c r="B88" s="48"/>
      <c r="C88" s="49"/>
      <c r="D88" s="141"/>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row>
    <row r="89" spans="2:70" s="166" customFormat="1">
      <c r="B89" s="48"/>
      <c r="C89" s="49"/>
      <c r="D89" s="141"/>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row>
    <row r="90" spans="2:70" s="166" customFormat="1">
      <c r="B90" s="48"/>
      <c r="C90" s="49"/>
      <c r="D90" s="141"/>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row>
    <row r="91" spans="2:70" s="166" customFormat="1">
      <c r="B91" s="48"/>
      <c r="C91" s="49"/>
      <c r="D91" s="141"/>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row>
    <row r="92" spans="2:70" s="166" customFormat="1">
      <c r="B92" s="48"/>
      <c r="C92" s="49"/>
      <c r="D92" s="141"/>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row>
    <row r="93" spans="2:70" s="166" customFormat="1">
      <c r="B93" s="48"/>
      <c r="C93" s="49"/>
      <c r="D93" s="141"/>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row>
    <row r="94" spans="2:70" s="166" customFormat="1">
      <c r="B94" s="48"/>
      <c r="C94" s="49"/>
      <c r="D94" s="141"/>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row>
    <row r="95" spans="2:70" s="166" customFormat="1">
      <c r="B95" s="48"/>
      <c r="C95" s="49"/>
      <c r="D95" s="141"/>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row>
    <row r="96" spans="2:70" s="166" customFormat="1">
      <c r="B96" s="48"/>
      <c r="C96" s="49"/>
      <c r="D96" s="141"/>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row>
    <row r="97" spans="2:70" s="166" customFormat="1">
      <c r="B97" s="48"/>
      <c r="C97" s="49"/>
      <c r="D97" s="141"/>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row>
    <row r="98" spans="2:70" s="166" customFormat="1">
      <c r="B98" s="48"/>
      <c r="C98" s="49"/>
      <c r="D98" s="141"/>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row>
    <row r="99" spans="2:70" s="166" customFormat="1">
      <c r="B99" s="48"/>
      <c r="C99" s="49"/>
      <c r="D99" s="141"/>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row>
    <row r="100" spans="2:70" s="166" customFormat="1">
      <c r="B100" s="48"/>
      <c r="C100" s="49"/>
      <c r="D100" s="141"/>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row>
    <row r="102" spans="2:70" s="166" customFormat="1">
      <c r="B102" s="48"/>
      <c r="C102" s="49"/>
      <c r="D102" s="141"/>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row>
    <row r="103" spans="2:70" s="166" customFormat="1">
      <c r="B103" s="48"/>
      <c r="C103" s="49"/>
      <c r="D103" s="141"/>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row>
    <row r="104" spans="2:70" s="166" customFormat="1">
      <c r="B104" s="48"/>
      <c r="C104" s="49"/>
      <c r="D104" s="141"/>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row>
    <row r="105" spans="2:70" s="166" customFormat="1">
      <c r="B105" s="48"/>
      <c r="C105" s="49"/>
      <c r="D105" s="141"/>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row>
    <row r="106" spans="2:70" s="166" customFormat="1">
      <c r="B106" s="48"/>
      <c r="C106" s="49"/>
      <c r="D106" s="141"/>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row>
    <row r="107" spans="2:70" s="166" customFormat="1">
      <c r="B107" s="48"/>
      <c r="C107" s="49"/>
      <c r="D107" s="141"/>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row>
    <row r="108" spans="2:70" s="166" customFormat="1">
      <c r="B108" s="48"/>
      <c r="C108" s="49"/>
      <c r="D108" s="141"/>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row>
    <row r="109" spans="2:70" s="166" customFormat="1">
      <c r="B109" s="48"/>
      <c r="C109" s="49"/>
      <c r="D109" s="141"/>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row>
    <row r="110" spans="2:70" s="166" customFormat="1">
      <c r="B110" s="48"/>
      <c r="C110" s="49"/>
      <c r="D110" s="141"/>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row>
    <row r="111" spans="2:70" s="166" customFormat="1">
      <c r="B111" s="48"/>
      <c r="C111" s="49"/>
      <c r="D111" s="141"/>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row>
    <row r="112" spans="2:70" s="166" customFormat="1">
      <c r="B112" s="48"/>
      <c r="C112" s="49"/>
      <c r="D112" s="141"/>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row>
    <row r="113" spans="2:70" s="166" customFormat="1">
      <c r="B113" s="48"/>
      <c r="C113" s="49"/>
      <c r="D113" s="141"/>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row>
    <row r="114" spans="2:70" s="166" customFormat="1">
      <c r="B114" s="48"/>
      <c r="C114" s="49"/>
      <c r="D114" s="141"/>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row>
    <row r="115" spans="2:70" s="166" customFormat="1">
      <c r="B115" s="48"/>
      <c r="C115" s="49"/>
      <c r="D115" s="141"/>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row>
    <row r="116" spans="2:70" s="166" customFormat="1">
      <c r="B116" s="48"/>
      <c r="C116" s="49"/>
      <c r="D116" s="141"/>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row>
    <row r="117" spans="2:70" s="166" customFormat="1">
      <c r="B117" s="48"/>
      <c r="C117" s="49"/>
      <c r="D117" s="141"/>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row>
    <row r="118" spans="2:70" s="166" customFormat="1">
      <c r="B118" s="48"/>
      <c r="C118" s="49"/>
      <c r="D118" s="141"/>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row>
  </sheetData>
  <autoFilter ref="B22:J52"/>
  <mergeCells count="9">
    <mergeCell ref="J15:J19"/>
    <mergeCell ref="E21:G21"/>
    <mergeCell ref="I21:J21"/>
    <mergeCell ref="B4:J4"/>
    <mergeCell ref="B5:J5"/>
    <mergeCell ref="B6:J6"/>
    <mergeCell ref="B8:J8"/>
    <mergeCell ref="J9:J11"/>
    <mergeCell ref="J12:J14"/>
  </mergeCells>
  <printOptions horizontalCentered="1"/>
  <pageMargins left="0.39370078740157483" right="0.39370078740157483" top="0.39370078740157483" bottom="0.39370078740157483" header="0" footer="0"/>
  <pageSetup paperSize="9" scale="56"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5"/>
  <sheetViews>
    <sheetView showGridLines="0" zoomScaleNormal="100" zoomScaleSheetLayoutView="100" workbookViewId="0">
      <selection activeCell="E6" sqref="E6:E7"/>
    </sheetView>
  </sheetViews>
  <sheetFormatPr defaultRowHeight="15"/>
  <cols>
    <col min="1" max="1" width="7.85546875" style="718" customWidth="1"/>
    <col min="2" max="2" width="49.140625" style="718" customWidth="1"/>
    <col min="3" max="3" width="10.7109375" style="718" customWidth="1"/>
    <col min="4" max="4" width="13.5703125" style="718" customWidth="1"/>
    <col min="5" max="5" width="13.42578125" style="718" customWidth="1"/>
    <col min="6" max="6" width="11.85546875" style="718" customWidth="1"/>
    <col min="7" max="7" width="14.28515625" style="718" customWidth="1"/>
    <col min="8" max="8" width="9.140625" style="439"/>
    <col min="9" max="9" width="20.42578125" style="439" customWidth="1"/>
    <col min="10" max="10" width="15.28515625" style="439" customWidth="1"/>
    <col min="11" max="11" width="6.7109375" style="439" customWidth="1"/>
    <col min="12" max="12" width="13.5703125" style="439" customWidth="1"/>
    <col min="13" max="256" width="9.140625" style="439"/>
    <col min="257" max="257" width="7.85546875" style="439" customWidth="1"/>
    <col min="258" max="258" width="56.7109375" style="439" customWidth="1"/>
    <col min="259" max="259" width="10.7109375" style="439" customWidth="1"/>
    <col min="260" max="260" width="13.5703125" style="439" customWidth="1"/>
    <col min="261" max="262" width="11.85546875" style="439" customWidth="1"/>
    <col min="263" max="263" width="13.140625" style="439" customWidth="1"/>
    <col min="264" max="264" width="9.140625" style="439"/>
    <col min="265" max="265" width="12.7109375" style="439" bestFit="1" customWidth="1"/>
    <col min="266" max="512" width="9.140625" style="439"/>
    <col min="513" max="513" width="7.85546875" style="439" customWidth="1"/>
    <col min="514" max="514" width="56.7109375" style="439" customWidth="1"/>
    <col min="515" max="515" width="10.7109375" style="439" customWidth="1"/>
    <col min="516" max="516" width="13.5703125" style="439" customWidth="1"/>
    <col min="517" max="518" width="11.85546875" style="439" customWidth="1"/>
    <col min="519" max="519" width="13.140625" style="439" customWidth="1"/>
    <col min="520" max="520" width="9.140625" style="439"/>
    <col min="521" max="521" width="12.7109375" style="439" bestFit="1" customWidth="1"/>
    <col min="522" max="768" width="9.140625" style="439"/>
    <col min="769" max="769" width="7.85546875" style="439" customWidth="1"/>
    <col min="770" max="770" width="56.7109375" style="439" customWidth="1"/>
    <col min="771" max="771" width="10.7109375" style="439" customWidth="1"/>
    <col min="772" max="772" width="13.5703125" style="439" customWidth="1"/>
    <col min="773" max="774" width="11.85546875" style="439" customWidth="1"/>
    <col min="775" max="775" width="13.140625" style="439" customWidth="1"/>
    <col min="776" max="776" width="9.140625" style="439"/>
    <col min="777" max="777" width="12.7109375" style="439" bestFit="1" customWidth="1"/>
    <col min="778" max="1024" width="9.140625" style="439"/>
    <col min="1025" max="1025" width="7.85546875" style="439" customWidth="1"/>
    <col min="1026" max="1026" width="56.7109375" style="439" customWidth="1"/>
    <col min="1027" max="1027" width="10.7109375" style="439" customWidth="1"/>
    <col min="1028" max="1028" width="13.5703125" style="439" customWidth="1"/>
    <col min="1029" max="1030" width="11.85546875" style="439" customWidth="1"/>
    <col min="1031" max="1031" width="13.140625" style="439" customWidth="1"/>
    <col min="1032" max="1032" width="9.140625" style="439"/>
    <col min="1033" max="1033" width="12.7109375" style="439" bestFit="1" customWidth="1"/>
    <col min="1034" max="1280" width="9.140625" style="439"/>
    <col min="1281" max="1281" width="7.85546875" style="439" customWidth="1"/>
    <col min="1282" max="1282" width="56.7109375" style="439" customWidth="1"/>
    <col min="1283" max="1283" width="10.7109375" style="439" customWidth="1"/>
    <col min="1284" max="1284" width="13.5703125" style="439" customWidth="1"/>
    <col min="1285" max="1286" width="11.85546875" style="439" customWidth="1"/>
    <col min="1287" max="1287" width="13.140625" style="439" customWidth="1"/>
    <col min="1288" max="1288" width="9.140625" style="439"/>
    <col min="1289" max="1289" width="12.7109375" style="439" bestFit="1" customWidth="1"/>
    <col min="1290" max="1536" width="9.140625" style="439"/>
    <col min="1537" max="1537" width="7.85546875" style="439" customWidth="1"/>
    <col min="1538" max="1538" width="56.7109375" style="439" customWidth="1"/>
    <col min="1539" max="1539" width="10.7109375" style="439" customWidth="1"/>
    <col min="1540" max="1540" width="13.5703125" style="439" customWidth="1"/>
    <col min="1541" max="1542" width="11.85546875" style="439" customWidth="1"/>
    <col min="1543" max="1543" width="13.140625" style="439" customWidth="1"/>
    <col min="1544" max="1544" width="9.140625" style="439"/>
    <col min="1545" max="1545" width="12.7109375" style="439" bestFit="1" customWidth="1"/>
    <col min="1546" max="1792" width="9.140625" style="439"/>
    <col min="1793" max="1793" width="7.85546875" style="439" customWidth="1"/>
    <col min="1794" max="1794" width="56.7109375" style="439" customWidth="1"/>
    <col min="1795" max="1795" width="10.7109375" style="439" customWidth="1"/>
    <col min="1796" max="1796" width="13.5703125" style="439" customWidth="1"/>
    <col min="1797" max="1798" width="11.85546875" style="439" customWidth="1"/>
    <col min="1799" max="1799" width="13.140625" style="439" customWidth="1"/>
    <col min="1800" max="1800" width="9.140625" style="439"/>
    <col min="1801" max="1801" width="12.7109375" style="439" bestFit="1" customWidth="1"/>
    <col min="1802" max="2048" width="9.140625" style="439"/>
    <col min="2049" max="2049" width="7.85546875" style="439" customWidth="1"/>
    <col min="2050" max="2050" width="56.7109375" style="439" customWidth="1"/>
    <col min="2051" max="2051" width="10.7109375" style="439" customWidth="1"/>
    <col min="2052" max="2052" width="13.5703125" style="439" customWidth="1"/>
    <col min="2053" max="2054" width="11.85546875" style="439" customWidth="1"/>
    <col min="2055" max="2055" width="13.140625" style="439" customWidth="1"/>
    <col min="2056" max="2056" width="9.140625" style="439"/>
    <col min="2057" max="2057" width="12.7109375" style="439" bestFit="1" customWidth="1"/>
    <col min="2058" max="2304" width="9.140625" style="439"/>
    <col min="2305" max="2305" width="7.85546875" style="439" customWidth="1"/>
    <col min="2306" max="2306" width="56.7109375" style="439" customWidth="1"/>
    <col min="2307" max="2307" width="10.7109375" style="439" customWidth="1"/>
    <col min="2308" max="2308" width="13.5703125" style="439" customWidth="1"/>
    <col min="2309" max="2310" width="11.85546875" style="439" customWidth="1"/>
    <col min="2311" max="2311" width="13.140625" style="439" customWidth="1"/>
    <col min="2312" max="2312" width="9.140625" style="439"/>
    <col min="2313" max="2313" width="12.7109375" style="439" bestFit="1" customWidth="1"/>
    <col min="2314" max="2560" width="9.140625" style="439"/>
    <col min="2561" max="2561" width="7.85546875" style="439" customWidth="1"/>
    <col min="2562" max="2562" width="56.7109375" style="439" customWidth="1"/>
    <col min="2563" max="2563" width="10.7109375" style="439" customWidth="1"/>
    <col min="2564" max="2564" width="13.5703125" style="439" customWidth="1"/>
    <col min="2565" max="2566" width="11.85546875" style="439" customWidth="1"/>
    <col min="2567" max="2567" width="13.140625" style="439" customWidth="1"/>
    <col min="2568" max="2568" width="9.140625" style="439"/>
    <col min="2569" max="2569" width="12.7109375" style="439" bestFit="1" customWidth="1"/>
    <col min="2570" max="2816" width="9.140625" style="439"/>
    <col min="2817" max="2817" width="7.85546875" style="439" customWidth="1"/>
    <col min="2818" max="2818" width="56.7109375" style="439" customWidth="1"/>
    <col min="2819" max="2819" width="10.7109375" style="439" customWidth="1"/>
    <col min="2820" max="2820" width="13.5703125" style="439" customWidth="1"/>
    <col min="2821" max="2822" width="11.85546875" style="439" customWidth="1"/>
    <col min="2823" max="2823" width="13.140625" style="439" customWidth="1"/>
    <col min="2824" max="2824" width="9.140625" style="439"/>
    <col min="2825" max="2825" width="12.7109375" style="439" bestFit="1" customWidth="1"/>
    <col min="2826" max="3072" width="9.140625" style="439"/>
    <col min="3073" max="3073" width="7.85546875" style="439" customWidth="1"/>
    <col min="3074" max="3074" width="56.7109375" style="439" customWidth="1"/>
    <col min="3075" max="3075" width="10.7109375" style="439" customWidth="1"/>
    <col min="3076" max="3076" width="13.5703125" style="439" customWidth="1"/>
    <col min="3077" max="3078" width="11.85546875" style="439" customWidth="1"/>
    <col min="3079" max="3079" width="13.140625" style="439" customWidth="1"/>
    <col min="3080" max="3080" width="9.140625" style="439"/>
    <col min="3081" max="3081" width="12.7109375" style="439" bestFit="1" customWidth="1"/>
    <col min="3082" max="3328" width="9.140625" style="439"/>
    <col min="3329" max="3329" width="7.85546875" style="439" customWidth="1"/>
    <col min="3330" max="3330" width="56.7109375" style="439" customWidth="1"/>
    <col min="3331" max="3331" width="10.7109375" style="439" customWidth="1"/>
    <col min="3332" max="3332" width="13.5703125" style="439" customWidth="1"/>
    <col min="3333" max="3334" width="11.85546875" style="439" customWidth="1"/>
    <col min="3335" max="3335" width="13.140625" style="439" customWidth="1"/>
    <col min="3336" max="3336" width="9.140625" style="439"/>
    <col min="3337" max="3337" width="12.7109375" style="439" bestFit="1" customWidth="1"/>
    <col min="3338" max="3584" width="9.140625" style="439"/>
    <col min="3585" max="3585" width="7.85546875" style="439" customWidth="1"/>
    <col min="3586" max="3586" width="56.7109375" style="439" customWidth="1"/>
    <col min="3587" max="3587" width="10.7109375" style="439" customWidth="1"/>
    <col min="3588" max="3588" width="13.5703125" style="439" customWidth="1"/>
    <col min="3589" max="3590" width="11.85546875" style="439" customWidth="1"/>
    <col min="3591" max="3591" width="13.140625" style="439" customWidth="1"/>
    <col min="3592" max="3592" width="9.140625" style="439"/>
    <col min="3593" max="3593" width="12.7109375" style="439" bestFit="1" customWidth="1"/>
    <col min="3594" max="3840" width="9.140625" style="439"/>
    <col min="3841" max="3841" width="7.85546875" style="439" customWidth="1"/>
    <col min="3842" max="3842" width="56.7109375" style="439" customWidth="1"/>
    <col min="3843" max="3843" width="10.7109375" style="439" customWidth="1"/>
    <col min="3844" max="3844" width="13.5703125" style="439" customWidth="1"/>
    <col min="3845" max="3846" width="11.85546875" style="439" customWidth="1"/>
    <col min="3847" max="3847" width="13.140625" style="439" customWidth="1"/>
    <col min="3848" max="3848" width="9.140625" style="439"/>
    <col min="3849" max="3849" width="12.7109375" style="439" bestFit="1" customWidth="1"/>
    <col min="3850" max="4096" width="9.140625" style="439"/>
    <col min="4097" max="4097" width="7.85546875" style="439" customWidth="1"/>
    <col min="4098" max="4098" width="56.7109375" style="439" customWidth="1"/>
    <col min="4099" max="4099" width="10.7109375" style="439" customWidth="1"/>
    <col min="4100" max="4100" width="13.5703125" style="439" customWidth="1"/>
    <col min="4101" max="4102" width="11.85546875" style="439" customWidth="1"/>
    <col min="4103" max="4103" width="13.140625" style="439" customWidth="1"/>
    <col min="4104" max="4104" width="9.140625" style="439"/>
    <col min="4105" max="4105" width="12.7109375" style="439" bestFit="1" customWidth="1"/>
    <col min="4106" max="4352" width="9.140625" style="439"/>
    <col min="4353" max="4353" width="7.85546875" style="439" customWidth="1"/>
    <col min="4354" max="4354" width="56.7109375" style="439" customWidth="1"/>
    <col min="4355" max="4355" width="10.7109375" style="439" customWidth="1"/>
    <col min="4356" max="4356" width="13.5703125" style="439" customWidth="1"/>
    <col min="4357" max="4358" width="11.85546875" style="439" customWidth="1"/>
    <col min="4359" max="4359" width="13.140625" style="439" customWidth="1"/>
    <col min="4360" max="4360" width="9.140625" style="439"/>
    <col min="4361" max="4361" width="12.7109375" style="439" bestFit="1" customWidth="1"/>
    <col min="4362" max="4608" width="9.140625" style="439"/>
    <col min="4609" max="4609" width="7.85546875" style="439" customWidth="1"/>
    <col min="4610" max="4610" width="56.7109375" style="439" customWidth="1"/>
    <col min="4611" max="4611" width="10.7109375" style="439" customWidth="1"/>
    <col min="4612" max="4612" width="13.5703125" style="439" customWidth="1"/>
    <col min="4613" max="4614" width="11.85546875" style="439" customWidth="1"/>
    <col min="4615" max="4615" width="13.140625" style="439" customWidth="1"/>
    <col min="4616" max="4616" width="9.140625" style="439"/>
    <col min="4617" max="4617" width="12.7109375" style="439" bestFit="1" customWidth="1"/>
    <col min="4618" max="4864" width="9.140625" style="439"/>
    <col min="4865" max="4865" width="7.85546875" style="439" customWidth="1"/>
    <col min="4866" max="4866" width="56.7109375" style="439" customWidth="1"/>
    <col min="4867" max="4867" width="10.7109375" style="439" customWidth="1"/>
    <col min="4868" max="4868" width="13.5703125" style="439" customWidth="1"/>
    <col min="4869" max="4870" width="11.85546875" style="439" customWidth="1"/>
    <col min="4871" max="4871" width="13.140625" style="439" customWidth="1"/>
    <col min="4872" max="4872" width="9.140625" style="439"/>
    <col min="4873" max="4873" width="12.7109375" style="439" bestFit="1" customWidth="1"/>
    <col min="4874" max="5120" width="9.140625" style="439"/>
    <col min="5121" max="5121" width="7.85546875" style="439" customWidth="1"/>
    <col min="5122" max="5122" width="56.7109375" style="439" customWidth="1"/>
    <col min="5123" max="5123" width="10.7109375" style="439" customWidth="1"/>
    <col min="5124" max="5124" width="13.5703125" style="439" customWidth="1"/>
    <col min="5125" max="5126" width="11.85546875" style="439" customWidth="1"/>
    <col min="5127" max="5127" width="13.140625" style="439" customWidth="1"/>
    <col min="5128" max="5128" width="9.140625" style="439"/>
    <col min="5129" max="5129" width="12.7109375" style="439" bestFit="1" customWidth="1"/>
    <col min="5130" max="5376" width="9.140625" style="439"/>
    <col min="5377" max="5377" width="7.85546875" style="439" customWidth="1"/>
    <col min="5378" max="5378" width="56.7109375" style="439" customWidth="1"/>
    <col min="5379" max="5379" width="10.7109375" style="439" customWidth="1"/>
    <col min="5380" max="5380" width="13.5703125" style="439" customWidth="1"/>
    <col min="5381" max="5382" width="11.85546875" style="439" customWidth="1"/>
    <col min="5383" max="5383" width="13.140625" style="439" customWidth="1"/>
    <col min="5384" max="5384" width="9.140625" style="439"/>
    <col min="5385" max="5385" width="12.7109375" style="439" bestFit="1" customWidth="1"/>
    <col min="5386" max="5632" width="9.140625" style="439"/>
    <col min="5633" max="5633" width="7.85546875" style="439" customWidth="1"/>
    <col min="5634" max="5634" width="56.7109375" style="439" customWidth="1"/>
    <col min="5635" max="5635" width="10.7109375" style="439" customWidth="1"/>
    <col min="5636" max="5636" width="13.5703125" style="439" customWidth="1"/>
    <col min="5637" max="5638" width="11.85546875" style="439" customWidth="1"/>
    <col min="5639" max="5639" width="13.140625" style="439" customWidth="1"/>
    <col min="5640" max="5640" width="9.140625" style="439"/>
    <col min="5641" max="5641" width="12.7109375" style="439" bestFit="1" customWidth="1"/>
    <col min="5642" max="5888" width="9.140625" style="439"/>
    <col min="5889" max="5889" width="7.85546875" style="439" customWidth="1"/>
    <col min="5890" max="5890" width="56.7109375" style="439" customWidth="1"/>
    <col min="5891" max="5891" width="10.7109375" style="439" customWidth="1"/>
    <col min="5892" max="5892" width="13.5703125" style="439" customWidth="1"/>
    <col min="5893" max="5894" width="11.85546875" style="439" customWidth="1"/>
    <col min="5895" max="5895" width="13.140625" style="439" customWidth="1"/>
    <col min="5896" max="5896" width="9.140625" style="439"/>
    <col min="5897" max="5897" width="12.7109375" style="439" bestFit="1" customWidth="1"/>
    <col min="5898" max="6144" width="9.140625" style="439"/>
    <col min="6145" max="6145" width="7.85546875" style="439" customWidth="1"/>
    <col min="6146" max="6146" width="56.7109375" style="439" customWidth="1"/>
    <col min="6147" max="6147" width="10.7109375" style="439" customWidth="1"/>
    <col min="6148" max="6148" width="13.5703125" style="439" customWidth="1"/>
    <col min="6149" max="6150" width="11.85546875" style="439" customWidth="1"/>
    <col min="6151" max="6151" width="13.140625" style="439" customWidth="1"/>
    <col min="6152" max="6152" width="9.140625" style="439"/>
    <col min="6153" max="6153" width="12.7109375" style="439" bestFit="1" customWidth="1"/>
    <col min="6154" max="6400" width="9.140625" style="439"/>
    <col min="6401" max="6401" width="7.85546875" style="439" customWidth="1"/>
    <col min="6402" max="6402" width="56.7109375" style="439" customWidth="1"/>
    <col min="6403" max="6403" width="10.7109375" style="439" customWidth="1"/>
    <col min="6404" max="6404" width="13.5703125" style="439" customWidth="1"/>
    <col min="6405" max="6406" width="11.85546875" style="439" customWidth="1"/>
    <col min="6407" max="6407" width="13.140625" style="439" customWidth="1"/>
    <col min="6408" max="6408" width="9.140625" style="439"/>
    <col min="6409" max="6409" width="12.7109375" style="439" bestFit="1" customWidth="1"/>
    <col min="6410" max="6656" width="9.140625" style="439"/>
    <col min="6657" max="6657" width="7.85546875" style="439" customWidth="1"/>
    <col min="6658" max="6658" width="56.7109375" style="439" customWidth="1"/>
    <col min="6659" max="6659" width="10.7109375" style="439" customWidth="1"/>
    <col min="6660" max="6660" width="13.5703125" style="439" customWidth="1"/>
    <col min="6661" max="6662" width="11.85546875" style="439" customWidth="1"/>
    <col min="6663" max="6663" width="13.140625" style="439" customWidth="1"/>
    <col min="6664" max="6664" width="9.140625" style="439"/>
    <col min="6665" max="6665" width="12.7109375" style="439" bestFit="1" customWidth="1"/>
    <col min="6666" max="6912" width="9.140625" style="439"/>
    <col min="6913" max="6913" width="7.85546875" style="439" customWidth="1"/>
    <col min="6914" max="6914" width="56.7109375" style="439" customWidth="1"/>
    <col min="6915" max="6915" width="10.7109375" style="439" customWidth="1"/>
    <col min="6916" max="6916" width="13.5703125" style="439" customWidth="1"/>
    <col min="6917" max="6918" width="11.85546875" style="439" customWidth="1"/>
    <col min="6919" max="6919" width="13.140625" style="439" customWidth="1"/>
    <col min="6920" max="6920" width="9.140625" style="439"/>
    <col min="6921" max="6921" width="12.7109375" style="439" bestFit="1" customWidth="1"/>
    <col min="6922" max="7168" width="9.140625" style="439"/>
    <col min="7169" max="7169" width="7.85546875" style="439" customWidth="1"/>
    <col min="7170" max="7170" width="56.7109375" style="439" customWidth="1"/>
    <col min="7171" max="7171" width="10.7109375" style="439" customWidth="1"/>
    <col min="7172" max="7172" width="13.5703125" style="439" customWidth="1"/>
    <col min="7173" max="7174" width="11.85546875" style="439" customWidth="1"/>
    <col min="7175" max="7175" width="13.140625" style="439" customWidth="1"/>
    <col min="7176" max="7176" width="9.140625" style="439"/>
    <col min="7177" max="7177" width="12.7109375" style="439" bestFit="1" customWidth="1"/>
    <col min="7178" max="7424" width="9.140625" style="439"/>
    <col min="7425" max="7425" width="7.85546875" style="439" customWidth="1"/>
    <col min="7426" max="7426" width="56.7109375" style="439" customWidth="1"/>
    <col min="7427" max="7427" width="10.7109375" style="439" customWidth="1"/>
    <col min="7428" max="7428" width="13.5703125" style="439" customWidth="1"/>
    <col min="7429" max="7430" width="11.85546875" style="439" customWidth="1"/>
    <col min="7431" max="7431" width="13.140625" style="439" customWidth="1"/>
    <col min="7432" max="7432" width="9.140625" style="439"/>
    <col min="7433" max="7433" width="12.7109375" style="439" bestFit="1" customWidth="1"/>
    <col min="7434" max="7680" width="9.140625" style="439"/>
    <col min="7681" max="7681" width="7.85546875" style="439" customWidth="1"/>
    <col min="7682" max="7682" width="56.7109375" style="439" customWidth="1"/>
    <col min="7683" max="7683" width="10.7109375" style="439" customWidth="1"/>
    <col min="7684" max="7684" width="13.5703125" style="439" customWidth="1"/>
    <col min="7685" max="7686" width="11.85546875" style="439" customWidth="1"/>
    <col min="7687" max="7687" width="13.140625" style="439" customWidth="1"/>
    <col min="7688" max="7688" width="9.140625" style="439"/>
    <col min="7689" max="7689" width="12.7109375" style="439" bestFit="1" customWidth="1"/>
    <col min="7690" max="7936" width="9.140625" style="439"/>
    <col min="7937" max="7937" width="7.85546875" style="439" customWidth="1"/>
    <col min="7938" max="7938" width="56.7109375" style="439" customWidth="1"/>
    <col min="7939" max="7939" width="10.7109375" style="439" customWidth="1"/>
    <col min="7940" max="7940" width="13.5703125" style="439" customWidth="1"/>
    <col min="7941" max="7942" width="11.85546875" style="439" customWidth="1"/>
    <col min="7943" max="7943" width="13.140625" style="439" customWidth="1"/>
    <col min="7944" max="7944" width="9.140625" style="439"/>
    <col min="7945" max="7945" width="12.7109375" style="439" bestFit="1" customWidth="1"/>
    <col min="7946" max="8192" width="9.140625" style="439"/>
    <col min="8193" max="8193" width="7.85546875" style="439" customWidth="1"/>
    <col min="8194" max="8194" width="56.7109375" style="439" customWidth="1"/>
    <col min="8195" max="8195" width="10.7109375" style="439" customWidth="1"/>
    <col min="8196" max="8196" width="13.5703125" style="439" customWidth="1"/>
    <col min="8197" max="8198" width="11.85546875" style="439" customWidth="1"/>
    <col min="8199" max="8199" width="13.140625" style="439" customWidth="1"/>
    <col min="8200" max="8200" width="9.140625" style="439"/>
    <col min="8201" max="8201" width="12.7109375" style="439" bestFit="1" customWidth="1"/>
    <col min="8202" max="8448" width="9.140625" style="439"/>
    <col min="8449" max="8449" width="7.85546875" style="439" customWidth="1"/>
    <col min="8450" max="8450" width="56.7109375" style="439" customWidth="1"/>
    <col min="8451" max="8451" width="10.7109375" style="439" customWidth="1"/>
    <col min="8452" max="8452" width="13.5703125" style="439" customWidth="1"/>
    <col min="8453" max="8454" width="11.85546875" style="439" customWidth="1"/>
    <col min="8455" max="8455" width="13.140625" style="439" customWidth="1"/>
    <col min="8456" max="8456" width="9.140625" style="439"/>
    <col min="8457" max="8457" width="12.7109375" style="439" bestFit="1" customWidth="1"/>
    <col min="8458" max="8704" width="9.140625" style="439"/>
    <col min="8705" max="8705" width="7.85546875" style="439" customWidth="1"/>
    <col min="8706" max="8706" width="56.7109375" style="439" customWidth="1"/>
    <col min="8707" max="8707" width="10.7109375" style="439" customWidth="1"/>
    <col min="8708" max="8708" width="13.5703125" style="439" customWidth="1"/>
    <col min="8709" max="8710" width="11.85546875" style="439" customWidth="1"/>
    <col min="8711" max="8711" width="13.140625" style="439" customWidth="1"/>
    <col min="8712" max="8712" width="9.140625" style="439"/>
    <col min="8713" max="8713" width="12.7109375" style="439" bestFit="1" customWidth="1"/>
    <col min="8714" max="8960" width="9.140625" style="439"/>
    <col min="8961" max="8961" width="7.85546875" style="439" customWidth="1"/>
    <col min="8962" max="8962" width="56.7109375" style="439" customWidth="1"/>
    <col min="8963" max="8963" width="10.7109375" style="439" customWidth="1"/>
    <col min="8964" max="8964" width="13.5703125" style="439" customWidth="1"/>
    <col min="8965" max="8966" width="11.85546875" style="439" customWidth="1"/>
    <col min="8967" max="8967" width="13.140625" style="439" customWidth="1"/>
    <col min="8968" max="8968" width="9.140625" style="439"/>
    <col min="8969" max="8969" width="12.7109375" style="439" bestFit="1" customWidth="1"/>
    <col min="8970" max="9216" width="9.140625" style="439"/>
    <col min="9217" max="9217" width="7.85546875" style="439" customWidth="1"/>
    <col min="9218" max="9218" width="56.7109375" style="439" customWidth="1"/>
    <col min="9219" max="9219" width="10.7109375" style="439" customWidth="1"/>
    <col min="9220" max="9220" width="13.5703125" style="439" customWidth="1"/>
    <col min="9221" max="9222" width="11.85546875" style="439" customWidth="1"/>
    <col min="9223" max="9223" width="13.140625" style="439" customWidth="1"/>
    <col min="9224" max="9224" width="9.140625" style="439"/>
    <col min="9225" max="9225" width="12.7109375" style="439" bestFit="1" customWidth="1"/>
    <col min="9226" max="9472" width="9.140625" style="439"/>
    <col min="9473" max="9473" width="7.85546875" style="439" customWidth="1"/>
    <col min="9474" max="9474" width="56.7109375" style="439" customWidth="1"/>
    <col min="9475" max="9475" width="10.7109375" style="439" customWidth="1"/>
    <col min="9476" max="9476" width="13.5703125" style="439" customWidth="1"/>
    <col min="9477" max="9478" width="11.85546875" style="439" customWidth="1"/>
    <col min="9479" max="9479" width="13.140625" style="439" customWidth="1"/>
    <col min="9480" max="9480" width="9.140625" style="439"/>
    <col min="9481" max="9481" width="12.7109375" style="439" bestFit="1" customWidth="1"/>
    <col min="9482" max="9728" width="9.140625" style="439"/>
    <col min="9729" max="9729" width="7.85546875" style="439" customWidth="1"/>
    <col min="9730" max="9730" width="56.7109375" style="439" customWidth="1"/>
    <col min="9731" max="9731" width="10.7109375" style="439" customWidth="1"/>
    <col min="9732" max="9732" width="13.5703125" style="439" customWidth="1"/>
    <col min="9733" max="9734" width="11.85546875" style="439" customWidth="1"/>
    <col min="9735" max="9735" width="13.140625" style="439" customWidth="1"/>
    <col min="9736" max="9736" width="9.140625" style="439"/>
    <col min="9737" max="9737" width="12.7109375" style="439" bestFit="1" customWidth="1"/>
    <col min="9738" max="9984" width="9.140625" style="439"/>
    <col min="9985" max="9985" width="7.85546875" style="439" customWidth="1"/>
    <col min="9986" max="9986" width="56.7109375" style="439" customWidth="1"/>
    <col min="9987" max="9987" width="10.7109375" style="439" customWidth="1"/>
    <col min="9988" max="9988" width="13.5703125" style="439" customWidth="1"/>
    <col min="9989" max="9990" width="11.85546875" style="439" customWidth="1"/>
    <col min="9991" max="9991" width="13.140625" style="439" customWidth="1"/>
    <col min="9992" max="9992" width="9.140625" style="439"/>
    <col min="9993" max="9993" width="12.7109375" style="439" bestFit="1" customWidth="1"/>
    <col min="9994" max="10240" width="9.140625" style="439"/>
    <col min="10241" max="10241" width="7.85546875" style="439" customWidth="1"/>
    <col min="10242" max="10242" width="56.7109375" style="439" customWidth="1"/>
    <col min="10243" max="10243" width="10.7109375" style="439" customWidth="1"/>
    <col min="10244" max="10244" width="13.5703125" style="439" customWidth="1"/>
    <col min="10245" max="10246" width="11.85546875" style="439" customWidth="1"/>
    <col min="10247" max="10247" width="13.140625" style="439" customWidth="1"/>
    <col min="10248" max="10248" width="9.140625" style="439"/>
    <col min="10249" max="10249" width="12.7109375" style="439" bestFit="1" customWidth="1"/>
    <col min="10250" max="10496" width="9.140625" style="439"/>
    <col min="10497" max="10497" width="7.85546875" style="439" customWidth="1"/>
    <col min="10498" max="10498" width="56.7109375" style="439" customWidth="1"/>
    <col min="10499" max="10499" width="10.7109375" style="439" customWidth="1"/>
    <col min="10500" max="10500" width="13.5703125" style="439" customWidth="1"/>
    <col min="10501" max="10502" width="11.85546875" style="439" customWidth="1"/>
    <col min="10503" max="10503" width="13.140625" style="439" customWidth="1"/>
    <col min="10504" max="10504" width="9.140625" style="439"/>
    <col min="10505" max="10505" width="12.7109375" style="439" bestFit="1" customWidth="1"/>
    <col min="10506" max="10752" width="9.140625" style="439"/>
    <col min="10753" max="10753" width="7.85546875" style="439" customWidth="1"/>
    <col min="10754" max="10754" width="56.7109375" style="439" customWidth="1"/>
    <col min="10755" max="10755" width="10.7109375" style="439" customWidth="1"/>
    <col min="10756" max="10756" width="13.5703125" style="439" customWidth="1"/>
    <col min="10757" max="10758" width="11.85546875" style="439" customWidth="1"/>
    <col min="10759" max="10759" width="13.140625" style="439" customWidth="1"/>
    <col min="10760" max="10760" width="9.140625" style="439"/>
    <col min="10761" max="10761" width="12.7109375" style="439" bestFit="1" customWidth="1"/>
    <col min="10762" max="11008" width="9.140625" style="439"/>
    <col min="11009" max="11009" width="7.85546875" style="439" customWidth="1"/>
    <col min="11010" max="11010" width="56.7109375" style="439" customWidth="1"/>
    <col min="11011" max="11011" width="10.7109375" style="439" customWidth="1"/>
    <col min="11012" max="11012" width="13.5703125" style="439" customWidth="1"/>
    <col min="11013" max="11014" width="11.85546875" style="439" customWidth="1"/>
    <col min="11015" max="11015" width="13.140625" style="439" customWidth="1"/>
    <col min="11016" max="11016" width="9.140625" style="439"/>
    <col min="11017" max="11017" width="12.7109375" style="439" bestFit="1" customWidth="1"/>
    <col min="11018" max="11264" width="9.140625" style="439"/>
    <col min="11265" max="11265" width="7.85546875" style="439" customWidth="1"/>
    <col min="11266" max="11266" width="56.7109375" style="439" customWidth="1"/>
    <col min="11267" max="11267" width="10.7109375" style="439" customWidth="1"/>
    <col min="11268" max="11268" width="13.5703125" style="439" customWidth="1"/>
    <col min="11269" max="11270" width="11.85546875" style="439" customWidth="1"/>
    <col min="11271" max="11271" width="13.140625" style="439" customWidth="1"/>
    <col min="11272" max="11272" width="9.140625" style="439"/>
    <col min="11273" max="11273" width="12.7109375" style="439" bestFit="1" customWidth="1"/>
    <col min="11274" max="11520" width="9.140625" style="439"/>
    <col min="11521" max="11521" width="7.85546875" style="439" customWidth="1"/>
    <col min="11522" max="11522" width="56.7109375" style="439" customWidth="1"/>
    <col min="11523" max="11523" width="10.7109375" style="439" customWidth="1"/>
    <col min="11524" max="11524" width="13.5703125" style="439" customWidth="1"/>
    <col min="11525" max="11526" width="11.85546875" style="439" customWidth="1"/>
    <col min="11527" max="11527" width="13.140625" style="439" customWidth="1"/>
    <col min="11528" max="11528" width="9.140625" style="439"/>
    <col min="11529" max="11529" width="12.7109375" style="439" bestFit="1" customWidth="1"/>
    <col min="11530" max="11776" width="9.140625" style="439"/>
    <col min="11777" max="11777" width="7.85546875" style="439" customWidth="1"/>
    <col min="11778" max="11778" width="56.7109375" style="439" customWidth="1"/>
    <col min="11779" max="11779" width="10.7109375" style="439" customWidth="1"/>
    <col min="11780" max="11780" width="13.5703125" style="439" customWidth="1"/>
    <col min="11781" max="11782" width="11.85546875" style="439" customWidth="1"/>
    <col min="11783" max="11783" width="13.140625" style="439" customWidth="1"/>
    <col min="11784" max="11784" width="9.140625" style="439"/>
    <col min="11785" max="11785" width="12.7109375" style="439" bestFit="1" customWidth="1"/>
    <col min="11786" max="12032" width="9.140625" style="439"/>
    <col min="12033" max="12033" width="7.85546875" style="439" customWidth="1"/>
    <col min="12034" max="12034" width="56.7109375" style="439" customWidth="1"/>
    <col min="12035" max="12035" width="10.7109375" style="439" customWidth="1"/>
    <col min="12036" max="12036" width="13.5703125" style="439" customWidth="1"/>
    <col min="12037" max="12038" width="11.85546875" style="439" customWidth="1"/>
    <col min="12039" max="12039" width="13.140625" style="439" customWidth="1"/>
    <col min="12040" max="12040" width="9.140625" style="439"/>
    <col min="12041" max="12041" width="12.7109375" style="439" bestFit="1" customWidth="1"/>
    <col min="12042" max="12288" width="9.140625" style="439"/>
    <col min="12289" max="12289" width="7.85546875" style="439" customWidth="1"/>
    <col min="12290" max="12290" width="56.7109375" style="439" customWidth="1"/>
    <col min="12291" max="12291" width="10.7109375" style="439" customWidth="1"/>
    <col min="12292" max="12292" width="13.5703125" style="439" customWidth="1"/>
    <col min="12293" max="12294" width="11.85546875" style="439" customWidth="1"/>
    <col min="12295" max="12295" width="13.140625" style="439" customWidth="1"/>
    <col min="12296" max="12296" width="9.140625" style="439"/>
    <col min="12297" max="12297" width="12.7109375" style="439" bestFit="1" customWidth="1"/>
    <col min="12298" max="12544" width="9.140625" style="439"/>
    <col min="12545" max="12545" width="7.85546875" style="439" customWidth="1"/>
    <col min="12546" max="12546" width="56.7109375" style="439" customWidth="1"/>
    <col min="12547" max="12547" width="10.7109375" style="439" customWidth="1"/>
    <col min="12548" max="12548" width="13.5703125" style="439" customWidth="1"/>
    <col min="12549" max="12550" width="11.85546875" style="439" customWidth="1"/>
    <col min="12551" max="12551" width="13.140625" style="439" customWidth="1"/>
    <col min="12552" max="12552" width="9.140625" style="439"/>
    <col min="12553" max="12553" width="12.7109375" style="439" bestFit="1" customWidth="1"/>
    <col min="12554" max="12800" width="9.140625" style="439"/>
    <col min="12801" max="12801" width="7.85546875" style="439" customWidth="1"/>
    <col min="12802" max="12802" width="56.7109375" style="439" customWidth="1"/>
    <col min="12803" max="12803" width="10.7109375" style="439" customWidth="1"/>
    <col min="12804" max="12804" width="13.5703125" style="439" customWidth="1"/>
    <col min="12805" max="12806" width="11.85546875" style="439" customWidth="1"/>
    <col min="12807" max="12807" width="13.140625" style="439" customWidth="1"/>
    <col min="12808" max="12808" width="9.140625" style="439"/>
    <col min="12809" max="12809" width="12.7109375" style="439" bestFit="1" customWidth="1"/>
    <col min="12810" max="13056" width="9.140625" style="439"/>
    <col min="13057" max="13057" width="7.85546875" style="439" customWidth="1"/>
    <col min="13058" max="13058" width="56.7109375" style="439" customWidth="1"/>
    <col min="13059" max="13059" width="10.7109375" style="439" customWidth="1"/>
    <col min="13060" max="13060" width="13.5703125" style="439" customWidth="1"/>
    <col min="13061" max="13062" width="11.85546875" style="439" customWidth="1"/>
    <col min="13063" max="13063" width="13.140625" style="439" customWidth="1"/>
    <col min="13064" max="13064" width="9.140625" style="439"/>
    <col min="13065" max="13065" width="12.7109375" style="439" bestFit="1" customWidth="1"/>
    <col min="13066" max="13312" width="9.140625" style="439"/>
    <col min="13313" max="13313" width="7.85546875" style="439" customWidth="1"/>
    <col min="13314" max="13314" width="56.7109375" style="439" customWidth="1"/>
    <col min="13315" max="13315" width="10.7109375" style="439" customWidth="1"/>
    <col min="13316" max="13316" width="13.5703125" style="439" customWidth="1"/>
    <col min="13317" max="13318" width="11.85546875" style="439" customWidth="1"/>
    <col min="13319" max="13319" width="13.140625" style="439" customWidth="1"/>
    <col min="13320" max="13320" width="9.140625" style="439"/>
    <col min="13321" max="13321" width="12.7109375" style="439" bestFit="1" customWidth="1"/>
    <col min="13322" max="13568" width="9.140625" style="439"/>
    <col min="13569" max="13569" width="7.85546875" style="439" customWidth="1"/>
    <col min="13570" max="13570" width="56.7109375" style="439" customWidth="1"/>
    <col min="13571" max="13571" width="10.7109375" style="439" customWidth="1"/>
    <col min="13572" max="13572" width="13.5703125" style="439" customWidth="1"/>
    <col min="13573" max="13574" width="11.85546875" style="439" customWidth="1"/>
    <col min="13575" max="13575" width="13.140625" style="439" customWidth="1"/>
    <col min="13576" max="13576" width="9.140625" style="439"/>
    <col min="13577" max="13577" width="12.7109375" style="439" bestFit="1" customWidth="1"/>
    <col min="13578" max="13824" width="9.140625" style="439"/>
    <col min="13825" max="13825" width="7.85546875" style="439" customWidth="1"/>
    <col min="13826" max="13826" width="56.7109375" style="439" customWidth="1"/>
    <col min="13827" max="13827" width="10.7109375" style="439" customWidth="1"/>
    <col min="13828" max="13828" width="13.5703125" style="439" customWidth="1"/>
    <col min="13829" max="13830" width="11.85546875" style="439" customWidth="1"/>
    <col min="13831" max="13831" width="13.140625" style="439" customWidth="1"/>
    <col min="13832" max="13832" width="9.140625" style="439"/>
    <col min="13833" max="13833" width="12.7109375" style="439" bestFit="1" customWidth="1"/>
    <col min="13834" max="14080" width="9.140625" style="439"/>
    <col min="14081" max="14081" width="7.85546875" style="439" customWidth="1"/>
    <col min="14082" max="14082" width="56.7109375" style="439" customWidth="1"/>
    <col min="14083" max="14083" width="10.7109375" style="439" customWidth="1"/>
    <col min="14084" max="14084" width="13.5703125" style="439" customWidth="1"/>
    <col min="14085" max="14086" width="11.85546875" style="439" customWidth="1"/>
    <col min="14087" max="14087" width="13.140625" style="439" customWidth="1"/>
    <col min="14088" max="14088" width="9.140625" style="439"/>
    <col min="14089" max="14089" width="12.7109375" style="439" bestFit="1" customWidth="1"/>
    <col min="14090" max="14336" width="9.140625" style="439"/>
    <col min="14337" max="14337" width="7.85546875" style="439" customWidth="1"/>
    <col min="14338" max="14338" width="56.7109375" style="439" customWidth="1"/>
    <col min="14339" max="14339" width="10.7109375" style="439" customWidth="1"/>
    <col min="14340" max="14340" width="13.5703125" style="439" customWidth="1"/>
    <col min="14341" max="14342" width="11.85546875" style="439" customWidth="1"/>
    <col min="14343" max="14343" width="13.140625" style="439" customWidth="1"/>
    <col min="14344" max="14344" width="9.140625" style="439"/>
    <col min="14345" max="14345" width="12.7109375" style="439" bestFit="1" customWidth="1"/>
    <col min="14346" max="14592" width="9.140625" style="439"/>
    <col min="14593" max="14593" width="7.85546875" style="439" customWidth="1"/>
    <col min="14594" max="14594" width="56.7109375" style="439" customWidth="1"/>
    <col min="14595" max="14595" width="10.7109375" style="439" customWidth="1"/>
    <col min="14596" max="14596" width="13.5703125" style="439" customWidth="1"/>
    <col min="14597" max="14598" width="11.85546875" style="439" customWidth="1"/>
    <col min="14599" max="14599" width="13.140625" style="439" customWidth="1"/>
    <col min="14600" max="14600" width="9.140625" style="439"/>
    <col min="14601" max="14601" width="12.7109375" style="439" bestFit="1" customWidth="1"/>
    <col min="14602" max="14848" width="9.140625" style="439"/>
    <col min="14849" max="14849" width="7.85546875" style="439" customWidth="1"/>
    <col min="14850" max="14850" width="56.7109375" style="439" customWidth="1"/>
    <col min="14851" max="14851" width="10.7109375" style="439" customWidth="1"/>
    <col min="14852" max="14852" width="13.5703125" style="439" customWidth="1"/>
    <col min="14853" max="14854" width="11.85546875" style="439" customWidth="1"/>
    <col min="14855" max="14855" width="13.140625" style="439" customWidth="1"/>
    <col min="14856" max="14856" width="9.140625" style="439"/>
    <col min="14857" max="14857" width="12.7109375" style="439" bestFit="1" customWidth="1"/>
    <col min="14858" max="15104" width="9.140625" style="439"/>
    <col min="15105" max="15105" width="7.85546875" style="439" customWidth="1"/>
    <col min="15106" max="15106" width="56.7109375" style="439" customWidth="1"/>
    <col min="15107" max="15107" width="10.7109375" style="439" customWidth="1"/>
    <col min="15108" max="15108" width="13.5703125" style="439" customWidth="1"/>
    <col min="15109" max="15110" width="11.85546875" style="439" customWidth="1"/>
    <col min="15111" max="15111" width="13.140625" style="439" customWidth="1"/>
    <col min="15112" max="15112" width="9.140625" style="439"/>
    <col min="15113" max="15113" width="12.7109375" style="439" bestFit="1" customWidth="1"/>
    <col min="15114" max="15360" width="9.140625" style="439"/>
    <col min="15361" max="15361" width="7.85546875" style="439" customWidth="1"/>
    <col min="15362" max="15362" width="56.7109375" style="439" customWidth="1"/>
    <col min="15363" max="15363" width="10.7109375" style="439" customWidth="1"/>
    <col min="15364" max="15364" width="13.5703125" style="439" customWidth="1"/>
    <col min="15365" max="15366" width="11.85546875" style="439" customWidth="1"/>
    <col min="15367" max="15367" width="13.140625" style="439" customWidth="1"/>
    <col min="15368" max="15368" width="9.140625" style="439"/>
    <col min="15369" max="15369" width="12.7109375" style="439" bestFit="1" customWidth="1"/>
    <col min="15370" max="15616" width="9.140625" style="439"/>
    <col min="15617" max="15617" width="7.85546875" style="439" customWidth="1"/>
    <col min="15618" max="15618" width="56.7109375" style="439" customWidth="1"/>
    <col min="15619" max="15619" width="10.7109375" style="439" customWidth="1"/>
    <col min="15620" max="15620" width="13.5703125" style="439" customWidth="1"/>
    <col min="15621" max="15622" width="11.85546875" style="439" customWidth="1"/>
    <col min="15623" max="15623" width="13.140625" style="439" customWidth="1"/>
    <col min="15624" max="15624" width="9.140625" style="439"/>
    <col min="15625" max="15625" width="12.7109375" style="439" bestFit="1" customWidth="1"/>
    <col min="15626" max="15872" width="9.140625" style="439"/>
    <col min="15873" max="15873" width="7.85546875" style="439" customWidth="1"/>
    <col min="15874" max="15874" width="56.7109375" style="439" customWidth="1"/>
    <col min="15875" max="15875" width="10.7109375" style="439" customWidth="1"/>
    <col min="15876" max="15876" width="13.5703125" style="439" customWidth="1"/>
    <col min="15877" max="15878" width="11.85546875" style="439" customWidth="1"/>
    <col min="15879" max="15879" width="13.140625" style="439" customWidth="1"/>
    <col min="15880" max="15880" width="9.140625" style="439"/>
    <col min="15881" max="15881" width="12.7109375" style="439" bestFit="1" customWidth="1"/>
    <col min="15882" max="16128" width="9.140625" style="439"/>
    <col min="16129" max="16129" width="7.85546875" style="439" customWidth="1"/>
    <col min="16130" max="16130" width="56.7109375" style="439" customWidth="1"/>
    <col min="16131" max="16131" width="10.7109375" style="439" customWidth="1"/>
    <col min="16132" max="16132" width="13.5703125" style="439" customWidth="1"/>
    <col min="16133" max="16134" width="11.85546875" style="439" customWidth="1"/>
    <col min="16135" max="16135" width="13.140625" style="439" customWidth="1"/>
    <col min="16136" max="16136" width="9.140625" style="439"/>
    <col min="16137" max="16137" width="12.7109375" style="439" bestFit="1" customWidth="1"/>
    <col min="16138" max="16384" width="9.140625" style="439"/>
  </cols>
  <sheetData>
    <row r="1" spans="1:10">
      <c r="A1" s="1058" t="s">
        <v>3527</v>
      </c>
      <c r="B1" s="1058"/>
      <c r="C1" s="1058"/>
      <c r="D1" s="1058"/>
      <c r="E1" s="1058"/>
      <c r="F1" s="1058"/>
      <c r="G1" s="1058"/>
    </row>
    <row r="2" spans="1:10">
      <c r="A2" s="1059" t="s">
        <v>3528</v>
      </c>
      <c r="B2" s="1059"/>
      <c r="C2" s="1059"/>
      <c r="D2" s="1059"/>
      <c r="E2" s="1059"/>
      <c r="F2" s="1059"/>
      <c r="G2" s="1059"/>
      <c r="H2" s="716"/>
    </row>
    <row r="3" spans="1:10" ht="14.25">
      <c r="A3" s="717"/>
      <c r="B3" s="717"/>
      <c r="C3" s="717"/>
      <c r="D3" s="717"/>
      <c r="E3" s="717"/>
      <c r="F3" s="717"/>
      <c r="G3" s="717"/>
      <c r="J3" s="712"/>
    </row>
    <row r="4" spans="1:10" ht="15" customHeight="1">
      <c r="A4" s="1062" t="s">
        <v>3529</v>
      </c>
      <c r="B4" s="1062"/>
      <c r="C4" s="1062"/>
      <c r="D4" s="1062"/>
      <c r="E4" s="1062"/>
      <c r="F4" s="1062"/>
      <c r="G4" s="1062"/>
    </row>
    <row r="5" spans="1:10" ht="11.25" customHeight="1">
      <c r="A5" s="948"/>
      <c r="B5" s="948"/>
      <c r="C5" s="948"/>
      <c r="D5" s="948"/>
      <c r="E5" s="948"/>
      <c r="F5" s="948"/>
      <c r="G5" s="948"/>
    </row>
    <row r="6" spans="1:10" ht="15.75">
      <c r="A6" s="948"/>
      <c r="B6" s="948"/>
      <c r="C6" s="948"/>
      <c r="D6" s="948"/>
      <c r="E6" s="1063" t="s">
        <v>3309</v>
      </c>
      <c r="F6" s="961" t="s">
        <v>3526</v>
      </c>
      <c r="G6" s="962">
        <v>0.2462</v>
      </c>
      <c r="J6" s="956"/>
    </row>
    <row r="7" spans="1:10" ht="18.75" customHeight="1">
      <c r="A7" s="948"/>
      <c r="B7" s="948"/>
      <c r="C7" s="948"/>
      <c r="D7" s="948"/>
      <c r="E7" s="1063"/>
      <c r="F7" s="961" t="s">
        <v>3454</v>
      </c>
      <c r="G7" s="962">
        <v>0.15279999999999999</v>
      </c>
      <c r="J7" s="956"/>
    </row>
    <row r="8" spans="1:10" ht="9.75" customHeight="1">
      <c r="D8" s="719"/>
    </row>
    <row r="9" spans="1:10" ht="12.75">
      <c r="A9" s="1060" t="s">
        <v>0</v>
      </c>
      <c r="B9" s="1060" t="s">
        <v>1489</v>
      </c>
      <c r="C9" s="1060" t="s">
        <v>3246</v>
      </c>
      <c r="D9" s="1060" t="s">
        <v>3247</v>
      </c>
      <c r="E9" s="1060" t="s">
        <v>3530</v>
      </c>
      <c r="F9" s="1060"/>
      <c r="G9" s="1061"/>
    </row>
    <row r="10" spans="1:10" ht="12.75">
      <c r="A10" s="1060"/>
      <c r="B10" s="1060"/>
      <c r="C10" s="1060"/>
      <c r="D10" s="1060"/>
      <c r="E10" s="720" t="s">
        <v>3531</v>
      </c>
      <c r="F10" s="720" t="s">
        <v>3309</v>
      </c>
      <c r="G10" s="720" t="s">
        <v>3532</v>
      </c>
    </row>
    <row r="11" spans="1:10" ht="12.75">
      <c r="A11" s="721"/>
      <c r="B11" s="722" t="s">
        <v>3533</v>
      </c>
      <c r="C11" s="721"/>
      <c r="D11" s="721"/>
      <c r="E11" s="722"/>
      <c r="F11" s="722"/>
      <c r="G11" s="722"/>
    </row>
    <row r="12" spans="1:10" ht="12.75">
      <c r="A12" s="721"/>
      <c r="B12" s="722"/>
      <c r="C12" s="721"/>
      <c r="D12" s="721"/>
      <c r="E12" s="722"/>
      <c r="F12" s="722"/>
      <c r="G12" s="722"/>
    </row>
    <row r="13" spans="1:10" ht="12.75">
      <c r="A13" s="780" t="s">
        <v>3695</v>
      </c>
      <c r="B13" s="725" t="s">
        <v>1457</v>
      </c>
      <c r="C13" s="726"/>
      <c r="D13" s="727"/>
      <c r="E13" s="723">
        <f>E14+E15</f>
        <v>9156272.2280695681</v>
      </c>
      <c r="F13" s="729"/>
      <c r="G13" s="723">
        <f>G14+G15</f>
        <v>11410546.450620295</v>
      </c>
    </row>
    <row r="14" spans="1:10" ht="12.75">
      <c r="A14" s="724" t="s">
        <v>1380</v>
      </c>
      <c r="B14" s="737" t="s">
        <v>1458</v>
      </c>
      <c r="C14" s="724" t="s">
        <v>3536</v>
      </c>
      <c r="D14" s="797">
        <v>1</v>
      </c>
      <c r="E14" s="728">
        <f>'Custo Drenagem'!H24</f>
        <v>3299460.9828223852</v>
      </c>
      <c r="F14" s="783">
        <f>$G$6</f>
        <v>0.2462</v>
      </c>
      <c r="G14" s="728">
        <f>D14*((E14*F14)+E14)</f>
        <v>4111788.2767932564</v>
      </c>
    </row>
    <row r="15" spans="1:10" ht="12.75">
      <c r="A15" s="724" t="s">
        <v>1381</v>
      </c>
      <c r="B15" s="737" t="s">
        <v>1459</v>
      </c>
      <c r="C15" s="724" t="s">
        <v>3536</v>
      </c>
      <c r="D15" s="797">
        <v>1</v>
      </c>
      <c r="E15" s="728">
        <f>'Custo Drenagem'!H36</f>
        <v>5856811.2452471824</v>
      </c>
      <c r="F15" s="783">
        <f>$G$6</f>
        <v>0.2462</v>
      </c>
      <c r="G15" s="728">
        <f>D15*((E15*F15)+E15)</f>
        <v>7298758.1738270391</v>
      </c>
    </row>
    <row r="16" spans="1:10" ht="12.75">
      <c r="A16" s="732"/>
      <c r="B16" s="739"/>
      <c r="C16" s="740"/>
      <c r="D16" s="741"/>
      <c r="E16" s="734"/>
      <c r="F16" s="742"/>
      <c r="G16" s="742"/>
    </row>
    <row r="17" spans="1:9" ht="12.75">
      <c r="A17" s="1055" t="s">
        <v>3696</v>
      </c>
      <c r="B17" s="1056"/>
      <c r="C17" s="1056"/>
      <c r="D17" s="1057"/>
      <c r="E17" s="743">
        <f>E15+E14</f>
        <v>9156272.2280695681</v>
      </c>
      <c r="F17" s="744"/>
      <c r="G17" s="743">
        <f>G15+G14</f>
        <v>11410546.450620295</v>
      </c>
    </row>
    <row r="18" spans="1:9">
      <c r="A18" s="745"/>
      <c r="B18" s="746"/>
      <c r="C18" s="746"/>
      <c r="D18" s="746"/>
      <c r="E18" s="746"/>
    </row>
    <row r="19" spans="1:9">
      <c r="A19" s="747"/>
      <c r="H19" s="718"/>
    </row>
    <row r="20" spans="1:9">
      <c r="A20" s="747"/>
      <c r="G20" s="748"/>
      <c r="H20" s="718"/>
      <c r="I20" s="749"/>
    </row>
    <row r="21" spans="1:9">
      <c r="A21" s="747"/>
      <c r="G21" s="719"/>
      <c r="H21" s="718"/>
      <c r="I21" s="749"/>
    </row>
    <row r="22" spans="1:9">
      <c r="H22" s="718"/>
    </row>
    <row r="23" spans="1:9">
      <c r="H23" s="718"/>
    </row>
    <row r="24" spans="1:9">
      <c r="G24" s="749"/>
    </row>
    <row r="25" spans="1:9">
      <c r="G25" s="719"/>
    </row>
  </sheetData>
  <mergeCells count="10">
    <mergeCell ref="A17:D17"/>
    <mergeCell ref="A1:G1"/>
    <mergeCell ref="A2:G2"/>
    <mergeCell ref="A9:A10"/>
    <mergeCell ref="B9:B10"/>
    <mergeCell ref="C9:C10"/>
    <mergeCell ref="D9:D10"/>
    <mergeCell ref="E9:G9"/>
    <mergeCell ref="A4:G4"/>
    <mergeCell ref="E6:E7"/>
  </mergeCells>
  <conditionalFormatting sqref="G6:G7 J6:J7">
    <cfRule type="expression" dxfId="11" priority="1" stopIfTrue="1">
      <formula>#REF!="Não"</formula>
    </cfRule>
  </conditionalFormatting>
  <printOptions horizontalCentered="1"/>
  <pageMargins left="0.51181102362204722" right="0.51181102362204722" top="0.78740157480314965" bottom="0.78740157480314965" header="0.31496062992125984" footer="0.31496062992125984"/>
  <pageSetup paperSize="9" scale="74" fitToHeight="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pageSetUpPr autoPageBreaks="0" fitToPage="1"/>
  </sheetPr>
  <dimension ref="A1:BO60"/>
  <sheetViews>
    <sheetView showGridLines="0" showZeros="0" showRuler="0" showWhiteSpace="0" view="pageBreakPreview" zoomScale="70" zoomScaleNormal="55" zoomScaleSheetLayoutView="70" zoomScalePageLayoutView="60" workbookViewId="0">
      <pane ySplit="22" topLeftCell="A23" activePane="bottomLeft" state="frozen"/>
      <selection activeCell="L22" sqref="L22:O25"/>
      <selection pane="bottomLeft" activeCell="B35" sqref="B35:B42"/>
    </sheetView>
  </sheetViews>
  <sheetFormatPr defaultColWidth="9.140625" defaultRowHeight="15.75" outlineLevelRow="1"/>
  <cols>
    <col min="1" max="1" width="9.140625" style="50"/>
    <col min="2" max="2" width="12" style="48" customWidth="1"/>
    <col min="3" max="3" width="98" style="49" customWidth="1"/>
    <col min="4" max="4" width="9.140625" style="141" customWidth="1"/>
    <col min="5" max="5" width="19.7109375" style="50" customWidth="1"/>
    <col min="6" max="6" width="17.42578125" style="50" customWidth="1"/>
    <col min="7" max="8" width="22" style="50" customWidth="1"/>
    <col min="9" max="9" width="28.85546875" style="50" customWidth="1"/>
    <col min="10" max="10" width="14" style="50" customWidth="1"/>
    <col min="11" max="11" width="22.7109375" style="50" customWidth="1"/>
    <col min="12" max="12" width="17.5703125" style="50" customWidth="1"/>
    <col min="13" max="13" width="14.5703125" style="50" customWidth="1"/>
    <col min="14" max="14" width="18.7109375" style="50" customWidth="1"/>
    <col min="15" max="15" width="16.28515625" style="50" customWidth="1"/>
    <col min="16" max="16384" width="9.140625" style="50"/>
  </cols>
  <sheetData>
    <row r="1" spans="2:11">
      <c r="G1" s="244"/>
      <c r="H1" s="244"/>
    </row>
    <row r="2" spans="2:11" hidden="1"/>
    <row r="3" spans="2:11" hidden="1">
      <c r="B3" s="142"/>
      <c r="C3" s="143"/>
      <c r="D3" s="144"/>
      <c r="E3" s="143"/>
      <c r="F3" s="143"/>
      <c r="G3" s="143"/>
      <c r="H3" s="143"/>
      <c r="I3" s="143"/>
      <c r="J3" s="143"/>
      <c r="K3" s="186"/>
    </row>
    <row r="4" spans="2:11" ht="18.75" hidden="1">
      <c r="B4" s="1065" t="s">
        <v>3056</v>
      </c>
      <c r="C4" s="1066"/>
      <c r="D4" s="1066"/>
      <c r="E4" s="1066"/>
      <c r="F4" s="1066"/>
      <c r="G4" s="1066"/>
      <c r="H4" s="1066"/>
      <c r="I4" s="1066"/>
      <c r="J4" s="1066"/>
      <c r="K4" s="187"/>
    </row>
    <row r="5" spans="2:11" ht="18.75" hidden="1">
      <c r="B5" s="1067" t="s">
        <v>4</v>
      </c>
      <c r="C5" s="1068"/>
      <c r="D5" s="1068"/>
      <c r="E5" s="1068"/>
      <c r="F5" s="1068"/>
      <c r="G5" s="1068"/>
      <c r="H5" s="1068"/>
      <c r="I5" s="1068"/>
      <c r="J5" s="1068"/>
      <c r="K5" s="187"/>
    </row>
    <row r="6" spans="2:11" ht="18.75" hidden="1">
      <c r="B6" s="1067" t="s">
        <v>1527</v>
      </c>
      <c r="C6" s="1068"/>
      <c r="D6" s="1068"/>
      <c r="E6" s="1068"/>
      <c r="F6" s="1068"/>
      <c r="G6" s="1068"/>
      <c r="H6" s="1068"/>
      <c r="I6" s="1068"/>
      <c r="J6" s="1068"/>
      <c r="K6" s="187"/>
    </row>
    <row r="7" spans="2:11" ht="16.5" hidden="1" thickBot="1">
      <c r="B7" s="147"/>
      <c r="C7" s="148"/>
      <c r="D7" s="149"/>
      <c r="E7" s="150"/>
      <c r="F7" s="150"/>
      <c r="G7" s="150"/>
      <c r="H7" s="150"/>
      <c r="I7" s="150"/>
      <c r="J7" s="150"/>
      <c r="K7" s="188"/>
    </row>
    <row r="8" spans="2:11" ht="24" hidden="1" thickBot="1">
      <c r="B8" s="1069" t="s">
        <v>3058</v>
      </c>
      <c r="C8" s="1070"/>
      <c r="D8" s="1070"/>
      <c r="E8" s="1070"/>
      <c r="F8" s="1070"/>
      <c r="G8" s="1070"/>
      <c r="H8" s="1070"/>
      <c r="I8" s="1070"/>
      <c r="J8" s="1070"/>
      <c r="K8" s="189"/>
    </row>
    <row r="9" spans="2:11" hidden="1">
      <c r="B9" s="152" t="s">
        <v>7</v>
      </c>
      <c r="C9" s="153" t="s">
        <v>1519</v>
      </c>
      <c r="D9" s="154"/>
      <c r="E9" s="196" t="s">
        <v>1535</v>
      </c>
      <c r="F9" s="145"/>
      <c r="G9" s="145"/>
      <c r="H9" s="145"/>
      <c r="I9" s="198"/>
      <c r="J9" s="1071" t="e">
        <v>#REF!</v>
      </c>
      <c r="K9" s="160"/>
    </row>
    <row r="10" spans="2:11" hidden="1">
      <c r="B10" s="155" t="s">
        <v>6</v>
      </c>
      <c r="C10" s="156" t="s">
        <v>1530</v>
      </c>
      <c r="D10" s="157"/>
      <c r="E10" s="197" t="s">
        <v>5</v>
      </c>
      <c r="F10" s="146"/>
      <c r="G10" s="159"/>
      <c r="H10" s="159"/>
      <c r="I10" s="756"/>
      <c r="J10" s="1072"/>
      <c r="K10" s="160"/>
    </row>
    <row r="11" spans="2:11" hidden="1">
      <c r="B11" s="155" t="s">
        <v>8</v>
      </c>
      <c r="C11" s="156" t="s">
        <v>1483</v>
      </c>
      <c r="D11" s="157"/>
      <c r="E11" s="197" t="s">
        <v>1537</v>
      </c>
      <c r="F11" s="146"/>
      <c r="G11" s="159"/>
      <c r="H11" s="159"/>
      <c r="I11" s="756"/>
      <c r="J11" s="1072"/>
      <c r="K11" s="160"/>
    </row>
    <row r="12" spans="2:11" hidden="1">
      <c r="B12" s="155" t="s">
        <v>9</v>
      </c>
      <c r="C12" s="156" t="s">
        <v>1488</v>
      </c>
      <c r="D12" s="157"/>
      <c r="E12" s="197" t="s">
        <v>3057</v>
      </c>
      <c r="F12" s="146"/>
      <c r="G12" s="159"/>
      <c r="H12" s="159"/>
      <c r="I12" s="199"/>
      <c r="J12" s="1072" t="e">
        <v>#REF!</v>
      </c>
      <c r="K12" s="161"/>
    </row>
    <row r="13" spans="2:11" hidden="1">
      <c r="B13" s="155" t="s">
        <v>10</v>
      </c>
      <c r="C13" s="162">
        <v>79745584.319999993</v>
      </c>
      <c r="D13" s="163"/>
      <c r="E13" s="197" t="e">
        <v>#REF!</v>
      </c>
      <c r="F13" s="146"/>
      <c r="G13" s="159"/>
      <c r="H13" s="159"/>
      <c r="I13" s="756"/>
      <c r="J13" s="1072"/>
      <c r="K13" s="160"/>
    </row>
    <row r="14" spans="2:11" hidden="1">
      <c r="B14" s="164" t="s">
        <v>1529</v>
      </c>
      <c r="C14" s="157"/>
      <c r="D14" s="163"/>
      <c r="E14" s="197" t="e">
        <v>#REF!</v>
      </c>
      <c r="F14" s="146"/>
      <c r="G14" s="159"/>
      <c r="H14" s="159"/>
      <c r="I14" s="756"/>
      <c r="J14" s="1072"/>
      <c r="K14" s="160"/>
    </row>
    <row r="15" spans="2:11" hidden="1">
      <c r="B15" s="165"/>
      <c r="C15" s="157"/>
      <c r="D15" s="163"/>
      <c r="E15" s="197" t="e">
        <v>#REF!</v>
      </c>
      <c r="F15" s="146"/>
      <c r="G15" s="146"/>
      <c r="H15" s="146"/>
      <c r="I15" s="199"/>
      <c r="J15" s="1073" t="e">
        <v>#REF!</v>
      </c>
      <c r="K15" s="161"/>
    </row>
    <row r="16" spans="2:11" hidden="1">
      <c r="B16" s="165"/>
      <c r="C16" s="157"/>
      <c r="D16" s="163"/>
      <c r="E16" s="158"/>
      <c r="F16" s="146"/>
      <c r="G16" s="146"/>
      <c r="H16" s="146"/>
      <c r="I16" s="199"/>
      <c r="J16" s="1074"/>
      <c r="K16" s="161"/>
    </row>
    <row r="17" spans="1:15" hidden="1">
      <c r="B17" s="165"/>
      <c r="C17" s="157"/>
      <c r="D17" s="163"/>
      <c r="E17" s="158"/>
      <c r="F17" s="146"/>
      <c r="G17" s="146"/>
      <c r="H17" s="146"/>
      <c r="I17" s="199"/>
      <c r="J17" s="1074"/>
      <c r="K17" s="161"/>
    </row>
    <row r="18" spans="1:15" hidden="1">
      <c r="B18" s="165"/>
      <c r="C18" s="157"/>
      <c r="D18" s="163"/>
      <c r="E18" s="158"/>
      <c r="F18" s="146"/>
      <c r="G18" s="146"/>
      <c r="H18" s="146"/>
      <c r="I18" s="756"/>
      <c r="J18" s="1074"/>
      <c r="K18" s="160"/>
    </row>
    <row r="19" spans="1:15" ht="16.5" hidden="1" thickBot="1">
      <c r="B19" s="165"/>
      <c r="C19" s="168"/>
      <c r="D19" s="169"/>
      <c r="E19" s="170"/>
      <c r="F19" s="151"/>
      <c r="G19" s="151"/>
      <c r="H19" s="151"/>
      <c r="I19" s="168"/>
      <c r="J19" s="1075"/>
      <c r="K19" s="138"/>
    </row>
    <row r="20" spans="1:15">
      <c r="B20" s="955"/>
      <c r="C20" s="372"/>
      <c r="D20" s="373"/>
      <c r="E20" s="126"/>
      <c r="F20" s="126"/>
      <c r="G20" s="757"/>
      <c r="H20" s="757"/>
      <c r="I20" s="126"/>
      <c r="J20" s="126"/>
      <c r="K20" s="126"/>
    </row>
    <row r="21" spans="1:15" ht="24" customHeight="1">
      <c r="B21" s="758"/>
      <c r="C21" s="758"/>
      <c r="D21" s="758" t="s">
        <v>11</v>
      </c>
      <c r="E21" s="1076" t="s">
        <v>3053</v>
      </c>
      <c r="F21" s="1076"/>
      <c r="G21" s="1076"/>
      <c r="H21" s="759"/>
      <c r="I21" s="1077" t="s">
        <v>2745</v>
      </c>
      <c r="J21" s="1078"/>
      <c r="K21" s="137"/>
    </row>
    <row r="22" spans="1:15" ht="38.25" customHeight="1" thickBot="1">
      <c r="B22" s="375" t="s">
        <v>0</v>
      </c>
      <c r="C22" s="376" t="s">
        <v>1520</v>
      </c>
      <c r="D22" s="375"/>
      <c r="E22" s="108" t="s">
        <v>1531</v>
      </c>
      <c r="F22" s="108" t="s">
        <v>12</v>
      </c>
      <c r="G22" s="108" t="s">
        <v>3190</v>
      </c>
      <c r="H22" s="108" t="s">
        <v>3191</v>
      </c>
      <c r="I22" s="377" t="s">
        <v>1491</v>
      </c>
      <c r="J22" s="377" t="s">
        <v>1490</v>
      </c>
      <c r="K22" s="209"/>
      <c r="L22" s="852" t="s">
        <v>3471</v>
      </c>
      <c r="M22" s="853" t="s">
        <v>1400</v>
      </c>
      <c r="N22" s="853" t="s">
        <v>1546</v>
      </c>
      <c r="O22" s="853" t="s">
        <v>3472</v>
      </c>
    </row>
    <row r="23" spans="1:15" s="98" customFormat="1">
      <c r="B23" s="176" t="s">
        <v>1382</v>
      </c>
      <c r="C23" s="101" t="s">
        <v>1460</v>
      </c>
      <c r="D23" s="74"/>
      <c r="E23" s="75"/>
      <c r="F23" s="75"/>
      <c r="G23" s="75">
        <f>G24</f>
        <v>908158.31141285656</v>
      </c>
      <c r="H23" s="75">
        <f>H24</f>
        <v>3137232.8867757129</v>
      </c>
      <c r="I23" s="110">
        <v>0</v>
      </c>
      <c r="J23" s="73"/>
      <c r="K23" s="191"/>
      <c r="L23" s="763"/>
      <c r="M23" s="764">
        <v>0.4</v>
      </c>
      <c r="N23" s="764">
        <v>0.375</v>
      </c>
      <c r="O23" s="763"/>
    </row>
    <row r="24" spans="1:15" s="98" customFormat="1" outlineLevel="1">
      <c r="B24" s="178" t="s">
        <v>1383</v>
      </c>
      <c r="C24" s="102" t="s">
        <v>1400</v>
      </c>
      <c r="D24" s="85"/>
      <c r="E24" s="64"/>
      <c r="F24" s="64"/>
      <c r="G24" s="64">
        <f>SUM(G25:G33)</f>
        <v>908158.31141285656</v>
      </c>
      <c r="H24" s="64">
        <f>SUM(H25:H33)</f>
        <v>3137232.8867757129</v>
      </c>
      <c r="I24" s="111">
        <v>0</v>
      </c>
      <c r="J24" s="86"/>
      <c r="K24" s="190"/>
      <c r="L24" s="763"/>
      <c r="M24" s="763"/>
      <c r="N24" s="763"/>
      <c r="O24" s="763"/>
    </row>
    <row r="25" spans="1:15" s="98" customFormat="1" outlineLevel="1">
      <c r="A25" s="141" t="s">
        <v>3478</v>
      </c>
      <c r="B25" s="175" t="s">
        <v>3739</v>
      </c>
      <c r="C25" s="100" t="s">
        <v>1576</v>
      </c>
      <c r="D25" s="99" t="s">
        <v>1469</v>
      </c>
      <c r="E25" s="491">
        <f>E26/10000</f>
        <v>15.2797</v>
      </c>
      <c r="F25" s="20">
        <f>O25</f>
        <v>1186.2428571428572</v>
      </c>
      <c r="G25" s="19">
        <f t="shared" ref="G25:G33" si="0">E25*F25</f>
        <v>18125.434984285715</v>
      </c>
      <c r="H25" s="19">
        <f>G25*(1+J25)</f>
        <v>62614.315153215</v>
      </c>
      <c r="I25" s="114" t="s">
        <v>1523</v>
      </c>
      <c r="J25" s="210">
        <v>2.4544999999999999</v>
      </c>
      <c r="K25" s="190"/>
      <c r="L25" s="765">
        <v>1660.74</v>
      </c>
      <c r="M25" s="765">
        <f>L25/($M$23+1)</f>
        <v>1186.2428571428572</v>
      </c>
      <c r="N25" s="765">
        <f>L25/($N$23+1)</f>
        <v>1207.810909090909</v>
      </c>
      <c r="O25" s="765">
        <f>IF(A25="S",M25,N25)</f>
        <v>1186.2428571428572</v>
      </c>
    </row>
    <row r="26" spans="1:15" s="98" customFormat="1" outlineLevel="1">
      <c r="A26" s="141" t="s">
        <v>3478</v>
      </c>
      <c r="B26" s="175" t="s">
        <v>3740</v>
      </c>
      <c r="C26" s="100" t="s">
        <v>1622</v>
      </c>
      <c r="D26" s="99" t="s">
        <v>1467</v>
      </c>
      <c r="E26" s="491">
        <v>152797</v>
      </c>
      <c r="F26" s="20">
        <f t="shared" ref="F26:F33" si="1">O26</f>
        <v>1.3357142857142859</v>
      </c>
      <c r="G26" s="19">
        <f t="shared" si="0"/>
        <v>204093.13571428575</v>
      </c>
      <c r="H26" s="19">
        <f t="shared" ref="H26:H33" si="2">G26*(1+J26)</f>
        <v>705039.73732500011</v>
      </c>
      <c r="I26" s="114" t="s">
        <v>1523</v>
      </c>
      <c r="J26" s="210">
        <v>2.4544999999999999</v>
      </c>
      <c r="K26" s="190"/>
      <c r="L26" s="765">
        <v>1.87</v>
      </c>
      <c r="M26" s="765">
        <f t="shared" ref="M26:M33" si="3">L26/($M$23+1)</f>
        <v>1.3357142857142859</v>
      </c>
      <c r="N26" s="765">
        <f t="shared" ref="N26:N33" si="4">L26/($N$23+1)</f>
        <v>1.36</v>
      </c>
      <c r="O26" s="765">
        <f t="shared" ref="O26:O33" si="5">IF(A26="S",M26,N26)</f>
        <v>1.3357142857142859</v>
      </c>
    </row>
    <row r="27" spans="1:15" s="98" customFormat="1" ht="31.5" outlineLevel="1">
      <c r="A27" s="141" t="s">
        <v>3478</v>
      </c>
      <c r="B27" s="175" t="s">
        <v>3741</v>
      </c>
      <c r="C27" s="100" t="s">
        <v>1577</v>
      </c>
      <c r="D27" s="99" t="s">
        <v>1467</v>
      </c>
      <c r="E27" s="491">
        <v>16187</v>
      </c>
      <c r="F27" s="20">
        <f t="shared" si="1"/>
        <v>6.9214285714285717</v>
      </c>
      <c r="G27" s="19">
        <f t="shared" si="0"/>
        <v>112037.16428571429</v>
      </c>
      <c r="H27" s="19">
        <f t="shared" si="2"/>
        <v>387032.38402499998</v>
      </c>
      <c r="I27" s="114" t="s">
        <v>1523</v>
      </c>
      <c r="J27" s="210">
        <v>2.4544999999999999</v>
      </c>
      <c r="K27" s="190"/>
      <c r="L27" s="765">
        <v>9.69</v>
      </c>
      <c r="M27" s="765">
        <f t="shared" si="3"/>
        <v>6.9214285714285717</v>
      </c>
      <c r="N27" s="765">
        <f t="shared" si="4"/>
        <v>7.0472727272727269</v>
      </c>
      <c r="O27" s="765">
        <f t="shared" si="5"/>
        <v>6.9214285714285717</v>
      </c>
    </row>
    <row r="28" spans="1:15" s="98" customFormat="1" outlineLevel="1">
      <c r="A28" s="141" t="s">
        <v>3478</v>
      </c>
      <c r="B28" s="175" t="s">
        <v>3742</v>
      </c>
      <c r="C28" s="100" t="s">
        <v>1583</v>
      </c>
      <c r="D28" s="99" t="s">
        <v>1467</v>
      </c>
      <c r="E28" s="491">
        <v>15143</v>
      </c>
      <c r="F28" s="20">
        <f t="shared" si="1"/>
        <v>8.2500000000000018</v>
      </c>
      <c r="G28" s="19">
        <f t="shared" si="0"/>
        <v>124929.75000000003</v>
      </c>
      <c r="H28" s="19">
        <f t="shared" si="2"/>
        <v>431569.82137500012</v>
      </c>
      <c r="I28" s="114" t="s">
        <v>1523</v>
      </c>
      <c r="J28" s="210">
        <v>2.4544999999999999</v>
      </c>
      <c r="K28" s="190"/>
      <c r="L28" s="765">
        <v>11.55</v>
      </c>
      <c r="M28" s="765">
        <f t="shared" si="3"/>
        <v>8.2500000000000018</v>
      </c>
      <c r="N28" s="765">
        <f t="shared" si="4"/>
        <v>8.4</v>
      </c>
      <c r="O28" s="765">
        <f t="shared" si="5"/>
        <v>8.2500000000000018</v>
      </c>
    </row>
    <row r="29" spans="1:15" s="98" customFormat="1" outlineLevel="1">
      <c r="A29" s="141" t="s">
        <v>3478</v>
      </c>
      <c r="B29" s="175" t="s">
        <v>3743</v>
      </c>
      <c r="C29" s="100" t="s">
        <v>3692</v>
      </c>
      <c r="D29" s="99" t="s">
        <v>1475</v>
      </c>
      <c r="E29" s="491">
        <v>0</v>
      </c>
      <c r="F29" s="20">
        <f t="shared" si="1"/>
        <v>0.85</v>
      </c>
      <c r="G29" s="19">
        <f t="shared" si="0"/>
        <v>0</v>
      </c>
      <c r="H29" s="19">
        <f t="shared" si="2"/>
        <v>0</v>
      </c>
      <c r="I29" s="114" t="s">
        <v>1523</v>
      </c>
      <c r="J29" s="210">
        <v>2.4544999999999999</v>
      </c>
      <c r="K29" s="190"/>
      <c r="L29" s="765">
        <v>1.19</v>
      </c>
      <c r="M29" s="765">
        <f t="shared" si="3"/>
        <v>0.85</v>
      </c>
      <c r="N29" s="765">
        <f t="shared" si="4"/>
        <v>0.86545454545454537</v>
      </c>
      <c r="O29" s="765">
        <f t="shared" si="5"/>
        <v>0.85</v>
      </c>
    </row>
    <row r="30" spans="1:15" s="98" customFormat="1" outlineLevel="1">
      <c r="A30" s="141" t="s">
        <v>3478</v>
      </c>
      <c r="B30" s="175" t="s">
        <v>3744</v>
      </c>
      <c r="C30" s="100" t="s">
        <v>1582</v>
      </c>
      <c r="D30" s="99" t="s">
        <v>1475</v>
      </c>
      <c r="E30" s="491">
        <v>394800.77999999921</v>
      </c>
      <c r="F30" s="20">
        <f t="shared" si="1"/>
        <v>0.8214285714285714</v>
      </c>
      <c r="G30" s="19">
        <f t="shared" si="0"/>
        <v>324300.64071428508</v>
      </c>
      <c r="H30" s="19">
        <f t="shared" si="2"/>
        <v>1120296.5633474977</v>
      </c>
      <c r="I30" s="114" t="s">
        <v>1523</v>
      </c>
      <c r="J30" s="210">
        <v>2.4544999999999999</v>
      </c>
      <c r="K30" s="190"/>
      <c r="L30" s="765">
        <v>1.1499999999999999</v>
      </c>
      <c r="M30" s="765">
        <f t="shared" si="3"/>
        <v>0.8214285714285714</v>
      </c>
      <c r="N30" s="765">
        <f t="shared" si="4"/>
        <v>0.83636363636363631</v>
      </c>
      <c r="O30" s="765">
        <f t="shared" si="5"/>
        <v>0.8214285714285714</v>
      </c>
    </row>
    <row r="31" spans="1:15" s="98" customFormat="1" outlineLevel="1">
      <c r="A31" s="141" t="s">
        <v>3478</v>
      </c>
      <c r="B31" s="175" t="s">
        <v>3745</v>
      </c>
      <c r="C31" s="100" t="s">
        <v>1568</v>
      </c>
      <c r="D31" s="99" t="s">
        <v>1467</v>
      </c>
      <c r="E31" s="491">
        <v>16187</v>
      </c>
      <c r="F31" s="20">
        <f t="shared" si="1"/>
        <v>3.9571428571428573</v>
      </c>
      <c r="G31" s="19">
        <f t="shared" si="0"/>
        <v>64054.271428571432</v>
      </c>
      <c r="H31" s="19">
        <f t="shared" si="2"/>
        <v>221275.48065000001</v>
      </c>
      <c r="I31" s="114" t="s">
        <v>1523</v>
      </c>
      <c r="J31" s="210">
        <v>2.4544999999999999</v>
      </c>
      <c r="K31" s="190"/>
      <c r="L31" s="765">
        <v>5.54</v>
      </c>
      <c r="M31" s="765">
        <f t="shared" si="3"/>
        <v>3.9571428571428573</v>
      </c>
      <c r="N31" s="765">
        <f t="shared" si="4"/>
        <v>4.0290909090909093</v>
      </c>
      <c r="O31" s="765">
        <f t="shared" si="5"/>
        <v>3.9571428571428573</v>
      </c>
    </row>
    <row r="32" spans="1:15" s="98" customFormat="1" outlineLevel="1">
      <c r="A32" s="141" t="s">
        <v>3478</v>
      </c>
      <c r="B32" s="175" t="s">
        <v>3746</v>
      </c>
      <c r="C32" s="100" t="s">
        <v>1632</v>
      </c>
      <c r="D32" s="99" t="s">
        <v>1470</v>
      </c>
      <c r="E32" s="491">
        <v>103494</v>
      </c>
      <c r="F32" s="20">
        <f t="shared" si="1"/>
        <v>0.58571428571428574</v>
      </c>
      <c r="G32" s="19">
        <f t="shared" si="0"/>
        <v>60617.914285714287</v>
      </c>
      <c r="H32" s="19">
        <f t="shared" si="2"/>
        <v>209404.58489999999</v>
      </c>
      <c r="I32" s="114" t="s">
        <v>1523</v>
      </c>
      <c r="J32" s="210">
        <v>2.4544999999999999</v>
      </c>
      <c r="K32" s="190"/>
      <c r="L32" s="765">
        <v>0.82</v>
      </c>
      <c r="M32" s="765">
        <f t="shared" si="3"/>
        <v>0.58571428571428574</v>
      </c>
      <c r="N32" s="765">
        <f t="shared" si="4"/>
        <v>0.59636363636363632</v>
      </c>
      <c r="O32" s="765">
        <f t="shared" si="5"/>
        <v>0.58571428571428574</v>
      </c>
    </row>
    <row r="33" spans="1:67" s="98" customFormat="1" outlineLevel="1">
      <c r="A33" s="141" t="s">
        <v>3478</v>
      </c>
      <c r="B33" s="175" t="s">
        <v>3747</v>
      </c>
      <c r="C33" s="100" t="s">
        <v>3748</v>
      </c>
      <c r="D33" s="99" t="s">
        <v>3749</v>
      </c>
      <c r="E33" s="850">
        <v>0</v>
      </c>
      <c r="F33" s="20">
        <f t="shared" si="1"/>
        <v>8.2500000000000018</v>
      </c>
      <c r="G33" s="19">
        <f t="shared" si="0"/>
        <v>0</v>
      </c>
      <c r="H33" s="19">
        <f t="shared" si="2"/>
        <v>0</v>
      </c>
      <c r="I33" s="114" t="s">
        <v>1523</v>
      </c>
      <c r="J33" s="210">
        <v>2.4544999999999999</v>
      </c>
      <c r="K33" s="190"/>
      <c r="L33" s="823">
        <v>11.55</v>
      </c>
      <c r="M33" s="823">
        <f t="shared" si="3"/>
        <v>8.2500000000000018</v>
      </c>
      <c r="N33" s="823">
        <f t="shared" si="4"/>
        <v>8.4</v>
      </c>
      <c r="O33" s="823">
        <f t="shared" si="5"/>
        <v>8.2500000000000018</v>
      </c>
    </row>
    <row r="34" spans="1:67" s="166" customFormat="1">
      <c r="B34" s="48"/>
      <c r="C34" s="49"/>
      <c r="D34" s="141"/>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row>
    <row r="35" spans="1:67" s="166" customFormat="1">
      <c r="B35" s="48" t="s">
        <v>3586</v>
      </c>
      <c r="C35" s="49"/>
      <c r="D35" s="141"/>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row>
    <row r="36" spans="1:67" s="166" customFormat="1">
      <c r="B36" s="777" t="s">
        <v>3587</v>
      </c>
      <c r="C36" s="49"/>
      <c r="D36" s="141"/>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row>
    <row r="37" spans="1:67" s="166" customFormat="1">
      <c r="B37" s="777" t="s">
        <v>3588</v>
      </c>
      <c r="C37" s="49"/>
      <c r="D37" s="141"/>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row>
    <row r="38" spans="1:67" s="166" customFormat="1">
      <c r="B38" s="777" t="s">
        <v>3589</v>
      </c>
      <c r="C38" s="49"/>
      <c r="D38" s="141"/>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row>
    <row r="39" spans="1:67" s="166" customFormat="1">
      <c r="B39" s="48"/>
      <c r="C39" s="49"/>
      <c r="D39" s="141"/>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row>
    <row r="40" spans="1:67" s="166" customFormat="1">
      <c r="B40" s="48" t="s">
        <v>3633</v>
      </c>
      <c r="C40" s="49"/>
      <c r="D40" s="141"/>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row>
    <row r="41" spans="1:67" s="166" customFormat="1">
      <c r="B41" s="777" t="s">
        <v>3634</v>
      </c>
      <c r="C41" s="49"/>
      <c r="D41" s="141"/>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row>
    <row r="42" spans="1:67" s="166" customFormat="1">
      <c r="B42" s="48"/>
      <c r="C42" s="49"/>
      <c r="D42" s="141"/>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row>
    <row r="44" spans="1:67" s="166" customFormat="1">
      <c r="B44" s="48"/>
      <c r="C44" s="49"/>
      <c r="D44" s="141"/>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row>
    <row r="45" spans="1:67" s="166" customFormat="1">
      <c r="B45" s="48"/>
      <c r="C45" s="49"/>
      <c r="D45" s="141"/>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row>
    <row r="46" spans="1:67" s="166" customFormat="1">
      <c r="B46" s="48"/>
      <c r="C46" s="49"/>
      <c r="D46" s="141"/>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row>
    <row r="47" spans="1:67" s="166" customFormat="1">
      <c r="B47" s="48"/>
      <c r="C47" s="49"/>
      <c r="D47" s="141"/>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row>
    <row r="48" spans="1:67" s="166" customFormat="1">
      <c r="B48" s="48"/>
      <c r="C48" s="49"/>
      <c r="D48" s="141"/>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row>
    <row r="49" spans="2:67" s="166" customFormat="1">
      <c r="B49" s="48"/>
      <c r="C49" s="49"/>
      <c r="D49" s="141"/>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row>
    <row r="50" spans="2:67" s="166" customFormat="1">
      <c r="B50" s="48"/>
      <c r="C50" s="49"/>
      <c r="D50" s="141"/>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row>
    <row r="51" spans="2:67" s="166" customFormat="1">
      <c r="B51" s="48"/>
      <c r="C51" s="49"/>
      <c r="D51" s="141"/>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row>
    <row r="52" spans="2:67" s="166" customFormat="1">
      <c r="B52" s="48"/>
      <c r="C52" s="49"/>
      <c r="D52" s="141"/>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row>
    <row r="53" spans="2:67" s="166" customFormat="1">
      <c r="B53" s="48"/>
      <c r="C53" s="49"/>
      <c r="D53" s="141"/>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row>
    <row r="54" spans="2:67" s="166" customFormat="1">
      <c r="B54" s="48"/>
      <c r="C54" s="49"/>
      <c r="D54" s="141"/>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row>
    <row r="55" spans="2:67" s="166" customFormat="1">
      <c r="B55" s="48"/>
      <c r="C55" s="49"/>
      <c r="D55" s="141"/>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row>
    <row r="56" spans="2:67" s="166" customFormat="1">
      <c r="B56" s="48"/>
      <c r="C56" s="49"/>
      <c r="D56" s="141"/>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row>
    <row r="57" spans="2:67" s="166" customFormat="1">
      <c r="B57" s="48"/>
      <c r="C57" s="49"/>
      <c r="D57" s="141"/>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row>
    <row r="58" spans="2:67" s="166" customFormat="1">
      <c r="B58" s="48"/>
      <c r="C58" s="49"/>
      <c r="D58" s="141"/>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row>
    <row r="59" spans="2:67" s="166" customFormat="1">
      <c r="B59" s="48"/>
      <c r="C59" s="49"/>
      <c r="D59" s="141"/>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row>
    <row r="60" spans="2:67" s="166" customFormat="1">
      <c r="B60" s="48"/>
      <c r="C60" s="49"/>
      <c r="D60" s="141"/>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row>
  </sheetData>
  <autoFilter ref="B22:J33"/>
  <mergeCells count="9">
    <mergeCell ref="J15:J19"/>
    <mergeCell ref="E21:G21"/>
    <mergeCell ref="I21:J21"/>
    <mergeCell ref="B4:J4"/>
    <mergeCell ref="B5:J5"/>
    <mergeCell ref="B6:J6"/>
    <mergeCell ref="B8:J8"/>
    <mergeCell ref="J9:J11"/>
    <mergeCell ref="J12:J14"/>
  </mergeCells>
  <printOptions horizontalCentered="1"/>
  <pageMargins left="0.39370078740157483" right="0.39370078740157483" top="0.39370078740157483" bottom="0.39370078740157483" header="0" footer="0"/>
  <pageSetup paperSize="9" scale="56"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5"/>
  <sheetViews>
    <sheetView showGridLines="0" zoomScaleNormal="100" zoomScaleSheetLayoutView="100" workbookViewId="0">
      <selection activeCell="E6" sqref="E6:E7"/>
    </sheetView>
  </sheetViews>
  <sheetFormatPr defaultRowHeight="15"/>
  <cols>
    <col min="1" max="1" width="7.85546875" style="718" customWidth="1"/>
    <col min="2" max="2" width="49.140625" style="718" customWidth="1"/>
    <col min="3" max="3" width="10.7109375" style="718" customWidth="1"/>
    <col min="4" max="4" width="13.5703125" style="718" customWidth="1"/>
    <col min="5" max="5" width="13.42578125" style="718" customWidth="1"/>
    <col min="6" max="6" width="11.85546875" style="718" customWidth="1"/>
    <col min="7" max="7" width="14.28515625" style="718" customWidth="1"/>
    <col min="8" max="8" width="9.140625" style="439"/>
    <col min="9" max="9" width="20.42578125" style="439" customWidth="1"/>
    <col min="10" max="10" width="15.28515625" style="439" customWidth="1"/>
    <col min="11" max="11" width="6.7109375" style="439" customWidth="1"/>
    <col min="12" max="12" width="13.5703125" style="439" customWidth="1"/>
    <col min="13" max="256" width="9.140625" style="439"/>
    <col min="257" max="257" width="7.85546875" style="439" customWidth="1"/>
    <col min="258" max="258" width="56.7109375" style="439" customWidth="1"/>
    <col min="259" max="259" width="10.7109375" style="439" customWidth="1"/>
    <col min="260" max="260" width="13.5703125" style="439" customWidth="1"/>
    <col min="261" max="262" width="11.85546875" style="439" customWidth="1"/>
    <col min="263" max="263" width="13.140625" style="439" customWidth="1"/>
    <col min="264" max="264" width="9.140625" style="439"/>
    <col min="265" max="265" width="12.7109375" style="439" bestFit="1" customWidth="1"/>
    <col min="266" max="512" width="9.140625" style="439"/>
    <col min="513" max="513" width="7.85546875" style="439" customWidth="1"/>
    <col min="514" max="514" width="56.7109375" style="439" customWidth="1"/>
    <col min="515" max="515" width="10.7109375" style="439" customWidth="1"/>
    <col min="516" max="516" width="13.5703125" style="439" customWidth="1"/>
    <col min="517" max="518" width="11.85546875" style="439" customWidth="1"/>
    <col min="519" max="519" width="13.140625" style="439" customWidth="1"/>
    <col min="520" max="520" width="9.140625" style="439"/>
    <col min="521" max="521" width="12.7109375" style="439" bestFit="1" customWidth="1"/>
    <col min="522" max="768" width="9.140625" style="439"/>
    <col min="769" max="769" width="7.85546875" style="439" customWidth="1"/>
    <col min="770" max="770" width="56.7109375" style="439" customWidth="1"/>
    <col min="771" max="771" width="10.7109375" style="439" customWidth="1"/>
    <col min="772" max="772" width="13.5703125" style="439" customWidth="1"/>
    <col min="773" max="774" width="11.85546875" style="439" customWidth="1"/>
    <col min="775" max="775" width="13.140625" style="439" customWidth="1"/>
    <col min="776" max="776" width="9.140625" style="439"/>
    <col min="777" max="777" width="12.7109375" style="439" bestFit="1" customWidth="1"/>
    <col min="778" max="1024" width="9.140625" style="439"/>
    <col min="1025" max="1025" width="7.85546875" style="439" customWidth="1"/>
    <col min="1026" max="1026" width="56.7109375" style="439" customWidth="1"/>
    <col min="1027" max="1027" width="10.7109375" style="439" customWidth="1"/>
    <col min="1028" max="1028" width="13.5703125" style="439" customWidth="1"/>
    <col min="1029" max="1030" width="11.85546875" style="439" customWidth="1"/>
    <col min="1031" max="1031" width="13.140625" style="439" customWidth="1"/>
    <col min="1032" max="1032" width="9.140625" style="439"/>
    <col min="1033" max="1033" width="12.7109375" style="439" bestFit="1" customWidth="1"/>
    <col min="1034" max="1280" width="9.140625" style="439"/>
    <col min="1281" max="1281" width="7.85546875" style="439" customWidth="1"/>
    <col min="1282" max="1282" width="56.7109375" style="439" customWidth="1"/>
    <col min="1283" max="1283" width="10.7109375" style="439" customWidth="1"/>
    <col min="1284" max="1284" width="13.5703125" style="439" customWidth="1"/>
    <col min="1285" max="1286" width="11.85546875" style="439" customWidth="1"/>
    <col min="1287" max="1287" width="13.140625" style="439" customWidth="1"/>
    <col min="1288" max="1288" width="9.140625" style="439"/>
    <col min="1289" max="1289" width="12.7109375" style="439" bestFit="1" customWidth="1"/>
    <col min="1290" max="1536" width="9.140625" style="439"/>
    <col min="1537" max="1537" width="7.85546875" style="439" customWidth="1"/>
    <col min="1538" max="1538" width="56.7109375" style="439" customWidth="1"/>
    <col min="1539" max="1539" width="10.7109375" style="439" customWidth="1"/>
    <col min="1540" max="1540" width="13.5703125" style="439" customWidth="1"/>
    <col min="1541" max="1542" width="11.85546875" style="439" customWidth="1"/>
    <col min="1543" max="1543" width="13.140625" style="439" customWidth="1"/>
    <col min="1544" max="1544" width="9.140625" style="439"/>
    <col min="1545" max="1545" width="12.7109375" style="439" bestFit="1" customWidth="1"/>
    <col min="1546" max="1792" width="9.140625" style="439"/>
    <col min="1793" max="1793" width="7.85546875" style="439" customWidth="1"/>
    <col min="1794" max="1794" width="56.7109375" style="439" customWidth="1"/>
    <col min="1795" max="1795" width="10.7109375" style="439" customWidth="1"/>
    <col min="1796" max="1796" width="13.5703125" style="439" customWidth="1"/>
    <col min="1797" max="1798" width="11.85546875" style="439" customWidth="1"/>
    <col min="1799" max="1799" width="13.140625" style="439" customWidth="1"/>
    <col min="1800" max="1800" width="9.140625" style="439"/>
    <col min="1801" max="1801" width="12.7109375" style="439" bestFit="1" customWidth="1"/>
    <col min="1802" max="2048" width="9.140625" style="439"/>
    <col min="2049" max="2049" width="7.85546875" style="439" customWidth="1"/>
    <col min="2050" max="2050" width="56.7109375" style="439" customWidth="1"/>
    <col min="2051" max="2051" width="10.7109375" style="439" customWidth="1"/>
    <col min="2052" max="2052" width="13.5703125" style="439" customWidth="1"/>
    <col min="2053" max="2054" width="11.85546875" style="439" customWidth="1"/>
    <col min="2055" max="2055" width="13.140625" style="439" customWidth="1"/>
    <col min="2056" max="2056" width="9.140625" style="439"/>
    <col min="2057" max="2057" width="12.7109375" style="439" bestFit="1" customWidth="1"/>
    <col min="2058" max="2304" width="9.140625" style="439"/>
    <col min="2305" max="2305" width="7.85546875" style="439" customWidth="1"/>
    <col min="2306" max="2306" width="56.7109375" style="439" customWidth="1"/>
    <col min="2307" max="2307" width="10.7109375" style="439" customWidth="1"/>
    <col min="2308" max="2308" width="13.5703125" style="439" customWidth="1"/>
    <col min="2309" max="2310" width="11.85546875" style="439" customWidth="1"/>
    <col min="2311" max="2311" width="13.140625" style="439" customWidth="1"/>
    <col min="2312" max="2312" width="9.140625" style="439"/>
    <col min="2313" max="2313" width="12.7109375" style="439" bestFit="1" customWidth="1"/>
    <col min="2314" max="2560" width="9.140625" style="439"/>
    <col min="2561" max="2561" width="7.85546875" style="439" customWidth="1"/>
    <col min="2562" max="2562" width="56.7109375" style="439" customWidth="1"/>
    <col min="2563" max="2563" width="10.7109375" style="439" customWidth="1"/>
    <col min="2564" max="2564" width="13.5703125" style="439" customWidth="1"/>
    <col min="2565" max="2566" width="11.85546875" style="439" customWidth="1"/>
    <col min="2567" max="2567" width="13.140625" style="439" customWidth="1"/>
    <col min="2568" max="2568" width="9.140625" style="439"/>
    <col min="2569" max="2569" width="12.7109375" style="439" bestFit="1" customWidth="1"/>
    <col min="2570" max="2816" width="9.140625" style="439"/>
    <col min="2817" max="2817" width="7.85546875" style="439" customWidth="1"/>
    <col min="2818" max="2818" width="56.7109375" style="439" customWidth="1"/>
    <col min="2819" max="2819" width="10.7109375" style="439" customWidth="1"/>
    <col min="2820" max="2820" width="13.5703125" style="439" customWidth="1"/>
    <col min="2821" max="2822" width="11.85546875" style="439" customWidth="1"/>
    <col min="2823" max="2823" width="13.140625" style="439" customWidth="1"/>
    <col min="2824" max="2824" width="9.140625" style="439"/>
    <col min="2825" max="2825" width="12.7109375" style="439" bestFit="1" customWidth="1"/>
    <col min="2826" max="3072" width="9.140625" style="439"/>
    <col min="3073" max="3073" width="7.85546875" style="439" customWidth="1"/>
    <col min="3074" max="3074" width="56.7109375" style="439" customWidth="1"/>
    <col min="3075" max="3075" width="10.7109375" style="439" customWidth="1"/>
    <col min="3076" max="3076" width="13.5703125" style="439" customWidth="1"/>
    <col min="3077" max="3078" width="11.85546875" style="439" customWidth="1"/>
    <col min="3079" max="3079" width="13.140625" style="439" customWidth="1"/>
    <col min="3080" max="3080" width="9.140625" style="439"/>
    <col min="3081" max="3081" width="12.7109375" style="439" bestFit="1" customWidth="1"/>
    <col min="3082" max="3328" width="9.140625" style="439"/>
    <col min="3329" max="3329" width="7.85546875" style="439" customWidth="1"/>
    <col min="3330" max="3330" width="56.7109375" style="439" customWidth="1"/>
    <col min="3331" max="3331" width="10.7109375" style="439" customWidth="1"/>
    <col min="3332" max="3332" width="13.5703125" style="439" customWidth="1"/>
    <col min="3333" max="3334" width="11.85546875" style="439" customWidth="1"/>
    <col min="3335" max="3335" width="13.140625" style="439" customWidth="1"/>
    <col min="3336" max="3336" width="9.140625" style="439"/>
    <col min="3337" max="3337" width="12.7109375" style="439" bestFit="1" customWidth="1"/>
    <col min="3338" max="3584" width="9.140625" style="439"/>
    <col min="3585" max="3585" width="7.85546875" style="439" customWidth="1"/>
    <col min="3586" max="3586" width="56.7109375" style="439" customWidth="1"/>
    <col min="3587" max="3587" width="10.7109375" style="439" customWidth="1"/>
    <col min="3588" max="3588" width="13.5703125" style="439" customWidth="1"/>
    <col min="3589" max="3590" width="11.85546875" style="439" customWidth="1"/>
    <col min="3591" max="3591" width="13.140625" style="439" customWidth="1"/>
    <col min="3592" max="3592" width="9.140625" style="439"/>
    <col min="3593" max="3593" width="12.7109375" style="439" bestFit="1" customWidth="1"/>
    <col min="3594" max="3840" width="9.140625" style="439"/>
    <col min="3841" max="3841" width="7.85546875" style="439" customWidth="1"/>
    <col min="3842" max="3842" width="56.7109375" style="439" customWidth="1"/>
    <col min="3843" max="3843" width="10.7109375" style="439" customWidth="1"/>
    <col min="3844" max="3844" width="13.5703125" style="439" customWidth="1"/>
    <col min="3845" max="3846" width="11.85546875" style="439" customWidth="1"/>
    <col min="3847" max="3847" width="13.140625" style="439" customWidth="1"/>
    <col min="3848" max="3848" width="9.140625" style="439"/>
    <col min="3849" max="3849" width="12.7109375" style="439" bestFit="1" customWidth="1"/>
    <col min="3850" max="4096" width="9.140625" style="439"/>
    <col min="4097" max="4097" width="7.85546875" style="439" customWidth="1"/>
    <col min="4098" max="4098" width="56.7109375" style="439" customWidth="1"/>
    <col min="4099" max="4099" width="10.7109375" style="439" customWidth="1"/>
    <col min="4100" max="4100" width="13.5703125" style="439" customWidth="1"/>
    <col min="4101" max="4102" width="11.85546875" style="439" customWidth="1"/>
    <col min="4103" max="4103" width="13.140625" style="439" customWidth="1"/>
    <col min="4104" max="4104" width="9.140625" style="439"/>
    <col min="4105" max="4105" width="12.7109375" style="439" bestFit="1" customWidth="1"/>
    <col min="4106" max="4352" width="9.140625" style="439"/>
    <col min="4353" max="4353" width="7.85546875" style="439" customWidth="1"/>
    <col min="4354" max="4354" width="56.7109375" style="439" customWidth="1"/>
    <col min="4355" max="4355" width="10.7109375" style="439" customWidth="1"/>
    <col min="4356" max="4356" width="13.5703125" style="439" customWidth="1"/>
    <col min="4357" max="4358" width="11.85546875" style="439" customWidth="1"/>
    <col min="4359" max="4359" width="13.140625" style="439" customWidth="1"/>
    <col min="4360" max="4360" width="9.140625" style="439"/>
    <col min="4361" max="4361" width="12.7109375" style="439" bestFit="1" customWidth="1"/>
    <col min="4362" max="4608" width="9.140625" style="439"/>
    <col min="4609" max="4609" width="7.85546875" style="439" customWidth="1"/>
    <col min="4610" max="4610" width="56.7109375" style="439" customWidth="1"/>
    <col min="4611" max="4611" width="10.7109375" style="439" customWidth="1"/>
    <col min="4612" max="4612" width="13.5703125" style="439" customWidth="1"/>
    <col min="4613" max="4614" width="11.85546875" style="439" customWidth="1"/>
    <col min="4615" max="4615" width="13.140625" style="439" customWidth="1"/>
    <col min="4616" max="4616" width="9.140625" style="439"/>
    <col min="4617" max="4617" width="12.7109375" style="439" bestFit="1" customWidth="1"/>
    <col min="4618" max="4864" width="9.140625" style="439"/>
    <col min="4865" max="4865" width="7.85546875" style="439" customWidth="1"/>
    <col min="4866" max="4866" width="56.7109375" style="439" customWidth="1"/>
    <col min="4867" max="4867" width="10.7109375" style="439" customWidth="1"/>
    <col min="4868" max="4868" width="13.5703125" style="439" customWidth="1"/>
    <col min="4869" max="4870" width="11.85546875" style="439" customWidth="1"/>
    <col min="4871" max="4871" width="13.140625" style="439" customWidth="1"/>
    <col min="4872" max="4872" width="9.140625" style="439"/>
    <col min="4873" max="4873" width="12.7109375" style="439" bestFit="1" customWidth="1"/>
    <col min="4874" max="5120" width="9.140625" style="439"/>
    <col min="5121" max="5121" width="7.85546875" style="439" customWidth="1"/>
    <col min="5122" max="5122" width="56.7109375" style="439" customWidth="1"/>
    <col min="5123" max="5123" width="10.7109375" style="439" customWidth="1"/>
    <col min="5124" max="5124" width="13.5703125" style="439" customWidth="1"/>
    <col min="5125" max="5126" width="11.85546875" style="439" customWidth="1"/>
    <col min="5127" max="5127" width="13.140625" style="439" customWidth="1"/>
    <col min="5128" max="5128" width="9.140625" style="439"/>
    <col min="5129" max="5129" width="12.7109375" style="439" bestFit="1" customWidth="1"/>
    <col min="5130" max="5376" width="9.140625" style="439"/>
    <col min="5377" max="5377" width="7.85546875" style="439" customWidth="1"/>
    <col min="5378" max="5378" width="56.7109375" style="439" customWidth="1"/>
    <col min="5379" max="5379" width="10.7109375" style="439" customWidth="1"/>
    <col min="5380" max="5380" width="13.5703125" style="439" customWidth="1"/>
    <col min="5381" max="5382" width="11.85546875" style="439" customWidth="1"/>
    <col min="5383" max="5383" width="13.140625" style="439" customWidth="1"/>
    <col min="5384" max="5384" width="9.140625" style="439"/>
    <col min="5385" max="5385" width="12.7109375" style="439" bestFit="1" customWidth="1"/>
    <col min="5386" max="5632" width="9.140625" style="439"/>
    <col min="5633" max="5633" width="7.85546875" style="439" customWidth="1"/>
    <col min="5634" max="5634" width="56.7109375" style="439" customWidth="1"/>
    <col min="5635" max="5635" width="10.7109375" style="439" customWidth="1"/>
    <col min="5636" max="5636" width="13.5703125" style="439" customWidth="1"/>
    <col min="5637" max="5638" width="11.85546875" style="439" customWidth="1"/>
    <col min="5639" max="5639" width="13.140625" style="439" customWidth="1"/>
    <col min="5640" max="5640" width="9.140625" style="439"/>
    <col min="5641" max="5641" width="12.7109375" style="439" bestFit="1" customWidth="1"/>
    <col min="5642" max="5888" width="9.140625" style="439"/>
    <col min="5889" max="5889" width="7.85546875" style="439" customWidth="1"/>
    <col min="5890" max="5890" width="56.7109375" style="439" customWidth="1"/>
    <col min="5891" max="5891" width="10.7109375" style="439" customWidth="1"/>
    <col min="5892" max="5892" width="13.5703125" style="439" customWidth="1"/>
    <col min="5893" max="5894" width="11.85546875" style="439" customWidth="1"/>
    <col min="5895" max="5895" width="13.140625" style="439" customWidth="1"/>
    <col min="5896" max="5896" width="9.140625" style="439"/>
    <col min="5897" max="5897" width="12.7109375" style="439" bestFit="1" customWidth="1"/>
    <col min="5898" max="6144" width="9.140625" style="439"/>
    <col min="6145" max="6145" width="7.85546875" style="439" customWidth="1"/>
    <col min="6146" max="6146" width="56.7109375" style="439" customWidth="1"/>
    <col min="6147" max="6147" width="10.7109375" style="439" customWidth="1"/>
    <col min="6148" max="6148" width="13.5703125" style="439" customWidth="1"/>
    <col min="6149" max="6150" width="11.85546875" style="439" customWidth="1"/>
    <col min="6151" max="6151" width="13.140625" style="439" customWidth="1"/>
    <col min="6152" max="6152" width="9.140625" style="439"/>
    <col min="6153" max="6153" width="12.7109375" style="439" bestFit="1" customWidth="1"/>
    <col min="6154" max="6400" width="9.140625" style="439"/>
    <col min="6401" max="6401" width="7.85546875" style="439" customWidth="1"/>
    <col min="6402" max="6402" width="56.7109375" style="439" customWidth="1"/>
    <col min="6403" max="6403" width="10.7109375" style="439" customWidth="1"/>
    <col min="6404" max="6404" width="13.5703125" style="439" customWidth="1"/>
    <col min="6405" max="6406" width="11.85546875" style="439" customWidth="1"/>
    <col min="6407" max="6407" width="13.140625" style="439" customWidth="1"/>
    <col min="6408" max="6408" width="9.140625" style="439"/>
    <col min="6409" max="6409" width="12.7109375" style="439" bestFit="1" customWidth="1"/>
    <col min="6410" max="6656" width="9.140625" style="439"/>
    <col min="6657" max="6657" width="7.85546875" style="439" customWidth="1"/>
    <col min="6658" max="6658" width="56.7109375" style="439" customWidth="1"/>
    <col min="6659" max="6659" width="10.7109375" style="439" customWidth="1"/>
    <col min="6660" max="6660" width="13.5703125" style="439" customWidth="1"/>
    <col min="6661" max="6662" width="11.85546875" style="439" customWidth="1"/>
    <col min="6663" max="6663" width="13.140625" style="439" customWidth="1"/>
    <col min="6664" max="6664" width="9.140625" style="439"/>
    <col min="6665" max="6665" width="12.7109375" style="439" bestFit="1" customWidth="1"/>
    <col min="6666" max="6912" width="9.140625" style="439"/>
    <col min="6913" max="6913" width="7.85546875" style="439" customWidth="1"/>
    <col min="6914" max="6914" width="56.7109375" style="439" customWidth="1"/>
    <col min="6915" max="6915" width="10.7109375" style="439" customWidth="1"/>
    <col min="6916" max="6916" width="13.5703125" style="439" customWidth="1"/>
    <col min="6917" max="6918" width="11.85546875" style="439" customWidth="1"/>
    <col min="6919" max="6919" width="13.140625" style="439" customWidth="1"/>
    <col min="6920" max="6920" width="9.140625" style="439"/>
    <col min="6921" max="6921" width="12.7109375" style="439" bestFit="1" customWidth="1"/>
    <col min="6922" max="7168" width="9.140625" style="439"/>
    <col min="7169" max="7169" width="7.85546875" style="439" customWidth="1"/>
    <col min="7170" max="7170" width="56.7109375" style="439" customWidth="1"/>
    <col min="7171" max="7171" width="10.7109375" style="439" customWidth="1"/>
    <col min="7172" max="7172" width="13.5703125" style="439" customWidth="1"/>
    <col min="7173" max="7174" width="11.85546875" style="439" customWidth="1"/>
    <col min="7175" max="7175" width="13.140625" style="439" customWidth="1"/>
    <col min="7176" max="7176" width="9.140625" style="439"/>
    <col min="7177" max="7177" width="12.7109375" style="439" bestFit="1" customWidth="1"/>
    <col min="7178" max="7424" width="9.140625" style="439"/>
    <col min="7425" max="7425" width="7.85546875" style="439" customWidth="1"/>
    <col min="7426" max="7426" width="56.7109375" style="439" customWidth="1"/>
    <col min="7427" max="7427" width="10.7109375" style="439" customWidth="1"/>
    <col min="7428" max="7428" width="13.5703125" style="439" customWidth="1"/>
    <col min="7429" max="7430" width="11.85546875" style="439" customWidth="1"/>
    <col min="7431" max="7431" width="13.140625" style="439" customWidth="1"/>
    <col min="7432" max="7432" width="9.140625" style="439"/>
    <col min="7433" max="7433" width="12.7109375" style="439" bestFit="1" customWidth="1"/>
    <col min="7434" max="7680" width="9.140625" style="439"/>
    <col min="7681" max="7681" width="7.85546875" style="439" customWidth="1"/>
    <col min="7682" max="7682" width="56.7109375" style="439" customWidth="1"/>
    <col min="7683" max="7683" width="10.7109375" style="439" customWidth="1"/>
    <col min="7684" max="7684" width="13.5703125" style="439" customWidth="1"/>
    <col min="7685" max="7686" width="11.85546875" style="439" customWidth="1"/>
    <col min="7687" max="7687" width="13.140625" style="439" customWidth="1"/>
    <col min="7688" max="7688" width="9.140625" style="439"/>
    <col min="7689" max="7689" width="12.7109375" style="439" bestFit="1" customWidth="1"/>
    <col min="7690" max="7936" width="9.140625" style="439"/>
    <col min="7937" max="7937" width="7.85546875" style="439" customWidth="1"/>
    <col min="7938" max="7938" width="56.7109375" style="439" customWidth="1"/>
    <col min="7939" max="7939" width="10.7109375" style="439" customWidth="1"/>
    <col min="7940" max="7940" width="13.5703125" style="439" customWidth="1"/>
    <col min="7941" max="7942" width="11.85546875" style="439" customWidth="1"/>
    <col min="7943" max="7943" width="13.140625" style="439" customWidth="1"/>
    <col min="7944" max="7944" width="9.140625" style="439"/>
    <col min="7945" max="7945" width="12.7109375" style="439" bestFit="1" customWidth="1"/>
    <col min="7946" max="8192" width="9.140625" style="439"/>
    <col min="8193" max="8193" width="7.85546875" style="439" customWidth="1"/>
    <col min="8194" max="8194" width="56.7109375" style="439" customWidth="1"/>
    <col min="8195" max="8195" width="10.7109375" style="439" customWidth="1"/>
    <col min="8196" max="8196" width="13.5703125" style="439" customWidth="1"/>
    <col min="8197" max="8198" width="11.85546875" style="439" customWidth="1"/>
    <col min="8199" max="8199" width="13.140625" style="439" customWidth="1"/>
    <col min="8200" max="8200" width="9.140625" style="439"/>
    <col min="8201" max="8201" width="12.7109375" style="439" bestFit="1" customWidth="1"/>
    <col min="8202" max="8448" width="9.140625" style="439"/>
    <col min="8449" max="8449" width="7.85546875" style="439" customWidth="1"/>
    <col min="8450" max="8450" width="56.7109375" style="439" customWidth="1"/>
    <col min="8451" max="8451" width="10.7109375" style="439" customWidth="1"/>
    <col min="8452" max="8452" width="13.5703125" style="439" customWidth="1"/>
    <col min="8453" max="8454" width="11.85546875" style="439" customWidth="1"/>
    <col min="8455" max="8455" width="13.140625" style="439" customWidth="1"/>
    <col min="8456" max="8456" width="9.140625" style="439"/>
    <col min="8457" max="8457" width="12.7109375" style="439" bestFit="1" customWidth="1"/>
    <col min="8458" max="8704" width="9.140625" style="439"/>
    <col min="8705" max="8705" width="7.85546875" style="439" customWidth="1"/>
    <col min="8706" max="8706" width="56.7109375" style="439" customWidth="1"/>
    <col min="8707" max="8707" width="10.7109375" style="439" customWidth="1"/>
    <col min="8708" max="8708" width="13.5703125" style="439" customWidth="1"/>
    <col min="8709" max="8710" width="11.85546875" style="439" customWidth="1"/>
    <col min="8711" max="8711" width="13.140625" style="439" customWidth="1"/>
    <col min="8712" max="8712" width="9.140625" style="439"/>
    <col min="8713" max="8713" width="12.7109375" style="439" bestFit="1" customWidth="1"/>
    <col min="8714" max="8960" width="9.140625" style="439"/>
    <col min="8961" max="8961" width="7.85546875" style="439" customWidth="1"/>
    <col min="8962" max="8962" width="56.7109375" style="439" customWidth="1"/>
    <col min="8963" max="8963" width="10.7109375" style="439" customWidth="1"/>
    <col min="8964" max="8964" width="13.5703125" style="439" customWidth="1"/>
    <col min="8965" max="8966" width="11.85546875" style="439" customWidth="1"/>
    <col min="8967" max="8967" width="13.140625" style="439" customWidth="1"/>
    <col min="8968" max="8968" width="9.140625" style="439"/>
    <col min="8969" max="8969" width="12.7109375" style="439" bestFit="1" customWidth="1"/>
    <col min="8970" max="9216" width="9.140625" style="439"/>
    <col min="9217" max="9217" width="7.85546875" style="439" customWidth="1"/>
    <col min="9218" max="9218" width="56.7109375" style="439" customWidth="1"/>
    <col min="9219" max="9219" width="10.7109375" style="439" customWidth="1"/>
    <col min="9220" max="9220" width="13.5703125" style="439" customWidth="1"/>
    <col min="9221" max="9222" width="11.85546875" style="439" customWidth="1"/>
    <col min="9223" max="9223" width="13.140625" style="439" customWidth="1"/>
    <col min="9224" max="9224" width="9.140625" style="439"/>
    <col min="9225" max="9225" width="12.7109375" style="439" bestFit="1" customWidth="1"/>
    <col min="9226" max="9472" width="9.140625" style="439"/>
    <col min="9473" max="9473" width="7.85546875" style="439" customWidth="1"/>
    <col min="9474" max="9474" width="56.7109375" style="439" customWidth="1"/>
    <col min="9475" max="9475" width="10.7109375" style="439" customWidth="1"/>
    <col min="9476" max="9476" width="13.5703125" style="439" customWidth="1"/>
    <col min="9477" max="9478" width="11.85546875" style="439" customWidth="1"/>
    <col min="9479" max="9479" width="13.140625" style="439" customWidth="1"/>
    <col min="9480" max="9480" width="9.140625" style="439"/>
    <col min="9481" max="9481" width="12.7109375" style="439" bestFit="1" customWidth="1"/>
    <col min="9482" max="9728" width="9.140625" style="439"/>
    <col min="9729" max="9729" width="7.85546875" style="439" customWidth="1"/>
    <col min="9730" max="9730" width="56.7109375" style="439" customWidth="1"/>
    <col min="9731" max="9731" width="10.7109375" style="439" customWidth="1"/>
    <col min="9732" max="9732" width="13.5703125" style="439" customWidth="1"/>
    <col min="9733" max="9734" width="11.85546875" style="439" customWidth="1"/>
    <col min="9735" max="9735" width="13.140625" style="439" customWidth="1"/>
    <col min="9736" max="9736" width="9.140625" style="439"/>
    <col min="9737" max="9737" width="12.7109375" style="439" bestFit="1" customWidth="1"/>
    <col min="9738" max="9984" width="9.140625" style="439"/>
    <col min="9985" max="9985" width="7.85546875" style="439" customWidth="1"/>
    <col min="9986" max="9986" width="56.7109375" style="439" customWidth="1"/>
    <col min="9987" max="9987" width="10.7109375" style="439" customWidth="1"/>
    <col min="9988" max="9988" width="13.5703125" style="439" customWidth="1"/>
    <col min="9989" max="9990" width="11.85546875" style="439" customWidth="1"/>
    <col min="9991" max="9991" width="13.140625" style="439" customWidth="1"/>
    <col min="9992" max="9992" width="9.140625" style="439"/>
    <col min="9993" max="9993" width="12.7109375" style="439" bestFit="1" customWidth="1"/>
    <col min="9994" max="10240" width="9.140625" style="439"/>
    <col min="10241" max="10241" width="7.85546875" style="439" customWidth="1"/>
    <col min="10242" max="10242" width="56.7109375" style="439" customWidth="1"/>
    <col min="10243" max="10243" width="10.7109375" style="439" customWidth="1"/>
    <col min="10244" max="10244" width="13.5703125" style="439" customWidth="1"/>
    <col min="10245" max="10246" width="11.85546875" style="439" customWidth="1"/>
    <col min="10247" max="10247" width="13.140625" style="439" customWidth="1"/>
    <col min="10248" max="10248" width="9.140625" style="439"/>
    <col min="10249" max="10249" width="12.7109375" style="439" bestFit="1" customWidth="1"/>
    <col min="10250" max="10496" width="9.140625" style="439"/>
    <col min="10497" max="10497" width="7.85546875" style="439" customWidth="1"/>
    <col min="10498" max="10498" width="56.7109375" style="439" customWidth="1"/>
    <col min="10499" max="10499" width="10.7109375" style="439" customWidth="1"/>
    <col min="10500" max="10500" width="13.5703125" style="439" customWidth="1"/>
    <col min="10501" max="10502" width="11.85546875" style="439" customWidth="1"/>
    <col min="10503" max="10503" width="13.140625" style="439" customWidth="1"/>
    <col min="10504" max="10504" width="9.140625" style="439"/>
    <col min="10505" max="10505" width="12.7109375" style="439" bestFit="1" customWidth="1"/>
    <col min="10506" max="10752" width="9.140625" style="439"/>
    <col min="10753" max="10753" width="7.85546875" style="439" customWidth="1"/>
    <col min="10754" max="10754" width="56.7109375" style="439" customWidth="1"/>
    <col min="10755" max="10755" width="10.7109375" style="439" customWidth="1"/>
    <col min="10756" max="10756" width="13.5703125" style="439" customWidth="1"/>
    <col min="10757" max="10758" width="11.85546875" style="439" customWidth="1"/>
    <col min="10759" max="10759" width="13.140625" style="439" customWidth="1"/>
    <col min="10760" max="10760" width="9.140625" style="439"/>
    <col min="10761" max="10761" width="12.7109375" style="439" bestFit="1" customWidth="1"/>
    <col min="10762" max="11008" width="9.140625" style="439"/>
    <col min="11009" max="11009" width="7.85546875" style="439" customWidth="1"/>
    <col min="11010" max="11010" width="56.7109375" style="439" customWidth="1"/>
    <col min="11011" max="11011" width="10.7109375" style="439" customWidth="1"/>
    <col min="11012" max="11012" width="13.5703125" style="439" customWidth="1"/>
    <col min="11013" max="11014" width="11.85546875" style="439" customWidth="1"/>
    <col min="11015" max="11015" width="13.140625" style="439" customWidth="1"/>
    <col min="11016" max="11016" width="9.140625" style="439"/>
    <col min="11017" max="11017" width="12.7109375" style="439" bestFit="1" customWidth="1"/>
    <col min="11018" max="11264" width="9.140625" style="439"/>
    <col min="11265" max="11265" width="7.85546875" style="439" customWidth="1"/>
    <col min="11266" max="11266" width="56.7109375" style="439" customWidth="1"/>
    <col min="11267" max="11267" width="10.7109375" style="439" customWidth="1"/>
    <col min="11268" max="11268" width="13.5703125" style="439" customWidth="1"/>
    <col min="11269" max="11270" width="11.85546875" style="439" customWidth="1"/>
    <col min="11271" max="11271" width="13.140625" style="439" customWidth="1"/>
    <col min="11272" max="11272" width="9.140625" style="439"/>
    <col min="11273" max="11273" width="12.7109375" style="439" bestFit="1" customWidth="1"/>
    <col min="11274" max="11520" width="9.140625" style="439"/>
    <col min="11521" max="11521" width="7.85546875" style="439" customWidth="1"/>
    <col min="11522" max="11522" width="56.7109375" style="439" customWidth="1"/>
    <col min="11523" max="11523" width="10.7109375" style="439" customWidth="1"/>
    <col min="11524" max="11524" width="13.5703125" style="439" customWidth="1"/>
    <col min="11525" max="11526" width="11.85546875" style="439" customWidth="1"/>
    <col min="11527" max="11527" width="13.140625" style="439" customWidth="1"/>
    <col min="11528" max="11528" width="9.140625" style="439"/>
    <col min="11529" max="11529" width="12.7109375" style="439" bestFit="1" customWidth="1"/>
    <col min="11530" max="11776" width="9.140625" style="439"/>
    <col min="11777" max="11777" width="7.85546875" style="439" customWidth="1"/>
    <col min="11778" max="11778" width="56.7109375" style="439" customWidth="1"/>
    <col min="11779" max="11779" width="10.7109375" style="439" customWidth="1"/>
    <col min="11780" max="11780" width="13.5703125" style="439" customWidth="1"/>
    <col min="11781" max="11782" width="11.85546875" style="439" customWidth="1"/>
    <col min="11783" max="11783" width="13.140625" style="439" customWidth="1"/>
    <col min="11784" max="11784" width="9.140625" style="439"/>
    <col min="11785" max="11785" width="12.7109375" style="439" bestFit="1" customWidth="1"/>
    <col min="11786" max="12032" width="9.140625" style="439"/>
    <col min="12033" max="12033" width="7.85546875" style="439" customWidth="1"/>
    <col min="12034" max="12034" width="56.7109375" style="439" customWidth="1"/>
    <col min="12035" max="12035" width="10.7109375" style="439" customWidth="1"/>
    <col min="12036" max="12036" width="13.5703125" style="439" customWidth="1"/>
    <col min="12037" max="12038" width="11.85546875" style="439" customWidth="1"/>
    <col min="12039" max="12039" width="13.140625" style="439" customWidth="1"/>
    <col min="12040" max="12040" width="9.140625" style="439"/>
    <col min="12041" max="12041" width="12.7109375" style="439" bestFit="1" customWidth="1"/>
    <col min="12042" max="12288" width="9.140625" style="439"/>
    <col min="12289" max="12289" width="7.85546875" style="439" customWidth="1"/>
    <col min="12290" max="12290" width="56.7109375" style="439" customWidth="1"/>
    <col min="12291" max="12291" width="10.7109375" style="439" customWidth="1"/>
    <col min="12292" max="12292" width="13.5703125" style="439" customWidth="1"/>
    <col min="12293" max="12294" width="11.85546875" style="439" customWidth="1"/>
    <col min="12295" max="12295" width="13.140625" style="439" customWidth="1"/>
    <col min="12296" max="12296" width="9.140625" style="439"/>
    <col min="12297" max="12297" width="12.7109375" style="439" bestFit="1" customWidth="1"/>
    <col min="12298" max="12544" width="9.140625" style="439"/>
    <col min="12545" max="12545" width="7.85546875" style="439" customWidth="1"/>
    <col min="12546" max="12546" width="56.7109375" style="439" customWidth="1"/>
    <col min="12547" max="12547" width="10.7109375" style="439" customWidth="1"/>
    <col min="12548" max="12548" width="13.5703125" style="439" customWidth="1"/>
    <col min="12549" max="12550" width="11.85546875" style="439" customWidth="1"/>
    <col min="12551" max="12551" width="13.140625" style="439" customWidth="1"/>
    <col min="12552" max="12552" width="9.140625" style="439"/>
    <col min="12553" max="12553" width="12.7109375" style="439" bestFit="1" customWidth="1"/>
    <col min="12554" max="12800" width="9.140625" style="439"/>
    <col min="12801" max="12801" width="7.85546875" style="439" customWidth="1"/>
    <col min="12802" max="12802" width="56.7109375" style="439" customWidth="1"/>
    <col min="12803" max="12803" width="10.7109375" style="439" customWidth="1"/>
    <col min="12804" max="12804" width="13.5703125" style="439" customWidth="1"/>
    <col min="12805" max="12806" width="11.85546875" style="439" customWidth="1"/>
    <col min="12807" max="12807" width="13.140625" style="439" customWidth="1"/>
    <col min="12808" max="12808" width="9.140625" style="439"/>
    <col min="12809" max="12809" width="12.7109375" style="439" bestFit="1" customWidth="1"/>
    <col min="12810" max="13056" width="9.140625" style="439"/>
    <col min="13057" max="13057" width="7.85546875" style="439" customWidth="1"/>
    <col min="13058" max="13058" width="56.7109375" style="439" customWidth="1"/>
    <col min="13059" max="13059" width="10.7109375" style="439" customWidth="1"/>
    <col min="13060" max="13060" width="13.5703125" style="439" customWidth="1"/>
    <col min="13061" max="13062" width="11.85546875" style="439" customWidth="1"/>
    <col min="13063" max="13063" width="13.140625" style="439" customWidth="1"/>
    <col min="13064" max="13064" width="9.140625" style="439"/>
    <col min="13065" max="13065" width="12.7109375" style="439" bestFit="1" customWidth="1"/>
    <col min="13066" max="13312" width="9.140625" style="439"/>
    <col min="13313" max="13313" width="7.85546875" style="439" customWidth="1"/>
    <col min="13314" max="13314" width="56.7109375" style="439" customWidth="1"/>
    <col min="13315" max="13315" width="10.7109375" style="439" customWidth="1"/>
    <col min="13316" max="13316" width="13.5703125" style="439" customWidth="1"/>
    <col min="13317" max="13318" width="11.85546875" style="439" customWidth="1"/>
    <col min="13319" max="13319" width="13.140625" style="439" customWidth="1"/>
    <col min="13320" max="13320" width="9.140625" style="439"/>
    <col min="13321" max="13321" width="12.7109375" style="439" bestFit="1" customWidth="1"/>
    <col min="13322" max="13568" width="9.140625" style="439"/>
    <col min="13569" max="13569" width="7.85546875" style="439" customWidth="1"/>
    <col min="13570" max="13570" width="56.7109375" style="439" customWidth="1"/>
    <col min="13571" max="13571" width="10.7109375" style="439" customWidth="1"/>
    <col min="13572" max="13572" width="13.5703125" style="439" customWidth="1"/>
    <col min="13573" max="13574" width="11.85546875" style="439" customWidth="1"/>
    <col min="13575" max="13575" width="13.140625" style="439" customWidth="1"/>
    <col min="13576" max="13576" width="9.140625" style="439"/>
    <col min="13577" max="13577" width="12.7109375" style="439" bestFit="1" customWidth="1"/>
    <col min="13578" max="13824" width="9.140625" style="439"/>
    <col min="13825" max="13825" width="7.85546875" style="439" customWidth="1"/>
    <col min="13826" max="13826" width="56.7109375" style="439" customWidth="1"/>
    <col min="13827" max="13827" width="10.7109375" style="439" customWidth="1"/>
    <col min="13828" max="13828" width="13.5703125" style="439" customWidth="1"/>
    <col min="13829" max="13830" width="11.85546875" style="439" customWidth="1"/>
    <col min="13831" max="13831" width="13.140625" style="439" customWidth="1"/>
    <col min="13832" max="13832" width="9.140625" style="439"/>
    <col min="13833" max="13833" width="12.7109375" style="439" bestFit="1" customWidth="1"/>
    <col min="13834" max="14080" width="9.140625" style="439"/>
    <col min="14081" max="14081" width="7.85546875" style="439" customWidth="1"/>
    <col min="14082" max="14082" width="56.7109375" style="439" customWidth="1"/>
    <col min="14083" max="14083" width="10.7109375" style="439" customWidth="1"/>
    <col min="14084" max="14084" width="13.5703125" style="439" customWidth="1"/>
    <col min="14085" max="14086" width="11.85546875" style="439" customWidth="1"/>
    <col min="14087" max="14087" width="13.140625" style="439" customWidth="1"/>
    <col min="14088" max="14088" width="9.140625" style="439"/>
    <col min="14089" max="14089" width="12.7109375" style="439" bestFit="1" customWidth="1"/>
    <col min="14090" max="14336" width="9.140625" style="439"/>
    <col min="14337" max="14337" width="7.85546875" style="439" customWidth="1"/>
    <col min="14338" max="14338" width="56.7109375" style="439" customWidth="1"/>
    <col min="14339" max="14339" width="10.7109375" style="439" customWidth="1"/>
    <col min="14340" max="14340" width="13.5703125" style="439" customWidth="1"/>
    <col min="14341" max="14342" width="11.85546875" style="439" customWidth="1"/>
    <col min="14343" max="14343" width="13.140625" style="439" customWidth="1"/>
    <col min="14344" max="14344" width="9.140625" style="439"/>
    <col min="14345" max="14345" width="12.7109375" style="439" bestFit="1" customWidth="1"/>
    <col min="14346" max="14592" width="9.140625" style="439"/>
    <col min="14593" max="14593" width="7.85546875" style="439" customWidth="1"/>
    <col min="14594" max="14594" width="56.7109375" style="439" customWidth="1"/>
    <col min="14595" max="14595" width="10.7109375" style="439" customWidth="1"/>
    <col min="14596" max="14596" width="13.5703125" style="439" customWidth="1"/>
    <col min="14597" max="14598" width="11.85546875" style="439" customWidth="1"/>
    <col min="14599" max="14599" width="13.140625" style="439" customWidth="1"/>
    <col min="14600" max="14600" width="9.140625" style="439"/>
    <col min="14601" max="14601" width="12.7109375" style="439" bestFit="1" customWidth="1"/>
    <col min="14602" max="14848" width="9.140625" style="439"/>
    <col min="14849" max="14849" width="7.85546875" style="439" customWidth="1"/>
    <col min="14850" max="14850" width="56.7109375" style="439" customWidth="1"/>
    <col min="14851" max="14851" width="10.7109375" style="439" customWidth="1"/>
    <col min="14852" max="14852" width="13.5703125" style="439" customWidth="1"/>
    <col min="14853" max="14854" width="11.85546875" style="439" customWidth="1"/>
    <col min="14855" max="14855" width="13.140625" style="439" customWidth="1"/>
    <col min="14856" max="14856" width="9.140625" style="439"/>
    <col min="14857" max="14857" width="12.7109375" style="439" bestFit="1" customWidth="1"/>
    <col min="14858" max="15104" width="9.140625" style="439"/>
    <col min="15105" max="15105" width="7.85546875" style="439" customWidth="1"/>
    <col min="15106" max="15106" width="56.7109375" style="439" customWidth="1"/>
    <col min="15107" max="15107" width="10.7109375" style="439" customWidth="1"/>
    <col min="15108" max="15108" width="13.5703125" style="439" customWidth="1"/>
    <col min="15109" max="15110" width="11.85546875" style="439" customWidth="1"/>
    <col min="15111" max="15111" width="13.140625" style="439" customWidth="1"/>
    <col min="15112" max="15112" width="9.140625" style="439"/>
    <col min="15113" max="15113" width="12.7109375" style="439" bestFit="1" customWidth="1"/>
    <col min="15114" max="15360" width="9.140625" style="439"/>
    <col min="15361" max="15361" width="7.85546875" style="439" customWidth="1"/>
    <col min="15362" max="15362" width="56.7109375" style="439" customWidth="1"/>
    <col min="15363" max="15363" width="10.7109375" style="439" customWidth="1"/>
    <col min="15364" max="15364" width="13.5703125" style="439" customWidth="1"/>
    <col min="15365" max="15366" width="11.85546875" style="439" customWidth="1"/>
    <col min="15367" max="15367" width="13.140625" style="439" customWidth="1"/>
    <col min="15368" max="15368" width="9.140625" style="439"/>
    <col min="15369" max="15369" width="12.7109375" style="439" bestFit="1" customWidth="1"/>
    <col min="15370" max="15616" width="9.140625" style="439"/>
    <col min="15617" max="15617" width="7.85546875" style="439" customWidth="1"/>
    <col min="15618" max="15618" width="56.7109375" style="439" customWidth="1"/>
    <col min="15619" max="15619" width="10.7109375" style="439" customWidth="1"/>
    <col min="15620" max="15620" width="13.5703125" style="439" customWidth="1"/>
    <col min="15621" max="15622" width="11.85546875" style="439" customWidth="1"/>
    <col min="15623" max="15623" width="13.140625" style="439" customWidth="1"/>
    <col min="15624" max="15624" width="9.140625" style="439"/>
    <col min="15625" max="15625" width="12.7109375" style="439" bestFit="1" customWidth="1"/>
    <col min="15626" max="15872" width="9.140625" style="439"/>
    <col min="15873" max="15873" width="7.85546875" style="439" customWidth="1"/>
    <col min="15874" max="15874" width="56.7109375" style="439" customWidth="1"/>
    <col min="15875" max="15875" width="10.7109375" style="439" customWidth="1"/>
    <col min="15876" max="15876" width="13.5703125" style="439" customWidth="1"/>
    <col min="15877" max="15878" width="11.85546875" style="439" customWidth="1"/>
    <col min="15879" max="15879" width="13.140625" style="439" customWidth="1"/>
    <col min="15880" max="15880" width="9.140625" style="439"/>
    <col min="15881" max="15881" width="12.7109375" style="439" bestFit="1" customWidth="1"/>
    <col min="15882" max="16128" width="9.140625" style="439"/>
    <col min="16129" max="16129" width="7.85546875" style="439" customWidth="1"/>
    <col min="16130" max="16130" width="56.7109375" style="439" customWidth="1"/>
    <col min="16131" max="16131" width="10.7109375" style="439" customWidth="1"/>
    <col min="16132" max="16132" width="13.5703125" style="439" customWidth="1"/>
    <col min="16133" max="16134" width="11.85546875" style="439" customWidth="1"/>
    <col min="16135" max="16135" width="13.140625" style="439" customWidth="1"/>
    <col min="16136" max="16136" width="9.140625" style="439"/>
    <col min="16137" max="16137" width="12.7109375" style="439" bestFit="1" customWidth="1"/>
    <col min="16138" max="16384" width="9.140625" style="439"/>
  </cols>
  <sheetData>
    <row r="1" spans="1:10">
      <c r="A1" s="1058" t="s">
        <v>3527</v>
      </c>
      <c r="B1" s="1058"/>
      <c r="C1" s="1058"/>
      <c r="D1" s="1058"/>
      <c r="E1" s="1058"/>
      <c r="F1" s="1058"/>
      <c r="G1" s="1058"/>
    </row>
    <row r="2" spans="1:10">
      <c r="A2" s="1059" t="s">
        <v>3528</v>
      </c>
      <c r="B2" s="1059"/>
      <c r="C2" s="1059"/>
      <c r="D2" s="1059"/>
      <c r="E2" s="1059"/>
      <c r="F2" s="1059"/>
      <c r="G2" s="1059"/>
      <c r="H2" s="716"/>
    </row>
    <row r="3" spans="1:10" ht="14.25">
      <c r="A3" s="717"/>
      <c r="B3" s="717"/>
      <c r="C3" s="717"/>
      <c r="D3" s="717"/>
      <c r="E3" s="717"/>
      <c r="F3" s="717"/>
      <c r="G3" s="717"/>
      <c r="J3" s="712"/>
    </row>
    <row r="4" spans="1:10" ht="15" customHeight="1">
      <c r="A4" s="1062" t="s">
        <v>3529</v>
      </c>
      <c r="B4" s="1062"/>
      <c r="C4" s="1062"/>
      <c r="D4" s="1062"/>
      <c r="E4" s="1062"/>
      <c r="F4" s="1062"/>
      <c r="G4" s="1062"/>
    </row>
    <row r="5" spans="1:10" ht="11.25" customHeight="1">
      <c r="A5" s="948"/>
      <c r="B5" s="948"/>
      <c r="C5" s="948"/>
      <c r="D5" s="948"/>
      <c r="E5" s="948"/>
      <c r="F5" s="948"/>
      <c r="G5" s="948"/>
    </row>
    <row r="6" spans="1:10" ht="15.75">
      <c r="A6" s="948"/>
      <c r="B6" s="948"/>
      <c r="C6" s="948"/>
      <c r="D6" s="948"/>
      <c r="E6" s="1063" t="s">
        <v>3309</v>
      </c>
      <c r="F6" s="951" t="s">
        <v>3526</v>
      </c>
      <c r="G6" s="963">
        <v>0.2462</v>
      </c>
      <c r="J6" s="956"/>
    </row>
    <row r="7" spans="1:10" ht="15.75">
      <c r="A7" s="948"/>
      <c r="B7" s="948"/>
      <c r="C7" s="948"/>
      <c r="D7" s="948"/>
      <c r="E7" s="1063"/>
      <c r="F7" s="964" t="s">
        <v>3454</v>
      </c>
      <c r="G7" s="963">
        <v>0.15279999999999999</v>
      </c>
      <c r="J7" s="956"/>
    </row>
    <row r="8" spans="1:10" ht="10.5" customHeight="1">
      <c r="D8" s="719"/>
    </row>
    <row r="9" spans="1:10" ht="12.75">
      <c r="A9" s="1060" t="s">
        <v>0</v>
      </c>
      <c r="B9" s="1060" t="s">
        <v>1489</v>
      </c>
      <c r="C9" s="1060" t="s">
        <v>3246</v>
      </c>
      <c r="D9" s="1060" t="s">
        <v>3247</v>
      </c>
      <c r="E9" s="1060" t="s">
        <v>3530</v>
      </c>
      <c r="F9" s="1060"/>
      <c r="G9" s="1061"/>
    </row>
    <row r="10" spans="1:10" ht="12.75">
      <c r="A10" s="1060"/>
      <c r="B10" s="1060"/>
      <c r="C10" s="1060"/>
      <c r="D10" s="1060"/>
      <c r="E10" s="720" t="s">
        <v>3531</v>
      </c>
      <c r="F10" s="720" t="s">
        <v>3309</v>
      </c>
      <c r="G10" s="720" t="s">
        <v>3532</v>
      </c>
    </row>
    <row r="11" spans="1:10" ht="12.75">
      <c r="A11" s="721"/>
      <c r="B11" s="722" t="s">
        <v>3533</v>
      </c>
      <c r="C11" s="721"/>
      <c r="D11" s="721"/>
      <c r="E11" s="722"/>
      <c r="F11" s="722"/>
      <c r="G11" s="722"/>
    </row>
    <row r="12" spans="1:10" ht="12.75">
      <c r="A12" s="721"/>
      <c r="B12" s="722"/>
      <c r="C12" s="721"/>
      <c r="D12" s="721"/>
      <c r="E12" s="722"/>
      <c r="F12" s="722"/>
      <c r="G12" s="722"/>
    </row>
    <row r="13" spans="1:10" ht="12.75">
      <c r="A13" s="780" t="s">
        <v>3750</v>
      </c>
      <c r="B13" s="725" t="s">
        <v>1460</v>
      </c>
      <c r="C13" s="726"/>
      <c r="D13" s="727"/>
      <c r="E13" s="723">
        <f>E14+E15</f>
        <v>3137232.8867757129</v>
      </c>
      <c r="F13" s="729"/>
      <c r="G13" s="723">
        <f>G14+G15</f>
        <v>3909619.6234998936</v>
      </c>
    </row>
    <row r="14" spans="1:10" ht="12.75">
      <c r="A14" s="724" t="s">
        <v>3739</v>
      </c>
      <c r="B14" s="737" t="s">
        <v>1400</v>
      </c>
      <c r="C14" s="724" t="s">
        <v>3536</v>
      </c>
      <c r="D14" s="797">
        <v>1</v>
      </c>
      <c r="E14" s="728">
        <f>'Custos Sistema Viário'!H23</f>
        <v>3137232.8867757129</v>
      </c>
      <c r="F14" s="783">
        <f>$G$6</f>
        <v>0.2462</v>
      </c>
      <c r="G14" s="728">
        <f>D14*((E14*F14)+E14)</f>
        <v>3909619.6234998936</v>
      </c>
    </row>
    <row r="15" spans="1:10" ht="12.75">
      <c r="A15" s="724"/>
      <c r="B15" s="737"/>
      <c r="C15" s="724"/>
      <c r="D15" s="797"/>
      <c r="E15" s="728"/>
      <c r="F15" s="783"/>
      <c r="G15" s="728"/>
    </row>
    <row r="16" spans="1:10" ht="12.75">
      <c r="A16" s="732"/>
      <c r="B16" s="739"/>
      <c r="C16" s="740"/>
      <c r="D16" s="741"/>
      <c r="E16" s="734"/>
      <c r="F16" s="742"/>
      <c r="G16" s="742"/>
    </row>
    <row r="17" spans="1:9" ht="12.75">
      <c r="A17" s="1055" t="s">
        <v>3751</v>
      </c>
      <c r="B17" s="1056"/>
      <c r="C17" s="1056"/>
      <c r="D17" s="1057"/>
      <c r="E17" s="743">
        <f>E15+E14</f>
        <v>3137232.8867757129</v>
      </c>
      <c r="F17" s="744"/>
      <c r="G17" s="743">
        <f>G15+G14</f>
        <v>3909619.6234998936</v>
      </c>
    </row>
    <row r="18" spans="1:9">
      <c r="A18" s="745"/>
      <c r="B18" s="746"/>
      <c r="C18" s="746"/>
      <c r="D18" s="746"/>
      <c r="E18" s="746"/>
    </row>
    <row r="19" spans="1:9">
      <c r="A19" s="747"/>
      <c r="H19" s="718"/>
    </row>
    <row r="20" spans="1:9">
      <c r="A20" s="747"/>
      <c r="G20" s="748"/>
      <c r="H20" s="718"/>
      <c r="I20" s="749"/>
    </row>
    <row r="21" spans="1:9">
      <c r="A21" s="747"/>
      <c r="G21" s="719"/>
      <c r="H21" s="718"/>
      <c r="I21" s="749"/>
    </row>
    <row r="22" spans="1:9">
      <c r="H22" s="718"/>
    </row>
    <row r="23" spans="1:9">
      <c r="H23" s="718"/>
    </row>
    <row r="24" spans="1:9">
      <c r="G24" s="749"/>
    </row>
    <row r="25" spans="1:9">
      <c r="G25" s="719"/>
    </row>
  </sheetData>
  <mergeCells count="10">
    <mergeCell ref="A17:D17"/>
    <mergeCell ref="A1:G1"/>
    <mergeCell ref="A2:G2"/>
    <mergeCell ref="A9:A10"/>
    <mergeCell ref="B9:B10"/>
    <mergeCell ref="C9:C10"/>
    <mergeCell ref="D9:D10"/>
    <mergeCell ref="E9:G9"/>
    <mergeCell ref="A4:G4"/>
    <mergeCell ref="E6:E7"/>
  </mergeCells>
  <conditionalFormatting sqref="G6:G7 J6:J7">
    <cfRule type="expression" dxfId="10" priority="1" stopIfTrue="1">
      <formula>#REF!="Não"</formula>
    </cfRule>
  </conditionalFormatting>
  <printOptions horizontalCentered="1"/>
  <pageMargins left="0.51181102362204722" right="0.51181102362204722" top="0.78740157480314965" bottom="0.78740157480314965" header="0.31496062992125984" footer="0.31496062992125984"/>
  <pageSetup paperSize="9" scale="74"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pageSetUpPr autoPageBreaks="0" fitToPage="1"/>
  </sheetPr>
  <dimension ref="A1:BG45"/>
  <sheetViews>
    <sheetView showGridLines="0" showZeros="0" showRuler="0" showWhiteSpace="0" view="pageBreakPreview" zoomScale="60" zoomScaleNormal="55" zoomScalePageLayoutView="60" workbookViewId="0">
      <pane ySplit="4" topLeftCell="A16" activePane="bottomLeft" state="frozen"/>
      <selection activeCell="C28" sqref="C28"/>
      <selection pane="bottomLeft" activeCell="C19" sqref="C19"/>
    </sheetView>
  </sheetViews>
  <sheetFormatPr defaultColWidth="9.140625" defaultRowHeight="15.75" outlineLevelRow="1"/>
  <cols>
    <col min="1" max="1" width="9.140625" style="50"/>
    <col min="2" max="2" width="12" style="48" customWidth="1"/>
    <col min="3" max="3" width="98" style="49" customWidth="1"/>
    <col min="4" max="4" width="9.140625" style="141" customWidth="1"/>
    <col min="5" max="5" width="19.7109375" style="50" customWidth="1"/>
    <col min="6" max="6" width="17.42578125" style="50" customWidth="1"/>
    <col min="7" max="8" width="22" style="50" customWidth="1"/>
    <col min="9" max="9" width="28.85546875" style="50" customWidth="1"/>
    <col min="10" max="10" width="14" style="50" customWidth="1"/>
    <col min="11" max="11" width="22.7109375" style="50" customWidth="1"/>
    <col min="12" max="14" width="12.7109375" style="50" customWidth="1"/>
    <col min="15" max="15" width="15.7109375" style="50" customWidth="1"/>
    <col min="16" max="16384" width="9.140625" style="50"/>
  </cols>
  <sheetData>
    <row r="1" spans="1:15">
      <c r="G1" s="244"/>
      <c r="H1" s="244"/>
    </row>
    <row r="2" spans="1:15">
      <c r="B2" s="955"/>
      <c r="C2" s="372"/>
      <c r="D2" s="373"/>
      <c r="E2" s="126"/>
      <c r="F2" s="126"/>
      <c r="G2" s="757"/>
      <c r="H2" s="757"/>
      <c r="I2" s="126"/>
      <c r="J2" s="126"/>
      <c r="K2" s="126"/>
    </row>
    <row r="3" spans="1:15" ht="24" customHeight="1">
      <c r="B3" s="758"/>
      <c r="C3" s="758"/>
      <c r="D3" s="758" t="s">
        <v>11</v>
      </c>
      <c r="E3" s="1076" t="s">
        <v>3053</v>
      </c>
      <c r="F3" s="1076"/>
      <c r="G3" s="1076"/>
      <c r="H3" s="759"/>
      <c r="I3" s="1077" t="s">
        <v>2745</v>
      </c>
      <c r="J3" s="1078"/>
      <c r="K3" s="137"/>
    </row>
    <row r="4" spans="1:15" ht="38.25" customHeight="1" thickBot="1">
      <c r="B4" s="375" t="s">
        <v>0</v>
      </c>
      <c r="C4" s="376" t="s">
        <v>1520</v>
      </c>
      <c r="D4" s="375"/>
      <c r="E4" s="108" t="s">
        <v>1531</v>
      </c>
      <c r="F4" s="108" t="s">
        <v>3752</v>
      </c>
      <c r="G4" s="108" t="s">
        <v>3190</v>
      </c>
      <c r="H4" s="108" t="s">
        <v>3191</v>
      </c>
      <c r="I4" s="377" t="s">
        <v>1491</v>
      </c>
      <c r="J4" s="377" t="s">
        <v>1490</v>
      </c>
      <c r="K4" s="209"/>
      <c r="L4" s="852" t="s">
        <v>3471</v>
      </c>
      <c r="M4" s="853" t="s">
        <v>1400</v>
      </c>
      <c r="N4" s="853" t="s">
        <v>1546</v>
      </c>
      <c r="O4" s="853" t="s">
        <v>3472</v>
      </c>
    </row>
    <row r="5" spans="1:15" s="98" customFormat="1">
      <c r="B5" s="176" t="s">
        <v>1199</v>
      </c>
      <c r="C5" s="101" t="s">
        <v>1442</v>
      </c>
      <c r="D5" s="74"/>
      <c r="E5" s="75"/>
      <c r="F5" s="75"/>
      <c r="G5" s="75">
        <f>G6+G17</f>
        <v>232062.84181818186</v>
      </c>
      <c r="H5" s="75">
        <f>H6+H17</f>
        <v>862406.90025542083</v>
      </c>
      <c r="I5" s="110">
        <v>0</v>
      </c>
      <c r="J5" s="73"/>
      <c r="K5" s="191"/>
      <c r="L5" s="763"/>
      <c r="M5" s="764">
        <v>0.4</v>
      </c>
      <c r="N5" s="764">
        <v>0.375</v>
      </c>
      <c r="O5" s="763"/>
    </row>
    <row r="6" spans="1:15" s="98" customFormat="1" outlineLevel="1">
      <c r="B6" s="178" t="s">
        <v>1200</v>
      </c>
      <c r="C6" s="102" t="s">
        <v>3753</v>
      </c>
      <c r="D6" s="85"/>
      <c r="E6" s="64"/>
      <c r="F6" s="64"/>
      <c r="G6" s="64">
        <f>SUM(G7:G16)</f>
        <v>192566.63214285718</v>
      </c>
      <c r="H6" s="64">
        <f>SUM(H7:H16)</f>
        <v>700217.86935510009</v>
      </c>
      <c r="I6" s="111">
        <v>0</v>
      </c>
      <c r="J6" s="86"/>
      <c r="K6" s="190"/>
      <c r="L6" s="763"/>
      <c r="M6" s="763"/>
      <c r="N6" s="763"/>
      <c r="O6" s="763"/>
    </row>
    <row r="7" spans="1:15" s="98" customFormat="1" outlineLevel="1">
      <c r="A7" s="141" t="s">
        <v>3478</v>
      </c>
      <c r="B7" s="175" t="s">
        <v>3754</v>
      </c>
      <c r="C7" s="100" t="s">
        <v>1568</v>
      </c>
      <c r="D7" s="99" t="s">
        <v>1467</v>
      </c>
      <c r="E7" s="491">
        <v>1360.67</v>
      </c>
      <c r="F7" s="20">
        <f>O7</f>
        <v>3.9571428571428573</v>
      </c>
      <c r="G7" s="19">
        <f t="shared" ref="G7:G16" si="0">E7*F7</f>
        <v>5384.3655714285724</v>
      </c>
      <c r="H7" s="19">
        <f>G7*(1+J7)</f>
        <v>18600.290866500003</v>
      </c>
      <c r="I7" s="114" t="s">
        <v>1523</v>
      </c>
      <c r="J7" s="210">
        <v>2.4544999999999999</v>
      </c>
      <c r="K7" s="190"/>
      <c r="L7" s="765">
        <v>5.54</v>
      </c>
      <c r="M7" s="765">
        <f>L7/($M$5+1)</f>
        <v>3.9571428571428573</v>
      </c>
      <c r="N7" s="765">
        <f>L7/($N$5+1)</f>
        <v>4.0290909090909093</v>
      </c>
      <c r="O7" s="765">
        <f>IF(A7="S",M7,N7)</f>
        <v>3.9571428571428573</v>
      </c>
    </row>
    <row r="8" spans="1:15" s="98" customFormat="1" ht="31.5" outlineLevel="1">
      <c r="A8" s="141" t="s">
        <v>3478</v>
      </c>
      <c r="B8" s="175" t="s">
        <v>3755</v>
      </c>
      <c r="C8" s="100" t="s">
        <v>1577</v>
      </c>
      <c r="D8" s="99" t="s">
        <v>1467</v>
      </c>
      <c r="E8" s="491">
        <v>57.54</v>
      </c>
      <c r="F8" s="20">
        <f t="shared" ref="F8:F16" si="1">O8</f>
        <v>6.9214285714285717</v>
      </c>
      <c r="G8" s="19">
        <f t="shared" si="0"/>
        <v>398.25900000000001</v>
      </c>
      <c r="H8" s="19">
        <f t="shared" ref="H8:H16" si="2">G8*(1+J8)</f>
        <v>1375.7857154999999</v>
      </c>
      <c r="I8" s="114" t="s">
        <v>1523</v>
      </c>
      <c r="J8" s="210">
        <v>2.4544999999999999</v>
      </c>
      <c r="K8" s="190"/>
      <c r="L8" s="765">
        <v>9.69</v>
      </c>
      <c r="M8" s="765">
        <f t="shared" ref="M8:M37" si="3">L8/($M$5+1)</f>
        <v>6.9214285714285717</v>
      </c>
      <c r="N8" s="765">
        <f t="shared" ref="N8:N37" si="4">L8/($N$5+1)</f>
        <v>7.0472727272727269</v>
      </c>
      <c r="O8" s="765">
        <f t="shared" ref="O8:O37" si="5">IF(A8="S",M8,N8)</f>
        <v>6.9214285714285717</v>
      </c>
    </row>
    <row r="9" spans="1:15" s="98" customFormat="1" outlineLevel="1">
      <c r="A9" s="141" t="s">
        <v>3478</v>
      </c>
      <c r="B9" s="175" t="s">
        <v>3756</v>
      </c>
      <c r="C9" s="100" t="s">
        <v>1569</v>
      </c>
      <c r="D9" s="99" t="s">
        <v>1467</v>
      </c>
      <c r="E9" s="491">
        <v>1024.3</v>
      </c>
      <c r="F9" s="20">
        <f t="shared" si="1"/>
        <v>5.2928571428571436</v>
      </c>
      <c r="G9" s="19">
        <f t="shared" si="0"/>
        <v>5421.4735714285716</v>
      </c>
      <c r="H9" s="19">
        <f t="shared" si="2"/>
        <v>18728.4804525</v>
      </c>
      <c r="I9" s="114" t="s">
        <v>1523</v>
      </c>
      <c r="J9" s="210">
        <v>2.4544999999999999</v>
      </c>
      <c r="K9" s="190"/>
      <c r="L9" s="765">
        <v>7.41</v>
      </c>
      <c r="M9" s="765">
        <f t="shared" si="3"/>
        <v>5.2928571428571436</v>
      </c>
      <c r="N9" s="765">
        <f t="shared" si="4"/>
        <v>5.3890909090909096</v>
      </c>
      <c r="O9" s="765">
        <f t="shared" si="5"/>
        <v>5.2928571428571436</v>
      </c>
    </row>
    <row r="10" spans="1:15" s="98" customFormat="1" outlineLevel="1">
      <c r="A10" s="141" t="s">
        <v>3478</v>
      </c>
      <c r="B10" s="175" t="s">
        <v>3757</v>
      </c>
      <c r="C10" s="100" t="s">
        <v>3758</v>
      </c>
      <c r="D10" s="99" t="s">
        <v>1467</v>
      </c>
      <c r="E10" s="491">
        <v>0</v>
      </c>
      <c r="F10" s="20">
        <f t="shared" si="1"/>
        <v>3.9714285714285715</v>
      </c>
      <c r="G10" s="19">
        <f t="shared" si="0"/>
        <v>0</v>
      </c>
      <c r="H10" s="19">
        <f t="shared" si="2"/>
        <v>0</v>
      </c>
      <c r="I10" s="114" t="s">
        <v>1523</v>
      </c>
      <c r="J10" s="210">
        <v>2.4544999999999999</v>
      </c>
      <c r="K10" s="190"/>
      <c r="L10" s="765">
        <v>5.56</v>
      </c>
      <c r="M10" s="765">
        <f t="shared" si="3"/>
        <v>3.9714285714285715</v>
      </c>
      <c r="N10" s="765">
        <f t="shared" si="4"/>
        <v>4.043636363636363</v>
      </c>
      <c r="O10" s="765">
        <f t="shared" si="5"/>
        <v>3.9714285714285715</v>
      </c>
    </row>
    <row r="11" spans="1:15" s="98" customFormat="1" outlineLevel="1">
      <c r="A11" s="141" t="s">
        <v>3478</v>
      </c>
      <c r="B11" s="175" t="s">
        <v>3759</v>
      </c>
      <c r="C11" s="100" t="s">
        <v>3760</v>
      </c>
      <c r="D11" s="99" t="s">
        <v>1467</v>
      </c>
      <c r="E11" s="491">
        <v>49.56</v>
      </c>
      <c r="F11" s="20">
        <f t="shared" si="1"/>
        <v>8.2500000000000018</v>
      </c>
      <c r="G11" s="19">
        <f t="shared" si="0"/>
        <v>408.87000000000012</v>
      </c>
      <c r="H11" s="19">
        <f t="shared" si="2"/>
        <v>1412.4414150000005</v>
      </c>
      <c r="I11" s="114" t="s">
        <v>1523</v>
      </c>
      <c r="J11" s="210">
        <v>2.4544999999999999</v>
      </c>
      <c r="K11" s="190"/>
      <c r="L11" s="765">
        <v>11.55</v>
      </c>
      <c r="M11" s="765">
        <f t="shared" si="3"/>
        <v>8.2500000000000018</v>
      </c>
      <c r="N11" s="765">
        <f t="shared" si="4"/>
        <v>8.4</v>
      </c>
      <c r="O11" s="765">
        <f t="shared" si="5"/>
        <v>8.2500000000000018</v>
      </c>
    </row>
    <row r="12" spans="1:15" s="98" customFormat="1" outlineLevel="1">
      <c r="A12" s="141" t="s">
        <v>3478</v>
      </c>
      <c r="B12" s="175" t="s">
        <v>3761</v>
      </c>
      <c r="C12" s="100" t="s">
        <v>1574</v>
      </c>
      <c r="D12" s="99" t="s">
        <v>1467</v>
      </c>
      <c r="E12" s="491">
        <v>4.62</v>
      </c>
      <c r="F12" s="20">
        <f t="shared" si="1"/>
        <v>168.82857142857145</v>
      </c>
      <c r="G12" s="19">
        <f t="shared" si="0"/>
        <v>779.98800000000017</v>
      </c>
      <c r="H12" s="19">
        <f t="shared" si="2"/>
        <v>2845.3182252000006</v>
      </c>
      <c r="I12" s="114" t="s">
        <v>1526</v>
      </c>
      <c r="J12" s="210">
        <v>2.6478999999999999</v>
      </c>
      <c r="K12" s="190"/>
      <c r="L12" s="765">
        <v>236.36</v>
      </c>
      <c r="M12" s="765">
        <f t="shared" si="3"/>
        <v>168.82857142857145</v>
      </c>
      <c r="N12" s="765">
        <f t="shared" si="4"/>
        <v>171.89818181818183</v>
      </c>
      <c r="O12" s="765">
        <f t="shared" si="5"/>
        <v>168.82857142857145</v>
      </c>
    </row>
    <row r="13" spans="1:15" s="98" customFormat="1" outlineLevel="1">
      <c r="A13" s="141" t="s">
        <v>3478</v>
      </c>
      <c r="B13" s="175" t="s">
        <v>3762</v>
      </c>
      <c r="C13" s="100" t="s">
        <v>1563</v>
      </c>
      <c r="D13" s="99" t="s">
        <v>1467</v>
      </c>
      <c r="E13" s="491">
        <v>249.9</v>
      </c>
      <c r="F13" s="20">
        <f t="shared" si="1"/>
        <v>203.15000000000003</v>
      </c>
      <c r="G13" s="19">
        <f t="shared" si="0"/>
        <v>50767.185000000012</v>
      </c>
      <c r="H13" s="19">
        <f t="shared" si="2"/>
        <v>185193.61416150004</v>
      </c>
      <c r="I13" s="114" t="s">
        <v>1526</v>
      </c>
      <c r="J13" s="210">
        <v>2.6478999999999999</v>
      </c>
      <c r="K13" s="190"/>
      <c r="L13" s="765">
        <v>284.41000000000003</v>
      </c>
      <c r="M13" s="765">
        <f t="shared" si="3"/>
        <v>203.15000000000003</v>
      </c>
      <c r="N13" s="765">
        <f t="shared" si="4"/>
        <v>206.84363636363639</v>
      </c>
      <c r="O13" s="765">
        <f t="shared" si="5"/>
        <v>203.15000000000003</v>
      </c>
    </row>
    <row r="14" spans="1:15" s="98" customFormat="1" outlineLevel="1">
      <c r="A14" s="141" t="s">
        <v>3478</v>
      </c>
      <c r="B14" s="175" t="s">
        <v>3763</v>
      </c>
      <c r="C14" s="100" t="s">
        <v>1570</v>
      </c>
      <c r="D14" s="22" t="s">
        <v>1470</v>
      </c>
      <c r="E14" s="491">
        <v>1883.7</v>
      </c>
      <c r="F14" s="20">
        <f t="shared" si="1"/>
        <v>38.228571428571435</v>
      </c>
      <c r="G14" s="19">
        <f t="shared" si="0"/>
        <v>72011.160000000018</v>
      </c>
      <c r="H14" s="19">
        <f t="shared" si="2"/>
        <v>262689.51056400005</v>
      </c>
      <c r="I14" s="114" t="s">
        <v>1526</v>
      </c>
      <c r="J14" s="210">
        <v>2.6478999999999999</v>
      </c>
      <c r="K14" s="190"/>
      <c r="L14" s="765">
        <v>53.52</v>
      </c>
      <c r="M14" s="765">
        <f t="shared" si="3"/>
        <v>38.228571428571435</v>
      </c>
      <c r="N14" s="765">
        <f t="shared" si="4"/>
        <v>38.923636363636369</v>
      </c>
      <c r="O14" s="765">
        <f t="shared" si="5"/>
        <v>38.228571428571435</v>
      </c>
    </row>
    <row r="15" spans="1:15" s="98" customFormat="1" outlineLevel="1">
      <c r="A15" s="141" t="s">
        <v>3478</v>
      </c>
      <c r="B15" s="175" t="s">
        <v>3764</v>
      </c>
      <c r="C15" s="100" t="s">
        <v>1707</v>
      </c>
      <c r="D15" s="99" t="s">
        <v>1471</v>
      </c>
      <c r="E15" s="491">
        <v>20622</v>
      </c>
      <c r="F15" s="20">
        <f t="shared" si="1"/>
        <v>2.7642857142857147</v>
      </c>
      <c r="G15" s="19">
        <f t="shared" si="0"/>
        <v>57005.100000000006</v>
      </c>
      <c r="H15" s="19">
        <f t="shared" si="2"/>
        <v>207948.90429000001</v>
      </c>
      <c r="I15" s="114" t="s">
        <v>1526</v>
      </c>
      <c r="J15" s="210">
        <v>2.6478999999999999</v>
      </c>
      <c r="K15" s="190"/>
      <c r="L15" s="765">
        <v>3.87</v>
      </c>
      <c r="M15" s="765">
        <f t="shared" si="3"/>
        <v>2.7642857142857147</v>
      </c>
      <c r="N15" s="765">
        <f t="shared" si="4"/>
        <v>2.8145454545454545</v>
      </c>
      <c r="O15" s="765">
        <f t="shared" si="5"/>
        <v>2.7642857142857147</v>
      </c>
    </row>
    <row r="16" spans="1:15" s="98" customFormat="1" outlineLevel="1">
      <c r="A16" s="141" t="s">
        <v>3478</v>
      </c>
      <c r="B16" s="175" t="s">
        <v>3765</v>
      </c>
      <c r="C16" s="100" t="s">
        <v>3766</v>
      </c>
      <c r="D16" s="99" t="s">
        <v>1467</v>
      </c>
      <c r="E16" s="491">
        <v>1.89</v>
      </c>
      <c r="F16" s="20">
        <f t="shared" si="1"/>
        <v>206.47142857142859</v>
      </c>
      <c r="G16" s="19">
        <f t="shared" si="0"/>
        <v>390.23099999999999</v>
      </c>
      <c r="H16" s="19">
        <f t="shared" si="2"/>
        <v>1423.5236648999999</v>
      </c>
      <c r="I16" s="114" t="s">
        <v>1526</v>
      </c>
      <c r="J16" s="210">
        <v>2.6478999999999999</v>
      </c>
      <c r="K16" s="191"/>
      <c r="L16" s="765">
        <v>289.06</v>
      </c>
      <c r="M16" s="765">
        <f t="shared" si="3"/>
        <v>206.47142857142859</v>
      </c>
      <c r="N16" s="765">
        <f t="shared" si="4"/>
        <v>210.22545454545454</v>
      </c>
      <c r="O16" s="765">
        <f t="shared" si="5"/>
        <v>206.47142857142859</v>
      </c>
    </row>
    <row r="17" spans="1:15" s="98" customFormat="1" outlineLevel="1">
      <c r="B17" s="178" t="s">
        <v>1201</v>
      </c>
      <c r="C17" s="102" t="s">
        <v>3767</v>
      </c>
      <c r="D17" s="85"/>
      <c r="E17" s="63"/>
      <c r="F17" s="63"/>
      <c r="G17" s="63">
        <f>G18+G28</f>
        <v>39496.209675324673</v>
      </c>
      <c r="H17" s="63">
        <f>H18+H28</f>
        <v>162189.03090032074</v>
      </c>
      <c r="I17" s="111">
        <v>0</v>
      </c>
      <c r="J17" s="86"/>
      <c r="K17" s="192"/>
      <c r="L17" s="765"/>
      <c r="M17" s="765">
        <f t="shared" si="3"/>
        <v>0</v>
      </c>
      <c r="N17" s="765">
        <f t="shared" si="4"/>
        <v>0</v>
      </c>
      <c r="O17" s="765">
        <f t="shared" si="5"/>
        <v>0</v>
      </c>
    </row>
    <row r="18" spans="1:15" s="98" customFormat="1" outlineLevel="1">
      <c r="B18" s="179" t="s">
        <v>3768</v>
      </c>
      <c r="C18" s="104" t="s">
        <v>1407</v>
      </c>
      <c r="D18" s="81"/>
      <c r="E18" s="89"/>
      <c r="F18" s="89"/>
      <c r="G18" s="89">
        <f>SUM(G19:G27)</f>
        <v>8868.4278571428586</v>
      </c>
      <c r="H18" s="89">
        <f>SUM(H19:H27)</f>
        <v>36449.735423957143</v>
      </c>
      <c r="I18" s="112">
        <v>0</v>
      </c>
      <c r="J18" s="84"/>
      <c r="K18" s="190"/>
      <c r="L18" s="765"/>
      <c r="M18" s="765">
        <f t="shared" si="3"/>
        <v>0</v>
      </c>
      <c r="N18" s="765">
        <f t="shared" si="4"/>
        <v>0</v>
      </c>
      <c r="O18" s="765">
        <f t="shared" si="5"/>
        <v>0</v>
      </c>
    </row>
    <row r="19" spans="1:15" s="98" customFormat="1" outlineLevel="1">
      <c r="A19" s="141" t="s">
        <v>3478</v>
      </c>
      <c r="B19" s="175" t="s">
        <v>3769</v>
      </c>
      <c r="C19" s="100" t="s">
        <v>1568</v>
      </c>
      <c r="D19" s="22" t="s">
        <v>1467</v>
      </c>
      <c r="E19" s="491">
        <v>4.22</v>
      </c>
      <c r="F19" s="20">
        <f t="shared" ref="F19:F27" si="6">O19</f>
        <v>3.9571428571428573</v>
      </c>
      <c r="G19" s="19">
        <f t="shared" ref="G19:G27" si="7">E19*F19</f>
        <v>16.699142857142856</v>
      </c>
      <c r="H19" s="19">
        <f t="shared" ref="H19:H27" si="8">G19*(1+J19)</f>
        <v>57.687188999999996</v>
      </c>
      <c r="I19" s="114" t="s">
        <v>1523</v>
      </c>
      <c r="J19" s="210">
        <v>2.4544999999999999</v>
      </c>
      <c r="K19" s="190"/>
      <c r="L19" s="765">
        <v>5.54</v>
      </c>
      <c r="M19" s="765">
        <f t="shared" si="3"/>
        <v>3.9571428571428573</v>
      </c>
      <c r="N19" s="765">
        <f t="shared" si="4"/>
        <v>4.0290909090909093</v>
      </c>
      <c r="O19" s="765">
        <f t="shared" si="5"/>
        <v>3.9571428571428573</v>
      </c>
    </row>
    <row r="20" spans="1:15" s="98" customFormat="1" outlineLevel="1">
      <c r="A20" s="141" t="s">
        <v>3478</v>
      </c>
      <c r="B20" s="175" t="s">
        <v>3770</v>
      </c>
      <c r="C20" s="100" t="s">
        <v>1569</v>
      </c>
      <c r="D20" s="99" t="s">
        <v>1467</v>
      </c>
      <c r="E20" s="491">
        <v>1.06</v>
      </c>
      <c r="F20" s="20">
        <f t="shared" si="6"/>
        <v>5.2928571428571436</v>
      </c>
      <c r="G20" s="19">
        <f t="shared" si="7"/>
        <v>5.6104285714285727</v>
      </c>
      <c r="H20" s="19">
        <f t="shared" si="8"/>
        <v>19.381225500000003</v>
      </c>
      <c r="I20" s="114" t="s">
        <v>1523</v>
      </c>
      <c r="J20" s="210">
        <v>2.4544999999999999</v>
      </c>
      <c r="K20" s="190"/>
      <c r="L20" s="765">
        <v>7.41</v>
      </c>
      <c r="M20" s="765">
        <f t="shared" si="3"/>
        <v>5.2928571428571436</v>
      </c>
      <c r="N20" s="765">
        <f t="shared" si="4"/>
        <v>5.3890909090909096</v>
      </c>
      <c r="O20" s="765">
        <f t="shared" si="5"/>
        <v>5.2928571428571436</v>
      </c>
    </row>
    <row r="21" spans="1:15" s="98" customFormat="1" outlineLevel="1">
      <c r="A21" s="141" t="s">
        <v>3478</v>
      </c>
      <c r="B21" s="175" t="s">
        <v>3771</v>
      </c>
      <c r="C21" s="100" t="s">
        <v>3772</v>
      </c>
      <c r="D21" s="99" t="s">
        <v>1467</v>
      </c>
      <c r="E21" s="491">
        <v>0.66</v>
      </c>
      <c r="F21" s="20">
        <f t="shared" si="6"/>
        <v>168.82857142857145</v>
      </c>
      <c r="G21" s="19">
        <f t="shared" si="7"/>
        <v>111.42685714285716</v>
      </c>
      <c r="H21" s="19">
        <f t="shared" si="8"/>
        <v>406.47403217142863</v>
      </c>
      <c r="I21" s="114" t="s">
        <v>1526</v>
      </c>
      <c r="J21" s="210">
        <v>2.6478999999999999</v>
      </c>
      <c r="K21" s="190"/>
      <c r="L21" s="765">
        <v>236.36</v>
      </c>
      <c r="M21" s="765">
        <f t="shared" si="3"/>
        <v>168.82857142857145</v>
      </c>
      <c r="N21" s="765">
        <f t="shared" si="4"/>
        <v>171.89818181818183</v>
      </c>
      <c r="O21" s="765">
        <f t="shared" si="5"/>
        <v>168.82857142857145</v>
      </c>
    </row>
    <row r="22" spans="1:15" s="98" customFormat="1" outlineLevel="1">
      <c r="A22" s="141" t="s">
        <v>3478</v>
      </c>
      <c r="B22" s="175" t="s">
        <v>3773</v>
      </c>
      <c r="C22" s="100" t="s">
        <v>3774</v>
      </c>
      <c r="D22" s="99" t="s">
        <v>1467</v>
      </c>
      <c r="E22" s="491">
        <v>5.6</v>
      </c>
      <c r="F22" s="20">
        <f t="shared" si="6"/>
        <v>203.15000000000003</v>
      </c>
      <c r="G22" s="19">
        <f t="shared" si="7"/>
        <v>1137.6400000000001</v>
      </c>
      <c r="H22" s="19">
        <f t="shared" si="8"/>
        <v>4149.996956</v>
      </c>
      <c r="I22" s="114" t="s">
        <v>1526</v>
      </c>
      <c r="J22" s="210">
        <v>2.6478999999999999</v>
      </c>
      <c r="K22" s="190"/>
      <c r="L22" s="765">
        <v>284.41000000000003</v>
      </c>
      <c r="M22" s="765">
        <f t="shared" si="3"/>
        <v>203.15000000000003</v>
      </c>
      <c r="N22" s="765">
        <f t="shared" si="4"/>
        <v>206.84363636363639</v>
      </c>
      <c r="O22" s="765">
        <f t="shared" si="5"/>
        <v>203.15000000000003</v>
      </c>
    </row>
    <row r="23" spans="1:15" s="98" customFormat="1" outlineLevel="1">
      <c r="A23" s="141" t="s">
        <v>3478</v>
      </c>
      <c r="B23" s="175" t="s">
        <v>3775</v>
      </c>
      <c r="C23" s="100" t="s">
        <v>1570</v>
      </c>
      <c r="D23" s="22" t="s">
        <v>1470</v>
      </c>
      <c r="E23" s="491">
        <v>56.2</v>
      </c>
      <c r="F23" s="20">
        <f t="shared" si="6"/>
        <v>38.228571428571435</v>
      </c>
      <c r="G23" s="19">
        <f t="shared" si="7"/>
        <v>2148.4457142857145</v>
      </c>
      <c r="H23" s="19">
        <f t="shared" si="8"/>
        <v>7837.3151211428576</v>
      </c>
      <c r="I23" s="114" t="s">
        <v>1526</v>
      </c>
      <c r="J23" s="210">
        <v>2.6478999999999999</v>
      </c>
      <c r="K23" s="190"/>
      <c r="L23" s="765">
        <v>53.52</v>
      </c>
      <c r="M23" s="765">
        <f t="shared" si="3"/>
        <v>38.228571428571435</v>
      </c>
      <c r="N23" s="765">
        <f t="shared" si="4"/>
        <v>38.923636363636369</v>
      </c>
      <c r="O23" s="765">
        <f t="shared" si="5"/>
        <v>38.228571428571435</v>
      </c>
    </row>
    <row r="24" spans="1:15" s="98" customFormat="1" outlineLevel="1">
      <c r="A24" s="141" t="s">
        <v>3478</v>
      </c>
      <c r="B24" s="175" t="s">
        <v>3776</v>
      </c>
      <c r="C24" s="100" t="s">
        <v>1707</v>
      </c>
      <c r="D24" s="99" t="s">
        <v>1471</v>
      </c>
      <c r="E24" s="491">
        <v>296</v>
      </c>
      <c r="F24" s="20">
        <f t="shared" si="6"/>
        <v>2.7642857142857147</v>
      </c>
      <c r="G24" s="19">
        <f t="shared" si="7"/>
        <v>818.22857142857151</v>
      </c>
      <c r="H24" s="19">
        <f t="shared" si="8"/>
        <v>2984.8160057142859</v>
      </c>
      <c r="I24" s="114" t="s">
        <v>1526</v>
      </c>
      <c r="J24" s="210">
        <v>2.6478999999999999</v>
      </c>
      <c r="K24" s="190"/>
      <c r="L24" s="765">
        <v>3.87</v>
      </c>
      <c r="M24" s="765">
        <f t="shared" si="3"/>
        <v>2.7642857142857147</v>
      </c>
      <c r="N24" s="765">
        <f t="shared" si="4"/>
        <v>2.8145454545454545</v>
      </c>
      <c r="O24" s="765">
        <f t="shared" si="5"/>
        <v>2.7642857142857147</v>
      </c>
    </row>
    <row r="25" spans="1:15" s="98" customFormat="1" outlineLevel="1">
      <c r="A25" s="141" t="s">
        <v>3478</v>
      </c>
      <c r="B25" s="175" t="s">
        <v>3777</v>
      </c>
      <c r="C25" s="100" t="s">
        <v>3766</v>
      </c>
      <c r="D25" s="99" t="s">
        <v>1467</v>
      </c>
      <c r="E25" s="491">
        <v>0.3</v>
      </c>
      <c r="F25" s="20">
        <f t="shared" si="6"/>
        <v>206.47142857142859</v>
      </c>
      <c r="G25" s="19">
        <f t="shared" si="7"/>
        <v>61.941428571428574</v>
      </c>
      <c r="H25" s="19">
        <f t="shared" si="8"/>
        <v>225.95613728571428</v>
      </c>
      <c r="I25" s="114" t="s">
        <v>1526</v>
      </c>
      <c r="J25" s="210">
        <v>2.6478999999999999</v>
      </c>
      <c r="K25" s="190"/>
      <c r="L25" s="765">
        <v>289.06</v>
      </c>
      <c r="M25" s="765">
        <f t="shared" si="3"/>
        <v>206.47142857142859</v>
      </c>
      <c r="N25" s="765">
        <f t="shared" si="4"/>
        <v>210.22545454545454</v>
      </c>
      <c r="O25" s="765">
        <f t="shared" si="5"/>
        <v>206.47142857142859</v>
      </c>
    </row>
    <row r="26" spans="1:15" s="98" customFormat="1" outlineLevel="1">
      <c r="A26" s="141" t="s">
        <v>3478</v>
      </c>
      <c r="B26" s="175" t="s">
        <v>3778</v>
      </c>
      <c r="C26" s="100" t="s">
        <v>3779</v>
      </c>
      <c r="D26" s="99" t="s">
        <v>1467</v>
      </c>
      <c r="E26" s="491">
        <v>3</v>
      </c>
      <c r="F26" s="20">
        <f t="shared" si="6"/>
        <v>55.05</v>
      </c>
      <c r="G26" s="19">
        <f t="shared" si="7"/>
        <v>165.14999999999998</v>
      </c>
      <c r="H26" s="19">
        <f t="shared" si="8"/>
        <v>750.77189999999985</v>
      </c>
      <c r="I26" s="114" t="s">
        <v>1522</v>
      </c>
      <c r="J26" s="210">
        <v>3.5459999999999998</v>
      </c>
      <c r="K26" s="190"/>
      <c r="L26" s="765">
        <v>77.069999999999993</v>
      </c>
      <c r="M26" s="765">
        <f t="shared" si="3"/>
        <v>55.05</v>
      </c>
      <c r="N26" s="765">
        <f t="shared" si="4"/>
        <v>56.050909090909087</v>
      </c>
      <c r="O26" s="765">
        <f t="shared" si="5"/>
        <v>55.05</v>
      </c>
    </row>
    <row r="27" spans="1:15" s="98" customFormat="1" outlineLevel="1">
      <c r="A27" s="141" t="s">
        <v>3478</v>
      </c>
      <c r="B27" s="175" t="s">
        <v>3780</v>
      </c>
      <c r="C27" s="100" t="s">
        <v>1443</v>
      </c>
      <c r="D27" s="99" t="s">
        <v>1473</v>
      </c>
      <c r="E27" s="491">
        <v>2</v>
      </c>
      <c r="F27" s="20">
        <f t="shared" si="6"/>
        <v>2201.6428571428573</v>
      </c>
      <c r="G27" s="19">
        <f t="shared" si="7"/>
        <v>4403.2857142857147</v>
      </c>
      <c r="H27" s="19">
        <f t="shared" si="8"/>
        <v>20017.336857142855</v>
      </c>
      <c r="I27" s="114" t="s">
        <v>1522</v>
      </c>
      <c r="J27" s="210">
        <v>3.5459999999999998</v>
      </c>
      <c r="K27" s="191"/>
      <c r="L27" s="765">
        <v>3082.3</v>
      </c>
      <c r="M27" s="765">
        <f t="shared" si="3"/>
        <v>2201.6428571428573</v>
      </c>
      <c r="N27" s="765">
        <f t="shared" si="4"/>
        <v>2241.6727272727276</v>
      </c>
      <c r="O27" s="765">
        <f t="shared" si="5"/>
        <v>2201.6428571428573</v>
      </c>
    </row>
    <row r="28" spans="1:15" s="98" customFormat="1" outlineLevel="1">
      <c r="B28" s="178" t="s">
        <v>1202</v>
      </c>
      <c r="C28" s="103" t="s">
        <v>1546</v>
      </c>
      <c r="D28" s="85"/>
      <c r="E28" s="64"/>
      <c r="F28" s="64"/>
      <c r="G28" s="64">
        <f>SUM(G29:G37)</f>
        <v>30627.781818181818</v>
      </c>
      <c r="H28" s="64">
        <f>SUM(H29:H37)</f>
        <v>125739.29547636361</v>
      </c>
      <c r="I28" s="111">
        <v>0</v>
      </c>
      <c r="J28" s="86"/>
      <c r="K28" s="190"/>
      <c r="L28" s="765"/>
      <c r="M28" s="765">
        <f t="shared" si="3"/>
        <v>0</v>
      </c>
      <c r="N28" s="765">
        <f t="shared" si="4"/>
        <v>0</v>
      </c>
      <c r="O28" s="765">
        <f t="shared" si="5"/>
        <v>0</v>
      </c>
    </row>
    <row r="29" spans="1:15" s="98" customFormat="1" outlineLevel="1">
      <c r="A29" s="141" t="s">
        <v>3483</v>
      </c>
      <c r="B29" s="175" t="s">
        <v>3781</v>
      </c>
      <c r="C29" s="100" t="s">
        <v>3782</v>
      </c>
      <c r="D29" s="99" t="s">
        <v>1480</v>
      </c>
      <c r="E29" s="491">
        <v>2</v>
      </c>
      <c r="F29" s="20">
        <f t="shared" ref="F29:F37" si="9">O29</f>
        <v>513.55636363636359</v>
      </c>
      <c r="G29" s="19">
        <f t="shared" ref="G29:G37" si="10">E29*F29</f>
        <v>1027.1127272727272</v>
      </c>
      <c r="H29" s="19">
        <f t="shared" ref="H29:H37" si="11">G29*(1+J29)</f>
        <v>4216.7085905454533</v>
      </c>
      <c r="I29" s="114" t="s">
        <v>1521</v>
      </c>
      <c r="J29" s="210">
        <v>3.1053999999999999</v>
      </c>
      <c r="K29" s="190"/>
      <c r="L29" s="765">
        <v>706.14</v>
      </c>
      <c r="M29" s="765">
        <f t="shared" si="3"/>
        <v>504.3857142857143</v>
      </c>
      <c r="N29" s="765">
        <f t="shared" si="4"/>
        <v>513.55636363636359</v>
      </c>
      <c r="O29" s="765">
        <f t="shared" si="5"/>
        <v>513.55636363636359</v>
      </c>
    </row>
    <row r="30" spans="1:15" s="98" customFormat="1" outlineLevel="1">
      <c r="A30" s="141" t="s">
        <v>3483</v>
      </c>
      <c r="B30" s="175" t="s">
        <v>3783</v>
      </c>
      <c r="C30" s="100" t="s">
        <v>3784</v>
      </c>
      <c r="D30" s="99" t="s">
        <v>1480</v>
      </c>
      <c r="E30" s="491">
        <v>2</v>
      </c>
      <c r="F30" s="20">
        <f t="shared" si="9"/>
        <v>415.76727272727271</v>
      </c>
      <c r="G30" s="19">
        <f t="shared" si="10"/>
        <v>831.53454545454542</v>
      </c>
      <c r="H30" s="19">
        <f t="shared" si="11"/>
        <v>3413.7819229090906</v>
      </c>
      <c r="I30" s="114" t="s">
        <v>1521</v>
      </c>
      <c r="J30" s="210">
        <v>3.1053999999999999</v>
      </c>
      <c r="K30" s="190"/>
      <c r="L30" s="765">
        <v>571.67999999999995</v>
      </c>
      <c r="M30" s="765">
        <f t="shared" si="3"/>
        <v>408.34285714285716</v>
      </c>
      <c r="N30" s="765">
        <f t="shared" si="4"/>
        <v>415.76727272727271</v>
      </c>
      <c r="O30" s="765">
        <f t="shared" si="5"/>
        <v>415.76727272727271</v>
      </c>
    </row>
    <row r="31" spans="1:15" s="98" customFormat="1" outlineLevel="1">
      <c r="A31" s="141" t="s">
        <v>3483</v>
      </c>
      <c r="B31" s="175" t="s">
        <v>3785</v>
      </c>
      <c r="C31" s="100" t="s">
        <v>3786</v>
      </c>
      <c r="D31" s="99" t="s">
        <v>1480</v>
      </c>
      <c r="E31" s="491">
        <v>2</v>
      </c>
      <c r="F31" s="20">
        <f t="shared" si="9"/>
        <v>492.00727272727272</v>
      </c>
      <c r="G31" s="19">
        <f t="shared" si="10"/>
        <v>984.01454545454544</v>
      </c>
      <c r="H31" s="19">
        <f t="shared" si="11"/>
        <v>4039.7733149090905</v>
      </c>
      <c r="I31" s="114" t="s">
        <v>1521</v>
      </c>
      <c r="J31" s="210">
        <v>3.1053999999999999</v>
      </c>
      <c r="K31" s="190"/>
      <c r="L31" s="765">
        <v>676.51</v>
      </c>
      <c r="M31" s="765">
        <f t="shared" si="3"/>
        <v>483.22142857142859</v>
      </c>
      <c r="N31" s="765">
        <f t="shared" si="4"/>
        <v>492.00727272727272</v>
      </c>
      <c r="O31" s="765">
        <f t="shared" si="5"/>
        <v>492.00727272727272</v>
      </c>
    </row>
    <row r="32" spans="1:15" s="98" customFormat="1" outlineLevel="1">
      <c r="A32" s="141" t="s">
        <v>3483</v>
      </c>
      <c r="B32" s="175" t="s">
        <v>3787</v>
      </c>
      <c r="C32" s="100" t="s">
        <v>3788</v>
      </c>
      <c r="D32" s="99" t="s">
        <v>1480</v>
      </c>
      <c r="E32" s="491">
        <v>2</v>
      </c>
      <c r="F32" s="20">
        <f t="shared" si="9"/>
        <v>399.60727272727274</v>
      </c>
      <c r="G32" s="19">
        <f t="shared" si="10"/>
        <v>799.21454545454549</v>
      </c>
      <c r="H32" s="19">
        <f t="shared" si="11"/>
        <v>3281.0953949090908</v>
      </c>
      <c r="I32" s="114" t="s">
        <v>1521</v>
      </c>
      <c r="J32" s="210">
        <v>3.1053999999999999</v>
      </c>
      <c r="K32" s="190"/>
      <c r="L32" s="765">
        <v>549.46</v>
      </c>
      <c r="M32" s="765">
        <f t="shared" si="3"/>
        <v>392.47142857142865</v>
      </c>
      <c r="N32" s="765">
        <f t="shared" si="4"/>
        <v>399.60727272727274</v>
      </c>
      <c r="O32" s="765">
        <f t="shared" si="5"/>
        <v>399.60727272727274</v>
      </c>
    </row>
    <row r="33" spans="1:59" s="98" customFormat="1" outlineLevel="1">
      <c r="A33" s="141" t="s">
        <v>3483</v>
      </c>
      <c r="B33" s="175" t="s">
        <v>3789</v>
      </c>
      <c r="C33" s="100" t="s">
        <v>3790</v>
      </c>
      <c r="D33" s="99" t="s">
        <v>1480</v>
      </c>
      <c r="E33" s="491">
        <v>2</v>
      </c>
      <c r="F33" s="20">
        <f t="shared" si="9"/>
        <v>1103.5272727272727</v>
      </c>
      <c r="G33" s="19">
        <f t="shared" si="10"/>
        <v>2207.0545454545454</v>
      </c>
      <c r="H33" s="19">
        <f t="shared" si="11"/>
        <v>9060.8417309090892</v>
      </c>
      <c r="I33" s="114" t="s">
        <v>1521</v>
      </c>
      <c r="J33" s="210">
        <v>3.1053999999999999</v>
      </c>
      <c r="K33" s="190"/>
      <c r="L33" s="765">
        <v>1517.35</v>
      </c>
      <c r="M33" s="765">
        <f t="shared" si="3"/>
        <v>1083.8214285714287</v>
      </c>
      <c r="N33" s="765">
        <f t="shared" si="4"/>
        <v>1103.5272727272727</v>
      </c>
      <c r="O33" s="765">
        <f t="shared" si="5"/>
        <v>1103.5272727272727</v>
      </c>
    </row>
    <row r="34" spans="1:59" s="98" customFormat="1" outlineLevel="1">
      <c r="A34" s="141" t="s">
        <v>3483</v>
      </c>
      <c r="B34" s="175" t="s">
        <v>3791</v>
      </c>
      <c r="C34" s="100" t="s">
        <v>3792</v>
      </c>
      <c r="D34" s="99" t="s">
        <v>1480</v>
      </c>
      <c r="E34" s="491">
        <v>2</v>
      </c>
      <c r="F34" s="20">
        <f t="shared" si="9"/>
        <v>169.32363636363635</v>
      </c>
      <c r="G34" s="19">
        <f t="shared" si="10"/>
        <v>338.64727272727271</v>
      </c>
      <c r="H34" s="19">
        <f t="shared" si="11"/>
        <v>1390.2825134545451</v>
      </c>
      <c r="I34" s="114" t="s">
        <v>1521</v>
      </c>
      <c r="J34" s="210">
        <v>3.1053999999999999</v>
      </c>
      <c r="K34" s="190"/>
      <c r="L34" s="765">
        <v>232.82</v>
      </c>
      <c r="M34" s="765">
        <f t="shared" si="3"/>
        <v>166.3</v>
      </c>
      <c r="N34" s="765">
        <f t="shared" si="4"/>
        <v>169.32363636363635</v>
      </c>
      <c r="O34" s="765">
        <f t="shared" si="5"/>
        <v>169.32363636363635</v>
      </c>
    </row>
    <row r="35" spans="1:59" s="98" customFormat="1" outlineLevel="1">
      <c r="A35" s="141" t="s">
        <v>3483</v>
      </c>
      <c r="B35" s="175" t="s">
        <v>3793</v>
      </c>
      <c r="C35" s="100" t="s">
        <v>3794</v>
      </c>
      <c r="D35" s="99" t="s">
        <v>1480</v>
      </c>
      <c r="E35" s="491">
        <v>2</v>
      </c>
      <c r="F35" s="20">
        <f t="shared" si="9"/>
        <v>936.33454545454549</v>
      </c>
      <c r="G35" s="19">
        <f t="shared" si="10"/>
        <v>1872.669090909091</v>
      </c>
      <c r="H35" s="19">
        <f t="shared" si="11"/>
        <v>7688.0556858181808</v>
      </c>
      <c r="I35" s="114" t="s">
        <v>1521</v>
      </c>
      <c r="J35" s="210">
        <v>3.1053999999999999</v>
      </c>
      <c r="K35" s="190"/>
      <c r="L35" s="765">
        <v>1287.46</v>
      </c>
      <c r="M35" s="765">
        <f t="shared" si="3"/>
        <v>919.61428571428576</v>
      </c>
      <c r="N35" s="765">
        <f t="shared" si="4"/>
        <v>936.33454545454549</v>
      </c>
      <c r="O35" s="765">
        <f t="shared" si="5"/>
        <v>936.33454545454549</v>
      </c>
    </row>
    <row r="36" spans="1:59" s="98" customFormat="1" outlineLevel="1">
      <c r="A36" s="141" t="s">
        <v>3483</v>
      </c>
      <c r="B36" s="175" t="s">
        <v>3795</v>
      </c>
      <c r="C36" s="100" t="s">
        <v>3796</v>
      </c>
      <c r="D36" s="99" t="s">
        <v>1480</v>
      </c>
      <c r="E36" s="491">
        <v>2</v>
      </c>
      <c r="F36" s="20">
        <f t="shared" si="9"/>
        <v>10857.41090909091</v>
      </c>
      <c r="G36" s="19">
        <f t="shared" si="10"/>
        <v>21714.821818181819</v>
      </c>
      <c r="H36" s="19">
        <f t="shared" si="11"/>
        <v>89148.029492363625</v>
      </c>
      <c r="I36" s="114" t="s">
        <v>1521</v>
      </c>
      <c r="J36" s="210">
        <v>3.1053999999999999</v>
      </c>
      <c r="K36" s="190"/>
      <c r="L36" s="765">
        <v>14928.94</v>
      </c>
      <c r="M36" s="765">
        <f t="shared" si="3"/>
        <v>10663.528571428573</v>
      </c>
      <c r="N36" s="765">
        <f t="shared" si="4"/>
        <v>10857.41090909091</v>
      </c>
      <c r="O36" s="765">
        <f t="shared" si="5"/>
        <v>10857.41090909091</v>
      </c>
    </row>
    <row r="37" spans="1:59" s="98" customFormat="1" outlineLevel="1" collapsed="1">
      <c r="A37" s="141" t="s">
        <v>3483</v>
      </c>
      <c r="B37" s="965" t="s">
        <v>3797</v>
      </c>
      <c r="C37" s="966" t="s">
        <v>3798</v>
      </c>
      <c r="D37" s="967" t="s">
        <v>1480</v>
      </c>
      <c r="E37" s="968">
        <v>2</v>
      </c>
      <c r="F37" s="969">
        <f t="shared" si="9"/>
        <v>426.35636363636365</v>
      </c>
      <c r="G37" s="970">
        <f t="shared" si="10"/>
        <v>852.71272727272731</v>
      </c>
      <c r="H37" s="970">
        <f t="shared" si="11"/>
        <v>3500.726830545454</v>
      </c>
      <c r="I37" s="971" t="s">
        <v>1521</v>
      </c>
      <c r="J37" s="851">
        <v>3.1053999999999999</v>
      </c>
      <c r="K37" s="195"/>
      <c r="L37" s="765">
        <v>586.24</v>
      </c>
      <c r="M37" s="765">
        <f t="shared" si="3"/>
        <v>418.74285714285719</v>
      </c>
      <c r="N37" s="765">
        <f t="shared" si="4"/>
        <v>426.35636363636365</v>
      </c>
      <c r="O37" s="765">
        <f t="shared" si="5"/>
        <v>426.35636363636365</v>
      </c>
    </row>
    <row r="38" spans="1:59" s="166" customFormat="1">
      <c r="B38" s="48"/>
      <c r="C38" s="49"/>
      <c r="D38" s="141"/>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row>
    <row r="39" spans="1:59" s="166" customFormat="1">
      <c r="B39" s="48" t="s">
        <v>3586</v>
      </c>
      <c r="C39" s="49"/>
      <c r="D39" s="141"/>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row>
    <row r="40" spans="1:59" s="166" customFormat="1">
      <c r="B40" s="777" t="s">
        <v>3587</v>
      </c>
      <c r="C40" s="49"/>
      <c r="D40" s="141"/>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row>
    <row r="41" spans="1:59" s="166" customFormat="1">
      <c r="B41" s="777" t="s">
        <v>3588</v>
      </c>
      <c r="C41" s="49"/>
      <c r="D41" s="141"/>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row>
    <row r="42" spans="1:59" s="166" customFormat="1">
      <c r="B42" s="777" t="s">
        <v>3589</v>
      </c>
      <c r="C42" s="49"/>
      <c r="D42" s="141"/>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row>
    <row r="43" spans="1:59" s="166" customFormat="1">
      <c r="B43" s="48"/>
      <c r="C43" s="49"/>
      <c r="D43" s="141"/>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row>
    <row r="44" spans="1:59">
      <c r="B44" s="48" t="s">
        <v>3633</v>
      </c>
    </row>
    <row r="45" spans="1:59">
      <c r="B45" s="777" t="s">
        <v>3634</v>
      </c>
    </row>
  </sheetData>
  <mergeCells count="2">
    <mergeCell ref="E3:G3"/>
    <mergeCell ref="I3:J3"/>
  </mergeCells>
  <printOptions horizontalCentered="1"/>
  <pageMargins left="0.39370078740157483" right="0.39370078740157483" top="0.39370078740157483" bottom="0.39370078740157483" header="0" footer="0"/>
  <pageSetup paperSize="9" scale="56"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8"/>
  <sheetViews>
    <sheetView showGridLines="0" zoomScaleNormal="100" zoomScaleSheetLayoutView="100" workbookViewId="0">
      <selection activeCell="E6" sqref="E6:E7"/>
    </sheetView>
  </sheetViews>
  <sheetFormatPr defaultRowHeight="15"/>
  <cols>
    <col min="1" max="1" width="7.85546875" style="718" customWidth="1"/>
    <col min="2" max="2" width="49.140625" style="718" customWidth="1"/>
    <col min="3" max="3" width="10.7109375" style="718" customWidth="1"/>
    <col min="4" max="4" width="13.5703125" style="718" customWidth="1"/>
    <col min="5" max="5" width="13.42578125" style="718" customWidth="1"/>
    <col min="6" max="6" width="11.85546875" style="718" customWidth="1"/>
    <col min="7" max="7" width="14.28515625" style="718" customWidth="1"/>
    <col min="8" max="8" width="9.140625" style="439"/>
    <col min="9" max="9" width="20.42578125" style="439" customWidth="1"/>
    <col min="10" max="10" width="15.28515625" style="439" customWidth="1"/>
    <col min="11" max="11" width="6.7109375" style="439" customWidth="1"/>
    <col min="12" max="12" width="13.5703125" style="439" customWidth="1"/>
    <col min="13" max="256" width="9.140625" style="439"/>
    <col min="257" max="257" width="7.85546875" style="439" customWidth="1"/>
    <col min="258" max="258" width="56.7109375" style="439" customWidth="1"/>
    <col min="259" max="259" width="10.7109375" style="439" customWidth="1"/>
    <col min="260" max="260" width="13.5703125" style="439" customWidth="1"/>
    <col min="261" max="262" width="11.85546875" style="439" customWidth="1"/>
    <col min="263" max="263" width="13.140625" style="439" customWidth="1"/>
    <col min="264" max="264" width="9.140625" style="439"/>
    <col min="265" max="265" width="12.7109375" style="439" bestFit="1" customWidth="1"/>
    <col min="266" max="512" width="9.140625" style="439"/>
    <col min="513" max="513" width="7.85546875" style="439" customWidth="1"/>
    <col min="514" max="514" width="56.7109375" style="439" customWidth="1"/>
    <col min="515" max="515" width="10.7109375" style="439" customWidth="1"/>
    <col min="516" max="516" width="13.5703125" style="439" customWidth="1"/>
    <col min="517" max="518" width="11.85546875" style="439" customWidth="1"/>
    <col min="519" max="519" width="13.140625" style="439" customWidth="1"/>
    <col min="520" max="520" width="9.140625" style="439"/>
    <col min="521" max="521" width="12.7109375" style="439" bestFit="1" customWidth="1"/>
    <col min="522" max="768" width="9.140625" style="439"/>
    <col min="769" max="769" width="7.85546875" style="439" customWidth="1"/>
    <col min="770" max="770" width="56.7109375" style="439" customWidth="1"/>
    <col min="771" max="771" width="10.7109375" style="439" customWidth="1"/>
    <col min="772" max="772" width="13.5703125" style="439" customWidth="1"/>
    <col min="773" max="774" width="11.85546875" style="439" customWidth="1"/>
    <col min="775" max="775" width="13.140625" style="439" customWidth="1"/>
    <col min="776" max="776" width="9.140625" style="439"/>
    <col min="777" max="777" width="12.7109375" style="439" bestFit="1" customWidth="1"/>
    <col min="778" max="1024" width="9.140625" style="439"/>
    <col min="1025" max="1025" width="7.85546875" style="439" customWidth="1"/>
    <col min="1026" max="1026" width="56.7109375" style="439" customWidth="1"/>
    <col min="1027" max="1027" width="10.7109375" style="439" customWidth="1"/>
    <col min="1028" max="1028" width="13.5703125" style="439" customWidth="1"/>
    <col min="1029" max="1030" width="11.85546875" style="439" customWidth="1"/>
    <col min="1031" max="1031" width="13.140625" style="439" customWidth="1"/>
    <col min="1032" max="1032" width="9.140625" style="439"/>
    <col min="1033" max="1033" width="12.7109375" style="439" bestFit="1" customWidth="1"/>
    <col min="1034" max="1280" width="9.140625" style="439"/>
    <col min="1281" max="1281" width="7.85546875" style="439" customWidth="1"/>
    <col min="1282" max="1282" width="56.7109375" style="439" customWidth="1"/>
    <col min="1283" max="1283" width="10.7109375" style="439" customWidth="1"/>
    <col min="1284" max="1284" width="13.5703125" style="439" customWidth="1"/>
    <col min="1285" max="1286" width="11.85546875" style="439" customWidth="1"/>
    <col min="1287" max="1287" width="13.140625" style="439" customWidth="1"/>
    <col min="1288" max="1288" width="9.140625" style="439"/>
    <col min="1289" max="1289" width="12.7109375" style="439" bestFit="1" customWidth="1"/>
    <col min="1290" max="1536" width="9.140625" style="439"/>
    <col min="1537" max="1537" width="7.85546875" style="439" customWidth="1"/>
    <col min="1538" max="1538" width="56.7109375" style="439" customWidth="1"/>
    <col min="1539" max="1539" width="10.7109375" style="439" customWidth="1"/>
    <col min="1540" max="1540" width="13.5703125" style="439" customWidth="1"/>
    <col min="1541" max="1542" width="11.85546875" style="439" customWidth="1"/>
    <col min="1543" max="1543" width="13.140625" style="439" customWidth="1"/>
    <col min="1544" max="1544" width="9.140625" style="439"/>
    <col min="1545" max="1545" width="12.7109375" style="439" bestFit="1" customWidth="1"/>
    <col min="1546" max="1792" width="9.140625" style="439"/>
    <col min="1793" max="1793" width="7.85546875" style="439" customWidth="1"/>
    <col min="1794" max="1794" width="56.7109375" style="439" customWidth="1"/>
    <col min="1795" max="1795" width="10.7109375" style="439" customWidth="1"/>
    <col min="1796" max="1796" width="13.5703125" style="439" customWidth="1"/>
    <col min="1797" max="1798" width="11.85546875" style="439" customWidth="1"/>
    <col min="1799" max="1799" width="13.140625" style="439" customWidth="1"/>
    <col min="1800" max="1800" width="9.140625" style="439"/>
    <col min="1801" max="1801" width="12.7109375" style="439" bestFit="1" customWidth="1"/>
    <col min="1802" max="2048" width="9.140625" style="439"/>
    <col min="2049" max="2049" width="7.85546875" style="439" customWidth="1"/>
    <col min="2050" max="2050" width="56.7109375" style="439" customWidth="1"/>
    <col min="2051" max="2051" width="10.7109375" style="439" customWidth="1"/>
    <col min="2052" max="2052" width="13.5703125" style="439" customWidth="1"/>
    <col min="2053" max="2054" width="11.85546875" style="439" customWidth="1"/>
    <col min="2055" max="2055" width="13.140625" style="439" customWidth="1"/>
    <col min="2056" max="2056" width="9.140625" style="439"/>
    <col min="2057" max="2057" width="12.7109375" style="439" bestFit="1" customWidth="1"/>
    <col min="2058" max="2304" width="9.140625" style="439"/>
    <col min="2305" max="2305" width="7.85546875" style="439" customWidth="1"/>
    <col min="2306" max="2306" width="56.7109375" style="439" customWidth="1"/>
    <col min="2307" max="2307" width="10.7109375" style="439" customWidth="1"/>
    <col min="2308" max="2308" width="13.5703125" style="439" customWidth="1"/>
    <col min="2309" max="2310" width="11.85546875" style="439" customWidth="1"/>
    <col min="2311" max="2311" width="13.140625" style="439" customWidth="1"/>
    <col min="2312" max="2312" width="9.140625" style="439"/>
    <col min="2313" max="2313" width="12.7109375" style="439" bestFit="1" customWidth="1"/>
    <col min="2314" max="2560" width="9.140625" style="439"/>
    <col min="2561" max="2561" width="7.85546875" style="439" customWidth="1"/>
    <col min="2562" max="2562" width="56.7109375" style="439" customWidth="1"/>
    <col min="2563" max="2563" width="10.7109375" style="439" customWidth="1"/>
    <col min="2564" max="2564" width="13.5703125" style="439" customWidth="1"/>
    <col min="2565" max="2566" width="11.85546875" style="439" customWidth="1"/>
    <col min="2567" max="2567" width="13.140625" style="439" customWidth="1"/>
    <col min="2568" max="2568" width="9.140625" style="439"/>
    <col min="2569" max="2569" width="12.7109375" style="439" bestFit="1" customWidth="1"/>
    <col min="2570" max="2816" width="9.140625" style="439"/>
    <col min="2817" max="2817" width="7.85546875" style="439" customWidth="1"/>
    <col min="2818" max="2818" width="56.7109375" style="439" customWidth="1"/>
    <col min="2819" max="2819" width="10.7109375" style="439" customWidth="1"/>
    <col min="2820" max="2820" width="13.5703125" style="439" customWidth="1"/>
    <col min="2821" max="2822" width="11.85546875" style="439" customWidth="1"/>
    <col min="2823" max="2823" width="13.140625" style="439" customWidth="1"/>
    <col min="2824" max="2824" width="9.140625" style="439"/>
    <col min="2825" max="2825" width="12.7109375" style="439" bestFit="1" customWidth="1"/>
    <col min="2826" max="3072" width="9.140625" style="439"/>
    <col min="3073" max="3073" width="7.85546875" style="439" customWidth="1"/>
    <col min="3074" max="3074" width="56.7109375" style="439" customWidth="1"/>
    <col min="3075" max="3075" width="10.7109375" style="439" customWidth="1"/>
    <col min="3076" max="3076" width="13.5703125" style="439" customWidth="1"/>
    <col min="3077" max="3078" width="11.85546875" style="439" customWidth="1"/>
    <col min="3079" max="3079" width="13.140625" style="439" customWidth="1"/>
    <col min="3080" max="3080" width="9.140625" style="439"/>
    <col min="3081" max="3081" width="12.7109375" style="439" bestFit="1" customWidth="1"/>
    <col min="3082" max="3328" width="9.140625" style="439"/>
    <col min="3329" max="3329" width="7.85546875" style="439" customWidth="1"/>
    <col min="3330" max="3330" width="56.7109375" style="439" customWidth="1"/>
    <col min="3331" max="3331" width="10.7109375" style="439" customWidth="1"/>
    <col min="3332" max="3332" width="13.5703125" style="439" customWidth="1"/>
    <col min="3333" max="3334" width="11.85546875" style="439" customWidth="1"/>
    <col min="3335" max="3335" width="13.140625" style="439" customWidth="1"/>
    <col min="3336" max="3336" width="9.140625" style="439"/>
    <col min="3337" max="3337" width="12.7109375" style="439" bestFit="1" customWidth="1"/>
    <col min="3338" max="3584" width="9.140625" style="439"/>
    <col min="3585" max="3585" width="7.85546875" style="439" customWidth="1"/>
    <col min="3586" max="3586" width="56.7109375" style="439" customWidth="1"/>
    <col min="3587" max="3587" width="10.7109375" style="439" customWidth="1"/>
    <col min="3588" max="3588" width="13.5703125" style="439" customWidth="1"/>
    <col min="3589" max="3590" width="11.85546875" style="439" customWidth="1"/>
    <col min="3591" max="3591" width="13.140625" style="439" customWidth="1"/>
    <col min="3592" max="3592" width="9.140625" style="439"/>
    <col min="3593" max="3593" width="12.7109375" style="439" bestFit="1" customWidth="1"/>
    <col min="3594" max="3840" width="9.140625" style="439"/>
    <col min="3841" max="3841" width="7.85546875" style="439" customWidth="1"/>
    <col min="3842" max="3842" width="56.7109375" style="439" customWidth="1"/>
    <col min="3843" max="3843" width="10.7109375" style="439" customWidth="1"/>
    <col min="3844" max="3844" width="13.5703125" style="439" customWidth="1"/>
    <col min="3845" max="3846" width="11.85546875" style="439" customWidth="1"/>
    <col min="3847" max="3847" width="13.140625" style="439" customWidth="1"/>
    <col min="3848" max="3848" width="9.140625" style="439"/>
    <col min="3849" max="3849" width="12.7109375" style="439" bestFit="1" customWidth="1"/>
    <col min="3850" max="4096" width="9.140625" style="439"/>
    <col min="4097" max="4097" width="7.85546875" style="439" customWidth="1"/>
    <col min="4098" max="4098" width="56.7109375" style="439" customWidth="1"/>
    <col min="4099" max="4099" width="10.7109375" style="439" customWidth="1"/>
    <col min="4100" max="4100" width="13.5703125" style="439" customWidth="1"/>
    <col min="4101" max="4102" width="11.85546875" style="439" customWidth="1"/>
    <col min="4103" max="4103" width="13.140625" style="439" customWidth="1"/>
    <col min="4104" max="4104" width="9.140625" style="439"/>
    <col min="4105" max="4105" width="12.7109375" style="439" bestFit="1" customWidth="1"/>
    <col min="4106" max="4352" width="9.140625" style="439"/>
    <col min="4353" max="4353" width="7.85546875" style="439" customWidth="1"/>
    <col min="4354" max="4354" width="56.7109375" style="439" customWidth="1"/>
    <col min="4355" max="4355" width="10.7109375" style="439" customWidth="1"/>
    <col min="4356" max="4356" width="13.5703125" style="439" customWidth="1"/>
    <col min="4357" max="4358" width="11.85546875" style="439" customWidth="1"/>
    <col min="4359" max="4359" width="13.140625" style="439" customWidth="1"/>
    <col min="4360" max="4360" width="9.140625" style="439"/>
    <col min="4361" max="4361" width="12.7109375" style="439" bestFit="1" customWidth="1"/>
    <col min="4362" max="4608" width="9.140625" style="439"/>
    <col min="4609" max="4609" width="7.85546875" style="439" customWidth="1"/>
    <col min="4610" max="4610" width="56.7109375" style="439" customWidth="1"/>
    <col min="4611" max="4611" width="10.7109375" style="439" customWidth="1"/>
    <col min="4612" max="4612" width="13.5703125" style="439" customWidth="1"/>
    <col min="4613" max="4614" width="11.85546875" style="439" customWidth="1"/>
    <col min="4615" max="4615" width="13.140625" style="439" customWidth="1"/>
    <col min="4616" max="4616" width="9.140625" style="439"/>
    <col min="4617" max="4617" width="12.7109375" style="439" bestFit="1" customWidth="1"/>
    <col min="4618" max="4864" width="9.140625" style="439"/>
    <col min="4865" max="4865" width="7.85546875" style="439" customWidth="1"/>
    <col min="4866" max="4866" width="56.7109375" style="439" customWidth="1"/>
    <col min="4867" max="4867" width="10.7109375" style="439" customWidth="1"/>
    <col min="4868" max="4868" width="13.5703125" style="439" customWidth="1"/>
    <col min="4869" max="4870" width="11.85546875" style="439" customWidth="1"/>
    <col min="4871" max="4871" width="13.140625" style="439" customWidth="1"/>
    <col min="4872" max="4872" width="9.140625" style="439"/>
    <col min="4873" max="4873" width="12.7109375" style="439" bestFit="1" customWidth="1"/>
    <col min="4874" max="5120" width="9.140625" style="439"/>
    <col min="5121" max="5121" width="7.85546875" style="439" customWidth="1"/>
    <col min="5122" max="5122" width="56.7109375" style="439" customWidth="1"/>
    <col min="5123" max="5123" width="10.7109375" style="439" customWidth="1"/>
    <col min="5124" max="5124" width="13.5703125" style="439" customWidth="1"/>
    <col min="5125" max="5126" width="11.85546875" style="439" customWidth="1"/>
    <col min="5127" max="5127" width="13.140625" style="439" customWidth="1"/>
    <col min="5128" max="5128" width="9.140625" style="439"/>
    <col min="5129" max="5129" width="12.7109375" style="439" bestFit="1" customWidth="1"/>
    <col min="5130" max="5376" width="9.140625" style="439"/>
    <col min="5377" max="5377" width="7.85546875" style="439" customWidth="1"/>
    <col min="5378" max="5378" width="56.7109375" style="439" customWidth="1"/>
    <col min="5379" max="5379" width="10.7109375" style="439" customWidth="1"/>
    <col min="5380" max="5380" width="13.5703125" style="439" customWidth="1"/>
    <col min="5381" max="5382" width="11.85546875" style="439" customWidth="1"/>
    <col min="5383" max="5383" width="13.140625" style="439" customWidth="1"/>
    <col min="5384" max="5384" width="9.140625" style="439"/>
    <col min="5385" max="5385" width="12.7109375" style="439" bestFit="1" customWidth="1"/>
    <col min="5386" max="5632" width="9.140625" style="439"/>
    <col min="5633" max="5633" width="7.85546875" style="439" customWidth="1"/>
    <col min="5634" max="5634" width="56.7109375" style="439" customWidth="1"/>
    <col min="5635" max="5635" width="10.7109375" style="439" customWidth="1"/>
    <col min="5636" max="5636" width="13.5703125" style="439" customWidth="1"/>
    <col min="5637" max="5638" width="11.85546875" style="439" customWidth="1"/>
    <col min="5639" max="5639" width="13.140625" style="439" customWidth="1"/>
    <col min="5640" max="5640" width="9.140625" style="439"/>
    <col min="5641" max="5641" width="12.7109375" style="439" bestFit="1" customWidth="1"/>
    <col min="5642" max="5888" width="9.140625" style="439"/>
    <col min="5889" max="5889" width="7.85546875" style="439" customWidth="1"/>
    <col min="5890" max="5890" width="56.7109375" style="439" customWidth="1"/>
    <col min="5891" max="5891" width="10.7109375" style="439" customWidth="1"/>
    <col min="5892" max="5892" width="13.5703125" style="439" customWidth="1"/>
    <col min="5893" max="5894" width="11.85546875" style="439" customWidth="1"/>
    <col min="5895" max="5895" width="13.140625" style="439" customWidth="1"/>
    <col min="5896" max="5896" width="9.140625" style="439"/>
    <col min="5897" max="5897" width="12.7109375" style="439" bestFit="1" customWidth="1"/>
    <col min="5898" max="6144" width="9.140625" style="439"/>
    <col min="6145" max="6145" width="7.85546875" style="439" customWidth="1"/>
    <col min="6146" max="6146" width="56.7109375" style="439" customWidth="1"/>
    <col min="6147" max="6147" width="10.7109375" style="439" customWidth="1"/>
    <col min="6148" max="6148" width="13.5703125" style="439" customWidth="1"/>
    <col min="6149" max="6150" width="11.85546875" style="439" customWidth="1"/>
    <col min="6151" max="6151" width="13.140625" style="439" customWidth="1"/>
    <col min="6152" max="6152" width="9.140625" style="439"/>
    <col min="6153" max="6153" width="12.7109375" style="439" bestFit="1" customWidth="1"/>
    <col min="6154" max="6400" width="9.140625" style="439"/>
    <col min="6401" max="6401" width="7.85546875" style="439" customWidth="1"/>
    <col min="6402" max="6402" width="56.7109375" style="439" customWidth="1"/>
    <col min="6403" max="6403" width="10.7109375" style="439" customWidth="1"/>
    <col min="6404" max="6404" width="13.5703125" style="439" customWidth="1"/>
    <col min="6405" max="6406" width="11.85546875" style="439" customWidth="1"/>
    <col min="6407" max="6407" width="13.140625" style="439" customWidth="1"/>
    <col min="6408" max="6408" width="9.140625" style="439"/>
    <col min="6409" max="6409" width="12.7109375" style="439" bestFit="1" customWidth="1"/>
    <col min="6410" max="6656" width="9.140625" style="439"/>
    <col min="6657" max="6657" width="7.85546875" style="439" customWidth="1"/>
    <col min="6658" max="6658" width="56.7109375" style="439" customWidth="1"/>
    <col min="6659" max="6659" width="10.7109375" style="439" customWidth="1"/>
    <col min="6660" max="6660" width="13.5703125" style="439" customWidth="1"/>
    <col min="6661" max="6662" width="11.85546875" style="439" customWidth="1"/>
    <col min="6663" max="6663" width="13.140625" style="439" customWidth="1"/>
    <col min="6664" max="6664" width="9.140625" style="439"/>
    <col min="6665" max="6665" width="12.7109375" style="439" bestFit="1" customWidth="1"/>
    <col min="6666" max="6912" width="9.140625" style="439"/>
    <col min="6913" max="6913" width="7.85546875" style="439" customWidth="1"/>
    <col min="6914" max="6914" width="56.7109375" style="439" customWidth="1"/>
    <col min="6915" max="6915" width="10.7109375" style="439" customWidth="1"/>
    <col min="6916" max="6916" width="13.5703125" style="439" customWidth="1"/>
    <col min="6917" max="6918" width="11.85546875" style="439" customWidth="1"/>
    <col min="6919" max="6919" width="13.140625" style="439" customWidth="1"/>
    <col min="6920" max="6920" width="9.140625" style="439"/>
    <col min="6921" max="6921" width="12.7109375" style="439" bestFit="1" customWidth="1"/>
    <col min="6922" max="7168" width="9.140625" style="439"/>
    <col min="7169" max="7169" width="7.85546875" style="439" customWidth="1"/>
    <col min="7170" max="7170" width="56.7109375" style="439" customWidth="1"/>
    <col min="7171" max="7171" width="10.7109375" style="439" customWidth="1"/>
    <col min="7172" max="7172" width="13.5703125" style="439" customWidth="1"/>
    <col min="7173" max="7174" width="11.85546875" style="439" customWidth="1"/>
    <col min="7175" max="7175" width="13.140625" style="439" customWidth="1"/>
    <col min="7176" max="7176" width="9.140625" style="439"/>
    <col min="7177" max="7177" width="12.7109375" style="439" bestFit="1" customWidth="1"/>
    <col min="7178" max="7424" width="9.140625" style="439"/>
    <col min="7425" max="7425" width="7.85546875" style="439" customWidth="1"/>
    <col min="7426" max="7426" width="56.7109375" style="439" customWidth="1"/>
    <col min="7427" max="7427" width="10.7109375" style="439" customWidth="1"/>
    <col min="7428" max="7428" width="13.5703125" style="439" customWidth="1"/>
    <col min="7429" max="7430" width="11.85546875" style="439" customWidth="1"/>
    <col min="7431" max="7431" width="13.140625" style="439" customWidth="1"/>
    <col min="7432" max="7432" width="9.140625" style="439"/>
    <col min="7433" max="7433" width="12.7109375" style="439" bestFit="1" customWidth="1"/>
    <col min="7434" max="7680" width="9.140625" style="439"/>
    <col min="7681" max="7681" width="7.85546875" style="439" customWidth="1"/>
    <col min="7682" max="7682" width="56.7109375" style="439" customWidth="1"/>
    <col min="7683" max="7683" width="10.7109375" style="439" customWidth="1"/>
    <col min="7684" max="7684" width="13.5703125" style="439" customWidth="1"/>
    <col min="7685" max="7686" width="11.85546875" style="439" customWidth="1"/>
    <col min="7687" max="7687" width="13.140625" style="439" customWidth="1"/>
    <col min="7688" max="7688" width="9.140625" style="439"/>
    <col min="7689" max="7689" width="12.7109375" style="439" bestFit="1" customWidth="1"/>
    <col min="7690" max="7936" width="9.140625" style="439"/>
    <col min="7937" max="7937" width="7.85546875" style="439" customWidth="1"/>
    <col min="7938" max="7938" width="56.7109375" style="439" customWidth="1"/>
    <col min="7939" max="7939" width="10.7109375" style="439" customWidth="1"/>
    <col min="7940" max="7940" width="13.5703125" style="439" customWidth="1"/>
    <col min="7941" max="7942" width="11.85546875" style="439" customWidth="1"/>
    <col min="7943" max="7943" width="13.140625" style="439" customWidth="1"/>
    <col min="7944" max="7944" width="9.140625" style="439"/>
    <col min="7945" max="7945" width="12.7109375" style="439" bestFit="1" customWidth="1"/>
    <col min="7946" max="8192" width="9.140625" style="439"/>
    <col min="8193" max="8193" width="7.85546875" style="439" customWidth="1"/>
    <col min="8194" max="8194" width="56.7109375" style="439" customWidth="1"/>
    <col min="8195" max="8195" width="10.7109375" style="439" customWidth="1"/>
    <col min="8196" max="8196" width="13.5703125" style="439" customWidth="1"/>
    <col min="8197" max="8198" width="11.85546875" style="439" customWidth="1"/>
    <col min="8199" max="8199" width="13.140625" style="439" customWidth="1"/>
    <col min="8200" max="8200" width="9.140625" style="439"/>
    <col min="8201" max="8201" width="12.7109375" style="439" bestFit="1" customWidth="1"/>
    <col min="8202" max="8448" width="9.140625" style="439"/>
    <col min="8449" max="8449" width="7.85546875" style="439" customWidth="1"/>
    <col min="8450" max="8450" width="56.7109375" style="439" customWidth="1"/>
    <col min="8451" max="8451" width="10.7109375" style="439" customWidth="1"/>
    <col min="8452" max="8452" width="13.5703125" style="439" customWidth="1"/>
    <col min="8453" max="8454" width="11.85546875" style="439" customWidth="1"/>
    <col min="8455" max="8455" width="13.140625" style="439" customWidth="1"/>
    <col min="8456" max="8456" width="9.140625" style="439"/>
    <col min="8457" max="8457" width="12.7109375" style="439" bestFit="1" customWidth="1"/>
    <col min="8458" max="8704" width="9.140625" style="439"/>
    <col min="8705" max="8705" width="7.85546875" style="439" customWidth="1"/>
    <col min="8706" max="8706" width="56.7109375" style="439" customWidth="1"/>
    <col min="8707" max="8707" width="10.7109375" style="439" customWidth="1"/>
    <col min="8708" max="8708" width="13.5703125" style="439" customWidth="1"/>
    <col min="8709" max="8710" width="11.85546875" style="439" customWidth="1"/>
    <col min="8711" max="8711" width="13.140625" style="439" customWidth="1"/>
    <col min="8712" max="8712" width="9.140625" style="439"/>
    <col min="8713" max="8713" width="12.7109375" style="439" bestFit="1" customWidth="1"/>
    <col min="8714" max="8960" width="9.140625" style="439"/>
    <col min="8961" max="8961" width="7.85546875" style="439" customWidth="1"/>
    <col min="8962" max="8962" width="56.7109375" style="439" customWidth="1"/>
    <col min="8963" max="8963" width="10.7109375" style="439" customWidth="1"/>
    <col min="8964" max="8964" width="13.5703125" style="439" customWidth="1"/>
    <col min="8965" max="8966" width="11.85546875" style="439" customWidth="1"/>
    <col min="8967" max="8967" width="13.140625" style="439" customWidth="1"/>
    <col min="8968" max="8968" width="9.140625" style="439"/>
    <col min="8969" max="8969" width="12.7109375" style="439" bestFit="1" customWidth="1"/>
    <col min="8970" max="9216" width="9.140625" style="439"/>
    <col min="9217" max="9217" width="7.85546875" style="439" customWidth="1"/>
    <col min="9218" max="9218" width="56.7109375" style="439" customWidth="1"/>
    <col min="9219" max="9219" width="10.7109375" style="439" customWidth="1"/>
    <col min="9220" max="9220" width="13.5703125" style="439" customWidth="1"/>
    <col min="9221" max="9222" width="11.85546875" style="439" customWidth="1"/>
    <col min="9223" max="9223" width="13.140625" style="439" customWidth="1"/>
    <col min="9224" max="9224" width="9.140625" style="439"/>
    <col min="9225" max="9225" width="12.7109375" style="439" bestFit="1" customWidth="1"/>
    <col min="9226" max="9472" width="9.140625" style="439"/>
    <col min="9473" max="9473" width="7.85546875" style="439" customWidth="1"/>
    <col min="9474" max="9474" width="56.7109375" style="439" customWidth="1"/>
    <col min="9475" max="9475" width="10.7109375" style="439" customWidth="1"/>
    <col min="9476" max="9476" width="13.5703125" style="439" customWidth="1"/>
    <col min="9477" max="9478" width="11.85546875" style="439" customWidth="1"/>
    <col min="9479" max="9479" width="13.140625" style="439" customWidth="1"/>
    <col min="9480" max="9480" width="9.140625" style="439"/>
    <col min="9481" max="9481" width="12.7109375" style="439" bestFit="1" customWidth="1"/>
    <col min="9482" max="9728" width="9.140625" style="439"/>
    <col min="9729" max="9729" width="7.85546875" style="439" customWidth="1"/>
    <col min="9730" max="9730" width="56.7109375" style="439" customWidth="1"/>
    <col min="9731" max="9731" width="10.7109375" style="439" customWidth="1"/>
    <col min="9732" max="9732" width="13.5703125" style="439" customWidth="1"/>
    <col min="9733" max="9734" width="11.85546875" style="439" customWidth="1"/>
    <col min="9735" max="9735" width="13.140625" style="439" customWidth="1"/>
    <col min="9736" max="9736" width="9.140625" style="439"/>
    <col min="9737" max="9737" width="12.7109375" style="439" bestFit="1" customWidth="1"/>
    <col min="9738" max="9984" width="9.140625" style="439"/>
    <col min="9985" max="9985" width="7.85546875" style="439" customWidth="1"/>
    <col min="9986" max="9986" width="56.7109375" style="439" customWidth="1"/>
    <col min="9987" max="9987" width="10.7109375" style="439" customWidth="1"/>
    <col min="9988" max="9988" width="13.5703125" style="439" customWidth="1"/>
    <col min="9989" max="9990" width="11.85546875" style="439" customWidth="1"/>
    <col min="9991" max="9991" width="13.140625" style="439" customWidth="1"/>
    <col min="9992" max="9992" width="9.140625" style="439"/>
    <col min="9993" max="9993" width="12.7109375" style="439" bestFit="1" customWidth="1"/>
    <col min="9994" max="10240" width="9.140625" style="439"/>
    <col min="10241" max="10241" width="7.85546875" style="439" customWidth="1"/>
    <col min="10242" max="10242" width="56.7109375" style="439" customWidth="1"/>
    <col min="10243" max="10243" width="10.7109375" style="439" customWidth="1"/>
    <col min="10244" max="10244" width="13.5703125" style="439" customWidth="1"/>
    <col min="10245" max="10246" width="11.85546875" style="439" customWidth="1"/>
    <col min="10247" max="10247" width="13.140625" style="439" customWidth="1"/>
    <col min="10248" max="10248" width="9.140625" style="439"/>
    <col min="10249" max="10249" width="12.7109375" style="439" bestFit="1" customWidth="1"/>
    <col min="10250" max="10496" width="9.140625" style="439"/>
    <col min="10497" max="10497" width="7.85546875" style="439" customWidth="1"/>
    <col min="10498" max="10498" width="56.7109375" style="439" customWidth="1"/>
    <col min="10499" max="10499" width="10.7109375" style="439" customWidth="1"/>
    <col min="10500" max="10500" width="13.5703125" style="439" customWidth="1"/>
    <col min="10501" max="10502" width="11.85546875" style="439" customWidth="1"/>
    <col min="10503" max="10503" width="13.140625" style="439" customWidth="1"/>
    <col min="10504" max="10504" width="9.140625" style="439"/>
    <col min="10505" max="10505" width="12.7109375" style="439" bestFit="1" customWidth="1"/>
    <col min="10506" max="10752" width="9.140625" style="439"/>
    <col min="10753" max="10753" width="7.85546875" style="439" customWidth="1"/>
    <col min="10754" max="10754" width="56.7109375" style="439" customWidth="1"/>
    <col min="10755" max="10755" width="10.7109375" style="439" customWidth="1"/>
    <col min="10756" max="10756" width="13.5703125" style="439" customWidth="1"/>
    <col min="10757" max="10758" width="11.85546875" style="439" customWidth="1"/>
    <col min="10759" max="10759" width="13.140625" style="439" customWidth="1"/>
    <col min="10760" max="10760" width="9.140625" style="439"/>
    <col min="10761" max="10761" width="12.7109375" style="439" bestFit="1" customWidth="1"/>
    <col min="10762" max="11008" width="9.140625" style="439"/>
    <col min="11009" max="11009" width="7.85546875" style="439" customWidth="1"/>
    <col min="11010" max="11010" width="56.7109375" style="439" customWidth="1"/>
    <col min="11011" max="11011" width="10.7109375" style="439" customWidth="1"/>
    <col min="11012" max="11012" width="13.5703125" style="439" customWidth="1"/>
    <col min="11013" max="11014" width="11.85546875" style="439" customWidth="1"/>
    <col min="11015" max="11015" width="13.140625" style="439" customWidth="1"/>
    <col min="11016" max="11016" width="9.140625" style="439"/>
    <col min="11017" max="11017" width="12.7109375" style="439" bestFit="1" customWidth="1"/>
    <col min="11018" max="11264" width="9.140625" style="439"/>
    <col min="11265" max="11265" width="7.85546875" style="439" customWidth="1"/>
    <col min="11266" max="11266" width="56.7109375" style="439" customWidth="1"/>
    <col min="11267" max="11267" width="10.7109375" style="439" customWidth="1"/>
    <col min="11268" max="11268" width="13.5703125" style="439" customWidth="1"/>
    <col min="11269" max="11270" width="11.85546875" style="439" customWidth="1"/>
    <col min="11271" max="11271" width="13.140625" style="439" customWidth="1"/>
    <col min="11272" max="11272" width="9.140625" style="439"/>
    <col min="11273" max="11273" width="12.7109375" style="439" bestFit="1" customWidth="1"/>
    <col min="11274" max="11520" width="9.140625" style="439"/>
    <col min="11521" max="11521" width="7.85546875" style="439" customWidth="1"/>
    <col min="11522" max="11522" width="56.7109375" style="439" customWidth="1"/>
    <col min="11523" max="11523" width="10.7109375" style="439" customWidth="1"/>
    <col min="11524" max="11524" width="13.5703125" style="439" customWidth="1"/>
    <col min="11525" max="11526" width="11.85546875" style="439" customWidth="1"/>
    <col min="11527" max="11527" width="13.140625" style="439" customWidth="1"/>
    <col min="11528" max="11528" width="9.140625" style="439"/>
    <col min="11529" max="11529" width="12.7109375" style="439" bestFit="1" customWidth="1"/>
    <col min="11530" max="11776" width="9.140625" style="439"/>
    <col min="11777" max="11777" width="7.85546875" style="439" customWidth="1"/>
    <col min="11778" max="11778" width="56.7109375" style="439" customWidth="1"/>
    <col min="11779" max="11779" width="10.7109375" style="439" customWidth="1"/>
    <col min="11780" max="11780" width="13.5703125" style="439" customWidth="1"/>
    <col min="11781" max="11782" width="11.85546875" style="439" customWidth="1"/>
    <col min="11783" max="11783" width="13.140625" style="439" customWidth="1"/>
    <col min="11784" max="11784" width="9.140625" style="439"/>
    <col min="11785" max="11785" width="12.7109375" style="439" bestFit="1" customWidth="1"/>
    <col min="11786" max="12032" width="9.140625" style="439"/>
    <col min="12033" max="12033" width="7.85546875" style="439" customWidth="1"/>
    <col min="12034" max="12034" width="56.7109375" style="439" customWidth="1"/>
    <col min="12035" max="12035" width="10.7109375" style="439" customWidth="1"/>
    <col min="12036" max="12036" width="13.5703125" style="439" customWidth="1"/>
    <col min="12037" max="12038" width="11.85546875" style="439" customWidth="1"/>
    <col min="12039" max="12039" width="13.140625" style="439" customWidth="1"/>
    <col min="12040" max="12040" width="9.140625" style="439"/>
    <col min="12041" max="12041" width="12.7109375" style="439" bestFit="1" customWidth="1"/>
    <col min="12042" max="12288" width="9.140625" style="439"/>
    <col min="12289" max="12289" width="7.85546875" style="439" customWidth="1"/>
    <col min="12290" max="12290" width="56.7109375" style="439" customWidth="1"/>
    <col min="12291" max="12291" width="10.7109375" style="439" customWidth="1"/>
    <col min="12292" max="12292" width="13.5703125" style="439" customWidth="1"/>
    <col min="12293" max="12294" width="11.85546875" style="439" customWidth="1"/>
    <col min="12295" max="12295" width="13.140625" style="439" customWidth="1"/>
    <col min="12296" max="12296" width="9.140625" style="439"/>
    <col min="12297" max="12297" width="12.7109375" style="439" bestFit="1" customWidth="1"/>
    <col min="12298" max="12544" width="9.140625" style="439"/>
    <col min="12545" max="12545" width="7.85546875" style="439" customWidth="1"/>
    <col min="12546" max="12546" width="56.7109375" style="439" customWidth="1"/>
    <col min="12547" max="12547" width="10.7109375" style="439" customWidth="1"/>
    <col min="12548" max="12548" width="13.5703125" style="439" customWidth="1"/>
    <col min="12549" max="12550" width="11.85546875" style="439" customWidth="1"/>
    <col min="12551" max="12551" width="13.140625" style="439" customWidth="1"/>
    <col min="12552" max="12552" width="9.140625" style="439"/>
    <col min="12553" max="12553" width="12.7109375" style="439" bestFit="1" customWidth="1"/>
    <col min="12554" max="12800" width="9.140625" style="439"/>
    <col min="12801" max="12801" width="7.85546875" style="439" customWidth="1"/>
    <col min="12802" max="12802" width="56.7109375" style="439" customWidth="1"/>
    <col min="12803" max="12803" width="10.7109375" style="439" customWidth="1"/>
    <col min="12804" max="12804" width="13.5703125" style="439" customWidth="1"/>
    <col min="12805" max="12806" width="11.85546875" style="439" customWidth="1"/>
    <col min="12807" max="12807" width="13.140625" style="439" customWidth="1"/>
    <col min="12808" max="12808" width="9.140625" style="439"/>
    <col min="12809" max="12809" width="12.7109375" style="439" bestFit="1" customWidth="1"/>
    <col min="12810" max="13056" width="9.140625" style="439"/>
    <col min="13057" max="13057" width="7.85546875" style="439" customWidth="1"/>
    <col min="13058" max="13058" width="56.7109375" style="439" customWidth="1"/>
    <col min="13059" max="13059" width="10.7109375" style="439" customWidth="1"/>
    <col min="13060" max="13060" width="13.5703125" style="439" customWidth="1"/>
    <col min="13061" max="13062" width="11.85546875" style="439" customWidth="1"/>
    <col min="13063" max="13063" width="13.140625" style="439" customWidth="1"/>
    <col min="13064" max="13064" width="9.140625" style="439"/>
    <col min="13065" max="13065" width="12.7109375" style="439" bestFit="1" customWidth="1"/>
    <col min="13066" max="13312" width="9.140625" style="439"/>
    <col min="13313" max="13313" width="7.85546875" style="439" customWidth="1"/>
    <col min="13314" max="13314" width="56.7109375" style="439" customWidth="1"/>
    <col min="13315" max="13315" width="10.7109375" style="439" customWidth="1"/>
    <col min="13316" max="13316" width="13.5703125" style="439" customWidth="1"/>
    <col min="13317" max="13318" width="11.85546875" style="439" customWidth="1"/>
    <col min="13319" max="13319" width="13.140625" style="439" customWidth="1"/>
    <col min="13320" max="13320" width="9.140625" style="439"/>
    <col min="13321" max="13321" width="12.7109375" style="439" bestFit="1" customWidth="1"/>
    <col min="13322" max="13568" width="9.140625" style="439"/>
    <col min="13569" max="13569" width="7.85546875" style="439" customWidth="1"/>
    <col min="13570" max="13570" width="56.7109375" style="439" customWidth="1"/>
    <col min="13571" max="13571" width="10.7109375" style="439" customWidth="1"/>
    <col min="13572" max="13572" width="13.5703125" style="439" customWidth="1"/>
    <col min="13573" max="13574" width="11.85546875" style="439" customWidth="1"/>
    <col min="13575" max="13575" width="13.140625" style="439" customWidth="1"/>
    <col min="13576" max="13576" width="9.140625" style="439"/>
    <col min="13577" max="13577" width="12.7109375" style="439" bestFit="1" customWidth="1"/>
    <col min="13578" max="13824" width="9.140625" style="439"/>
    <col min="13825" max="13825" width="7.85546875" style="439" customWidth="1"/>
    <col min="13826" max="13826" width="56.7109375" style="439" customWidth="1"/>
    <col min="13827" max="13827" width="10.7109375" style="439" customWidth="1"/>
    <col min="13828" max="13828" width="13.5703125" style="439" customWidth="1"/>
    <col min="13829" max="13830" width="11.85546875" style="439" customWidth="1"/>
    <col min="13831" max="13831" width="13.140625" style="439" customWidth="1"/>
    <col min="13832" max="13832" width="9.140625" style="439"/>
    <col min="13833" max="13833" width="12.7109375" style="439" bestFit="1" customWidth="1"/>
    <col min="13834" max="14080" width="9.140625" style="439"/>
    <col min="14081" max="14081" width="7.85546875" style="439" customWidth="1"/>
    <col min="14082" max="14082" width="56.7109375" style="439" customWidth="1"/>
    <col min="14083" max="14083" width="10.7109375" style="439" customWidth="1"/>
    <col min="14084" max="14084" width="13.5703125" style="439" customWidth="1"/>
    <col min="14085" max="14086" width="11.85546875" style="439" customWidth="1"/>
    <col min="14087" max="14087" width="13.140625" style="439" customWidth="1"/>
    <col min="14088" max="14088" width="9.140625" style="439"/>
    <col min="14089" max="14089" width="12.7109375" style="439" bestFit="1" customWidth="1"/>
    <col min="14090" max="14336" width="9.140625" style="439"/>
    <col min="14337" max="14337" width="7.85546875" style="439" customWidth="1"/>
    <col min="14338" max="14338" width="56.7109375" style="439" customWidth="1"/>
    <col min="14339" max="14339" width="10.7109375" style="439" customWidth="1"/>
    <col min="14340" max="14340" width="13.5703125" style="439" customWidth="1"/>
    <col min="14341" max="14342" width="11.85546875" style="439" customWidth="1"/>
    <col min="14343" max="14343" width="13.140625" style="439" customWidth="1"/>
    <col min="14344" max="14344" width="9.140625" style="439"/>
    <col min="14345" max="14345" width="12.7109375" style="439" bestFit="1" customWidth="1"/>
    <col min="14346" max="14592" width="9.140625" style="439"/>
    <col min="14593" max="14593" width="7.85546875" style="439" customWidth="1"/>
    <col min="14594" max="14594" width="56.7109375" style="439" customWidth="1"/>
    <col min="14595" max="14595" width="10.7109375" style="439" customWidth="1"/>
    <col min="14596" max="14596" width="13.5703125" style="439" customWidth="1"/>
    <col min="14597" max="14598" width="11.85546875" style="439" customWidth="1"/>
    <col min="14599" max="14599" width="13.140625" style="439" customWidth="1"/>
    <col min="14600" max="14600" width="9.140625" style="439"/>
    <col min="14601" max="14601" width="12.7109375" style="439" bestFit="1" customWidth="1"/>
    <col min="14602" max="14848" width="9.140625" style="439"/>
    <col min="14849" max="14849" width="7.85546875" style="439" customWidth="1"/>
    <col min="14850" max="14850" width="56.7109375" style="439" customWidth="1"/>
    <col min="14851" max="14851" width="10.7109375" style="439" customWidth="1"/>
    <col min="14852" max="14852" width="13.5703125" style="439" customWidth="1"/>
    <col min="14853" max="14854" width="11.85546875" style="439" customWidth="1"/>
    <col min="14855" max="14855" width="13.140625" style="439" customWidth="1"/>
    <col min="14856" max="14856" width="9.140625" style="439"/>
    <col min="14857" max="14857" width="12.7109375" style="439" bestFit="1" customWidth="1"/>
    <col min="14858" max="15104" width="9.140625" style="439"/>
    <col min="15105" max="15105" width="7.85546875" style="439" customWidth="1"/>
    <col min="15106" max="15106" width="56.7109375" style="439" customWidth="1"/>
    <col min="15107" max="15107" width="10.7109375" style="439" customWidth="1"/>
    <col min="15108" max="15108" width="13.5703125" style="439" customWidth="1"/>
    <col min="15109" max="15110" width="11.85546875" style="439" customWidth="1"/>
    <col min="15111" max="15111" width="13.140625" style="439" customWidth="1"/>
    <col min="15112" max="15112" width="9.140625" style="439"/>
    <col min="15113" max="15113" width="12.7109375" style="439" bestFit="1" customWidth="1"/>
    <col min="15114" max="15360" width="9.140625" style="439"/>
    <col min="15361" max="15361" width="7.85546875" style="439" customWidth="1"/>
    <col min="15362" max="15362" width="56.7109375" style="439" customWidth="1"/>
    <col min="15363" max="15363" width="10.7109375" style="439" customWidth="1"/>
    <col min="15364" max="15364" width="13.5703125" style="439" customWidth="1"/>
    <col min="15365" max="15366" width="11.85546875" style="439" customWidth="1"/>
    <col min="15367" max="15367" width="13.140625" style="439" customWidth="1"/>
    <col min="15368" max="15368" width="9.140625" style="439"/>
    <col min="15369" max="15369" width="12.7109375" style="439" bestFit="1" customWidth="1"/>
    <col min="15370" max="15616" width="9.140625" style="439"/>
    <col min="15617" max="15617" width="7.85546875" style="439" customWidth="1"/>
    <col min="15618" max="15618" width="56.7109375" style="439" customWidth="1"/>
    <col min="15619" max="15619" width="10.7109375" style="439" customWidth="1"/>
    <col min="15620" max="15620" width="13.5703125" style="439" customWidth="1"/>
    <col min="15621" max="15622" width="11.85546875" style="439" customWidth="1"/>
    <col min="15623" max="15623" width="13.140625" style="439" customWidth="1"/>
    <col min="15624" max="15624" width="9.140625" style="439"/>
    <col min="15625" max="15625" width="12.7109375" style="439" bestFit="1" customWidth="1"/>
    <col min="15626" max="15872" width="9.140625" style="439"/>
    <col min="15873" max="15873" width="7.85546875" style="439" customWidth="1"/>
    <col min="15874" max="15874" width="56.7109375" style="439" customWidth="1"/>
    <col min="15875" max="15875" width="10.7109375" style="439" customWidth="1"/>
    <col min="15876" max="15876" width="13.5703125" style="439" customWidth="1"/>
    <col min="15877" max="15878" width="11.85546875" style="439" customWidth="1"/>
    <col min="15879" max="15879" width="13.140625" style="439" customWidth="1"/>
    <col min="15880" max="15880" width="9.140625" style="439"/>
    <col min="15881" max="15881" width="12.7109375" style="439" bestFit="1" customWidth="1"/>
    <col min="15882" max="16128" width="9.140625" style="439"/>
    <col min="16129" max="16129" width="7.85546875" style="439" customWidth="1"/>
    <col min="16130" max="16130" width="56.7109375" style="439" customWidth="1"/>
    <col min="16131" max="16131" width="10.7109375" style="439" customWidth="1"/>
    <col min="16132" max="16132" width="13.5703125" style="439" customWidth="1"/>
    <col min="16133" max="16134" width="11.85546875" style="439" customWidth="1"/>
    <col min="16135" max="16135" width="13.140625" style="439" customWidth="1"/>
    <col min="16136" max="16136" width="9.140625" style="439"/>
    <col min="16137" max="16137" width="12.7109375" style="439" bestFit="1" customWidth="1"/>
    <col min="16138" max="16384" width="9.140625" style="439"/>
  </cols>
  <sheetData>
    <row r="1" spans="1:10">
      <c r="A1" s="1058" t="s">
        <v>3527</v>
      </c>
      <c r="B1" s="1058"/>
      <c r="C1" s="1058"/>
      <c r="D1" s="1058"/>
      <c r="E1" s="1058"/>
      <c r="F1" s="1058"/>
      <c r="G1" s="1058"/>
    </row>
    <row r="2" spans="1:10">
      <c r="A2" s="1059" t="s">
        <v>3528</v>
      </c>
      <c r="B2" s="1059"/>
      <c r="C2" s="1059"/>
      <c r="D2" s="1059"/>
      <c r="E2" s="1059"/>
      <c r="F2" s="1059"/>
      <c r="G2" s="1059"/>
      <c r="H2" s="716"/>
    </row>
    <row r="3" spans="1:10" ht="14.25">
      <c r="A3" s="717"/>
      <c r="B3" s="717"/>
      <c r="C3" s="717"/>
      <c r="D3" s="717"/>
      <c r="E3" s="717"/>
      <c r="F3" s="717"/>
      <c r="G3" s="717"/>
      <c r="J3" s="712"/>
    </row>
    <row r="4" spans="1:10" ht="15" customHeight="1">
      <c r="A4" s="1062" t="s">
        <v>3529</v>
      </c>
      <c r="B4" s="1062"/>
      <c r="C4" s="1062"/>
      <c r="D4" s="1062"/>
      <c r="E4" s="1062"/>
      <c r="F4" s="1062"/>
      <c r="G4" s="1062"/>
    </row>
    <row r="5" spans="1:10" ht="18.75" customHeight="1">
      <c r="A5" s="948"/>
      <c r="B5" s="948"/>
      <c r="C5" s="948"/>
      <c r="D5" s="948"/>
      <c r="E5" s="948"/>
      <c r="F5" s="948"/>
      <c r="G5" s="948"/>
    </row>
    <row r="6" spans="1:10" ht="15.75">
      <c r="A6" s="948"/>
      <c r="B6" s="948"/>
      <c r="C6" s="948"/>
      <c r="D6" s="948"/>
      <c r="E6" s="1063" t="s">
        <v>3309</v>
      </c>
      <c r="F6" s="951" t="s">
        <v>3526</v>
      </c>
      <c r="G6" s="963">
        <v>0.2462</v>
      </c>
      <c r="J6" s="956"/>
    </row>
    <row r="7" spans="1:10" ht="15.75">
      <c r="A7" s="948"/>
      <c r="B7" s="948"/>
      <c r="C7" s="948"/>
      <c r="D7" s="948"/>
      <c r="E7" s="1063"/>
      <c r="F7" s="964" t="s">
        <v>3454</v>
      </c>
      <c r="G7" s="963">
        <v>0.15279999999999999</v>
      </c>
      <c r="J7" s="956"/>
    </row>
    <row r="8" spans="1:10">
      <c r="D8" s="719"/>
    </row>
    <row r="9" spans="1:10" ht="12.75">
      <c r="A9" s="1060" t="s">
        <v>0</v>
      </c>
      <c r="B9" s="1060" t="s">
        <v>1489</v>
      </c>
      <c r="C9" s="1060" t="s">
        <v>3246</v>
      </c>
      <c r="D9" s="1060" t="s">
        <v>3247</v>
      </c>
      <c r="E9" s="1060" t="s">
        <v>3530</v>
      </c>
      <c r="F9" s="1060"/>
      <c r="G9" s="1061"/>
    </row>
    <row r="10" spans="1:10" ht="12.75">
      <c r="A10" s="1060"/>
      <c r="B10" s="1060"/>
      <c r="C10" s="1060"/>
      <c r="D10" s="1060"/>
      <c r="E10" s="720" t="s">
        <v>3531</v>
      </c>
      <c r="F10" s="720" t="s">
        <v>3309</v>
      </c>
      <c r="G10" s="720" t="s">
        <v>3532</v>
      </c>
    </row>
    <row r="11" spans="1:10" ht="12.75">
      <c r="A11" s="721"/>
      <c r="B11" s="722" t="s">
        <v>3533</v>
      </c>
      <c r="C11" s="721"/>
      <c r="D11" s="721"/>
      <c r="E11" s="722"/>
      <c r="F11" s="722"/>
      <c r="G11" s="722"/>
    </row>
    <row r="12" spans="1:10" ht="12.75">
      <c r="A12" s="721"/>
      <c r="B12" s="722"/>
      <c r="C12" s="721"/>
      <c r="D12" s="721"/>
      <c r="E12" s="722"/>
      <c r="F12" s="722"/>
      <c r="G12" s="722"/>
    </row>
    <row r="13" spans="1:10" ht="12.75">
      <c r="A13" s="780" t="s">
        <v>3799</v>
      </c>
      <c r="B13" s="725" t="s">
        <v>1442</v>
      </c>
      <c r="C13" s="726"/>
      <c r="D13" s="727"/>
      <c r="E13" s="723">
        <f>E14+E16+E18</f>
        <v>862406.90025542083</v>
      </c>
      <c r="F13" s="729"/>
      <c r="G13" s="723">
        <f>G14+G16+G18</f>
        <v>1062987.428900813</v>
      </c>
    </row>
    <row r="14" spans="1:10" ht="12.75">
      <c r="A14" s="724" t="s">
        <v>1200</v>
      </c>
      <c r="B14" s="737" t="s">
        <v>3753</v>
      </c>
      <c r="C14" s="724"/>
      <c r="D14" s="797"/>
      <c r="E14" s="728">
        <f>SUM(E15)</f>
        <v>700217.86935510009</v>
      </c>
      <c r="F14" s="783"/>
      <c r="G14" s="728">
        <f>SUM(G15)</f>
        <v>872611.50879032572</v>
      </c>
    </row>
    <row r="15" spans="1:10" ht="12.75">
      <c r="A15" s="724"/>
      <c r="B15" s="737" t="s">
        <v>1407</v>
      </c>
      <c r="C15" s="724" t="s">
        <v>3536</v>
      </c>
      <c r="D15" s="797">
        <v>1</v>
      </c>
      <c r="E15" s="728">
        <f>'Custos Rede Baixa Pressão'!H6</f>
        <v>700217.86935510009</v>
      </c>
      <c r="F15" s="783">
        <f>$G$6</f>
        <v>0.2462</v>
      </c>
      <c r="G15" s="728">
        <f>D15*((E15*F15)+E15)</f>
        <v>872611.50879032572</v>
      </c>
    </row>
    <row r="16" spans="1:10" ht="12.75">
      <c r="A16" s="724" t="s">
        <v>1201</v>
      </c>
      <c r="B16" s="737" t="s">
        <v>3800</v>
      </c>
      <c r="C16" s="724"/>
      <c r="D16" s="797"/>
      <c r="E16" s="728">
        <f>SUM(E17)</f>
        <v>36449.735423957143</v>
      </c>
      <c r="F16" s="783"/>
      <c r="G16" s="728">
        <f>SUM(G17)</f>
        <v>45423.660285335391</v>
      </c>
    </row>
    <row r="17" spans="1:9" ht="12.75">
      <c r="A17" s="724"/>
      <c r="B17" s="737" t="s">
        <v>1407</v>
      </c>
      <c r="C17" s="724" t="s">
        <v>3536</v>
      </c>
      <c r="D17" s="797">
        <v>1</v>
      </c>
      <c r="E17" s="728">
        <f>'Custos Rede Baixa Pressão'!H18</f>
        <v>36449.735423957143</v>
      </c>
      <c r="F17" s="783">
        <f>$G$6</f>
        <v>0.2462</v>
      </c>
      <c r="G17" s="728">
        <f>D17*((E17*F17)+E17)</f>
        <v>45423.660285335391</v>
      </c>
    </row>
    <row r="18" spans="1:9" ht="12.75">
      <c r="A18" s="724" t="s">
        <v>1202</v>
      </c>
      <c r="B18" s="737" t="s">
        <v>1546</v>
      </c>
      <c r="C18" s="724" t="s">
        <v>3536</v>
      </c>
      <c r="D18" s="797">
        <v>1</v>
      </c>
      <c r="E18" s="728">
        <f>'Custos Rede Baixa Pressão'!H28</f>
        <v>125739.29547636361</v>
      </c>
      <c r="F18" s="783">
        <v>0.15279999999999999</v>
      </c>
      <c r="G18" s="728">
        <f>D18*((E18*F18)+E18)</f>
        <v>144952.25982515197</v>
      </c>
    </row>
    <row r="19" spans="1:9" ht="12.75">
      <c r="A19" s="732"/>
      <c r="B19" s="739"/>
      <c r="C19" s="740"/>
      <c r="D19" s="741"/>
      <c r="E19" s="734"/>
      <c r="F19" s="742"/>
      <c r="G19" s="742"/>
    </row>
    <row r="20" spans="1:9" ht="12.75">
      <c r="A20" s="1055" t="s">
        <v>3751</v>
      </c>
      <c r="B20" s="1056"/>
      <c r="C20" s="1056"/>
      <c r="D20" s="1057"/>
      <c r="E20" s="743">
        <f>E18+E16+E14</f>
        <v>862406.90025542083</v>
      </c>
      <c r="F20" s="744"/>
      <c r="G20" s="743">
        <f>G18+G16+G14</f>
        <v>1062987.428900813</v>
      </c>
    </row>
    <row r="21" spans="1:9">
      <c r="A21" s="745"/>
      <c r="B21" s="746"/>
      <c r="C21" s="746"/>
      <c r="D21" s="746"/>
      <c r="E21" s="746"/>
    </row>
    <row r="22" spans="1:9">
      <c r="A22" s="747"/>
      <c r="H22" s="718"/>
    </row>
    <row r="23" spans="1:9">
      <c r="A23" s="747"/>
      <c r="G23" s="748"/>
      <c r="H23" s="718"/>
      <c r="I23" s="749"/>
    </row>
    <row r="24" spans="1:9">
      <c r="A24" s="747"/>
      <c r="G24" s="719"/>
      <c r="H24" s="718"/>
      <c r="I24" s="749"/>
    </row>
    <row r="25" spans="1:9">
      <c r="H25" s="718"/>
    </row>
    <row r="26" spans="1:9">
      <c r="H26" s="718"/>
    </row>
    <row r="27" spans="1:9">
      <c r="G27" s="749"/>
    </row>
    <row r="28" spans="1:9">
      <c r="G28" s="719"/>
    </row>
  </sheetData>
  <mergeCells count="10">
    <mergeCell ref="A20:D20"/>
    <mergeCell ref="A1:G1"/>
    <mergeCell ref="A2:G2"/>
    <mergeCell ref="A9:A10"/>
    <mergeCell ref="B9:B10"/>
    <mergeCell ref="C9:C10"/>
    <mergeCell ref="D9:D10"/>
    <mergeCell ref="E9:G9"/>
    <mergeCell ref="A4:G4"/>
    <mergeCell ref="E6:E7"/>
  </mergeCells>
  <conditionalFormatting sqref="G6:G7 J6:J7">
    <cfRule type="expression" dxfId="9" priority="1" stopIfTrue="1">
      <formula>#REF!="Não"</formula>
    </cfRule>
  </conditionalFormatting>
  <printOptions horizontalCentered="1"/>
  <pageMargins left="0.51181102362204722" right="0.51181102362204722" top="0.78740157480314965" bottom="0.78740157480314965" header="0.31496062992125984" footer="0.31496062992125984"/>
  <pageSetup paperSize="9" scale="74" fitToHeight="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pageSetUpPr autoPageBreaks="0" fitToPage="1"/>
  </sheetPr>
  <dimension ref="A1:CI84"/>
  <sheetViews>
    <sheetView showGridLines="0" showZeros="0" showRuler="0" showWhiteSpace="0" view="pageBreakPreview" zoomScale="70" zoomScaleNormal="55" zoomScaleSheetLayoutView="70" zoomScalePageLayoutView="60" workbookViewId="0">
      <pane ySplit="22" topLeftCell="A23" activePane="bottomLeft" state="frozen"/>
      <selection pane="bottomLeft" activeCell="E24" sqref="E24"/>
    </sheetView>
  </sheetViews>
  <sheetFormatPr defaultColWidth="9.140625" defaultRowHeight="15.75" outlineLevelRow="1" outlineLevelCol="1"/>
  <cols>
    <col min="1" max="1" width="12" style="48" customWidth="1"/>
    <col min="2" max="2" width="98" style="49" customWidth="1"/>
    <col min="3" max="3" width="9.140625" style="141" customWidth="1"/>
    <col min="4" max="4" width="19.7109375" style="50" customWidth="1"/>
    <col min="5" max="5" width="17.42578125" style="50" customWidth="1"/>
    <col min="6" max="7" width="22" style="50" customWidth="1"/>
    <col min="8" max="11" width="25.7109375" style="50" hidden="1" customWidth="1" outlineLevel="1"/>
    <col min="12" max="12" width="25.7109375" style="50" hidden="1" customWidth="1" collapsed="1"/>
    <col min="13" max="15" width="25.7109375" style="50" hidden="1" customWidth="1"/>
    <col min="16" max="17" width="25.7109375" style="50" hidden="1" customWidth="1" outlineLevel="1"/>
    <col min="18" max="18" width="25.7109375" style="50" hidden="1" customWidth="1" collapsed="1"/>
    <col min="19" max="19" width="25.7109375" style="50" hidden="1" customWidth="1"/>
    <col min="20" max="20" width="18.5703125" style="50" hidden="1" customWidth="1"/>
    <col min="21" max="21" width="26.7109375" style="50" hidden="1" customWidth="1"/>
    <col min="22" max="22" width="28.85546875" style="50" customWidth="1"/>
    <col min="23" max="23" width="14" style="50" customWidth="1"/>
    <col min="24" max="24" width="32.5703125" style="50" customWidth="1"/>
    <col min="25" max="25" width="22.7109375" style="50" hidden="1" customWidth="1"/>
    <col min="26" max="26" width="3.7109375" style="50" hidden="1" customWidth="1"/>
    <col min="27" max="29" width="17.28515625" style="50" hidden="1" customWidth="1"/>
    <col min="30" max="32" width="18.28515625" style="50" customWidth="1"/>
    <col min="33" max="33" width="9.140625" style="50" customWidth="1"/>
    <col min="34" max="16384" width="9.140625" style="50"/>
  </cols>
  <sheetData>
    <row r="1" spans="1:31">
      <c r="F1" s="244"/>
      <c r="G1" s="244"/>
      <c r="AA1" s="121"/>
      <c r="AC1" s="50" t="s">
        <v>1538</v>
      </c>
    </row>
    <row r="2" spans="1:31" hidden="1">
      <c r="AA2" s="121"/>
      <c r="AC2" s="123" t="s">
        <v>2751</v>
      </c>
      <c r="AD2" s="124" t="s">
        <v>2749</v>
      </c>
      <c r="AE2" s="124" t="s">
        <v>2750</v>
      </c>
    </row>
    <row r="3" spans="1:31" hidden="1">
      <c r="A3" s="142"/>
      <c r="B3" s="143"/>
      <c r="C3" s="144"/>
      <c r="D3" s="143"/>
      <c r="E3" s="143"/>
      <c r="F3" s="143"/>
      <c r="G3" s="143"/>
      <c r="H3" s="143"/>
      <c r="I3" s="143"/>
      <c r="J3" s="143"/>
      <c r="K3" s="143"/>
      <c r="L3" s="143"/>
      <c r="M3" s="143"/>
      <c r="N3" s="143"/>
      <c r="O3" s="143"/>
      <c r="P3" s="143"/>
      <c r="Q3" s="143"/>
      <c r="R3" s="143"/>
      <c r="S3" s="143"/>
      <c r="T3" s="143"/>
      <c r="U3" s="143"/>
      <c r="V3" s="143"/>
      <c r="W3" s="143"/>
      <c r="X3" s="143"/>
      <c r="Y3" s="186"/>
      <c r="Z3" s="50" t="s">
        <v>1521</v>
      </c>
      <c r="AA3" s="125">
        <f>VLOOKUP(AB3,'[1]Reajuste Revisado'!A19:I25,9,0)</f>
        <v>3.3241000000000001</v>
      </c>
      <c r="AB3" s="801" t="s">
        <v>1521</v>
      </c>
      <c r="AC3" s="802">
        <f t="shared" ref="AC3:AC8" ca="1" si="0">SUMIF($V$23:$AA$30,AB3,$AA$23:$AA$30)</f>
        <v>0</v>
      </c>
      <c r="AD3" s="786">
        <f ca="1">SUMIF($V$21:$AB$30,AB3,$AB$21:$AB$30)-0.03</f>
        <v>-0.03</v>
      </c>
      <c r="AE3" s="755">
        <f t="shared" ref="AE3:AE8" ca="1" si="1">ROUND(AD3*AA3,2)</f>
        <v>-0.1</v>
      </c>
    </row>
    <row r="4" spans="1:31" ht="18.75" hidden="1">
      <c r="A4" s="1065" t="s">
        <v>3056</v>
      </c>
      <c r="B4" s="1066"/>
      <c r="C4" s="1066"/>
      <c r="D4" s="1066"/>
      <c r="E4" s="1066"/>
      <c r="F4" s="1066"/>
      <c r="G4" s="1066"/>
      <c r="H4" s="1066"/>
      <c r="I4" s="1066"/>
      <c r="J4" s="1066"/>
      <c r="K4" s="1066"/>
      <c r="L4" s="1066"/>
      <c r="M4" s="1066"/>
      <c r="N4" s="1066"/>
      <c r="O4" s="1066"/>
      <c r="P4" s="1066"/>
      <c r="Q4" s="1066"/>
      <c r="R4" s="1066"/>
      <c r="S4" s="1066"/>
      <c r="T4" s="1066"/>
      <c r="U4" s="1066"/>
      <c r="V4" s="1066"/>
      <c r="W4" s="1066"/>
      <c r="X4" s="187"/>
      <c r="Y4" s="187"/>
      <c r="Z4" s="50" t="s">
        <v>1524</v>
      </c>
      <c r="AA4" s="125">
        <f>VLOOKUP(AB4,'[1]Reajuste Revisado'!A20:I26,9,0)</f>
        <v>3.7035</v>
      </c>
      <c r="AB4" s="803" t="s">
        <v>1524</v>
      </c>
      <c r="AC4" s="802">
        <f t="shared" ca="1" si="0"/>
        <v>0</v>
      </c>
      <c r="AD4" s="786">
        <f ca="1">SUMIF($V$21:$AB$30,AB4,$AB$21:$AB$30)-0.03</f>
        <v>-0.03</v>
      </c>
      <c r="AE4" s="755">
        <f t="shared" ca="1" si="1"/>
        <v>-0.11</v>
      </c>
    </row>
    <row r="5" spans="1:31" ht="18.75" hidden="1">
      <c r="A5" s="1067" t="s">
        <v>4</v>
      </c>
      <c r="B5" s="1068"/>
      <c r="C5" s="1068"/>
      <c r="D5" s="1068"/>
      <c r="E5" s="1068"/>
      <c r="F5" s="1068"/>
      <c r="G5" s="1068"/>
      <c r="H5" s="1068"/>
      <c r="I5" s="1068"/>
      <c r="J5" s="1068"/>
      <c r="K5" s="1068"/>
      <c r="L5" s="1068"/>
      <c r="M5" s="1068"/>
      <c r="N5" s="1068"/>
      <c r="O5" s="1068"/>
      <c r="P5" s="1068"/>
      <c r="Q5" s="1068"/>
      <c r="R5" s="1068"/>
      <c r="S5" s="1068"/>
      <c r="T5" s="1068"/>
      <c r="U5" s="1068"/>
      <c r="V5" s="1068"/>
      <c r="W5" s="1068"/>
      <c r="X5" s="187"/>
      <c r="Y5" s="187"/>
      <c r="Z5" s="50" t="s">
        <v>1525</v>
      </c>
      <c r="AA5" s="125">
        <f>VLOOKUP(AB5,'[1]Reajuste Revisado'!A21:I27,9,0)</f>
        <v>4.6052</v>
      </c>
      <c r="AB5" s="803" t="s">
        <v>1525</v>
      </c>
      <c r="AC5" s="802">
        <f t="shared" ca="1" si="0"/>
        <v>0</v>
      </c>
      <c r="AD5" s="786">
        <f ca="1">SUMIF($V$21:$AB$30,AB5,$AB$21:$AB$30)-0.05</f>
        <v>-0.05</v>
      </c>
      <c r="AE5" s="755">
        <f t="shared" ca="1" si="1"/>
        <v>-0.23</v>
      </c>
    </row>
    <row r="6" spans="1:31" ht="18.75" hidden="1">
      <c r="A6" s="1067" t="s">
        <v>1527</v>
      </c>
      <c r="B6" s="1068"/>
      <c r="C6" s="1068"/>
      <c r="D6" s="1068"/>
      <c r="E6" s="1068"/>
      <c r="F6" s="1068"/>
      <c r="G6" s="1068"/>
      <c r="H6" s="1068"/>
      <c r="I6" s="1068"/>
      <c r="J6" s="1068"/>
      <c r="K6" s="1068"/>
      <c r="L6" s="1068"/>
      <c r="M6" s="1068"/>
      <c r="N6" s="1068"/>
      <c r="O6" s="1068"/>
      <c r="P6" s="1068"/>
      <c r="Q6" s="1068"/>
      <c r="R6" s="1068"/>
      <c r="S6" s="1068"/>
      <c r="T6" s="1068"/>
      <c r="U6" s="1068"/>
      <c r="V6" s="1068"/>
      <c r="W6" s="1068"/>
      <c r="X6" s="187"/>
      <c r="Y6" s="187"/>
      <c r="Z6" s="50" t="s">
        <v>1522</v>
      </c>
      <c r="AA6" s="125">
        <f>VLOOKUP(AB6,'[1]Reajuste Revisado'!A22:I28,9,0)</f>
        <v>3.4365000000000001</v>
      </c>
      <c r="AB6" s="804" t="s">
        <v>1522</v>
      </c>
      <c r="AC6" s="802">
        <f t="shared" ca="1" si="0"/>
        <v>100799.6</v>
      </c>
      <c r="AD6" s="786">
        <f ca="1">SUMIF($V$21:$AB$30,AB6,$AB$21:$AB$30)-0.01</f>
        <v>644253.11</v>
      </c>
      <c r="AE6" s="755">
        <f t="shared" ca="1" si="1"/>
        <v>2213975.81</v>
      </c>
    </row>
    <row r="7" spans="1:31" ht="16.5" hidden="1" thickBot="1">
      <c r="A7" s="147"/>
      <c r="B7" s="148"/>
      <c r="C7" s="149"/>
      <c r="D7" s="150"/>
      <c r="E7" s="150"/>
      <c r="F7" s="150"/>
      <c r="G7" s="150"/>
      <c r="H7" s="150"/>
      <c r="I7" s="150"/>
      <c r="J7" s="150"/>
      <c r="K7" s="150"/>
      <c r="L7" s="150"/>
      <c r="M7" s="150"/>
      <c r="N7" s="150"/>
      <c r="O7" s="150"/>
      <c r="P7" s="150"/>
      <c r="Q7" s="150"/>
      <c r="R7" s="150"/>
      <c r="S7" s="150"/>
      <c r="T7" s="150"/>
      <c r="U7" s="150"/>
      <c r="V7" s="150"/>
      <c r="W7" s="150"/>
      <c r="X7" s="150"/>
      <c r="Y7" s="188"/>
      <c r="Z7" s="50" t="s">
        <v>1523</v>
      </c>
      <c r="AA7" s="125">
        <f>VLOOKUP(AB7,'[1]Reajuste Revisado'!A23:I29,9,0)</f>
        <v>2.6591</v>
      </c>
      <c r="AB7" s="803" t="s">
        <v>1523</v>
      </c>
      <c r="AC7" s="802">
        <f t="shared" ca="1" si="0"/>
        <v>0</v>
      </c>
      <c r="AD7" s="786">
        <f ca="1">SUMIF($V$21:$AB$30,AB7,$AB$21:$AB$30)</f>
        <v>0</v>
      </c>
      <c r="AE7" s="755">
        <f t="shared" ca="1" si="1"/>
        <v>0</v>
      </c>
    </row>
    <row r="8" spans="1:31" ht="24" hidden="1" thickBot="1">
      <c r="A8" s="1069" t="s">
        <v>3058</v>
      </c>
      <c r="B8" s="1070"/>
      <c r="C8" s="1070"/>
      <c r="D8" s="1070"/>
      <c r="E8" s="1070"/>
      <c r="F8" s="1070"/>
      <c r="G8" s="1070"/>
      <c r="H8" s="1070"/>
      <c r="I8" s="1070"/>
      <c r="J8" s="1070"/>
      <c r="K8" s="1070"/>
      <c r="L8" s="1070"/>
      <c r="M8" s="1070"/>
      <c r="N8" s="1070"/>
      <c r="O8" s="1070"/>
      <c r="P8" s="1070"/>
      <c r="Q8" s="1070"/>
      <c r="R8" s="1070"/>
      <c r="S8" s="1070"/>
      <c r="T8" s="1070"/>
      <c r="U8" s="1070"/>
      <c r="V8" s="1070"/>
      <c r="W8" s="1070"/>
      <c r="X8" s="189"/>
      <c r="Y8" s="189"/>
      <c r="Z8" s="50" t="s">
        <v>1526</v>
      </c>
      <c r="AA8" s="125">
        <f>VLOOKUP(AB8,'[1]Reajuste Revisado'!A24:I30,9,0)</f>
        <v>2.7239</v>
      </c>
      <c r="AB8" s="803" t="s">
        <v>1526</v>
      </c>
      <c r="AC8" s="802">
        <f t="shared" ca="1" si="0"/>
        <v>0</v>
      </c>
      <c r="AD8" s="786">
        <f ca="1">SUMIF($V$21:$AB$30,AB8,$AB$21:$AB$30)-0.02</f>
        <v>-0.02</v>
      </c>
      <c r="AE8" s="755">
        <f t="shared" ca="1" si="1"/>
        <v>-0.05</v>
      </c>
    </row>
    <row r="9" spans="1:31" hidden="1">
      <c r="A9" s="152" t="s">
        <v>7</v>
      </c>
      <c r="B9" s="153" t="s">
        <v>1519</v>
      </c>
      <c r="C9" s="154"/>
      <c r="D9" s="196" t="s">
        <v>1535</v>
      </c>
      <c r="E9" s="145"/>
      <c r="F9" s="145"/>
      <c r="G9" s="145"/>
      <c r="H9" s="145"/>
      <c r="I9" s="145"/>
      <c r="J9" s="145"/>
      <c r="K9" s="145"/>
      <c r="L9" s="145"/>
      <c r="M9" s="145"/>
      <c r="N9" s="145"/>
      <c r="O9" s="145"/>
      <c r="P9" s="145"/>
      <c r="Q9" s="145"/>
      <c r="R9" s="827" t="s">
        <v>3704</v>
      </c>
      <c r="S9" s="828"/>
      <c r="T9" s="146"/>
      <c r="U9" s="829">
        <v>58884061.280000001</v>
      </c>
      <c r="V9" s="198"/>
      <c r="W9" s="1071" t="str">
        <f>CONCATENATE([1]DADOS!A6," ",[1]DADOS!B6)</f>
        <v>MÊS: JULHO</v>
      </c>
      <c r="X9" s="1093"/>
      <c r="Y9" s="160"/>
      <c r="AD9" s="207">
        <f ca="1">SUM(AD3:AD8)</f>
        <v>644252.98</v>
      </c>
      <c r="AE9" s="207">
        <f ca="1">SUM(AE3:AE8)</f>
        <v>2213975.3200000003</v>
      </c>
    </row>
    <row r="10" spans="1:31" hidden="1">
      <c r="A10" s="155" t="s">
        <v>6</v>
      </c>
      <c r="B10" s="156" t="s">
        <v>1530</v>
      </c>
      <c r="C10" s="157"/>
      <c r="D10" s="197" t="s">
        <v>5</v>
      </c>
      <c r="E10" s="146"/>
      <c r="F10" s="159"/>
      <c r="G10" s="159"/>
      <c r="H10" s="159"/>
      <c r="I10" s="159"/>
      <c r="J10" s="159"/>
      <c r="K10" s="159"/>
      <c r="L10" s="159"/>
      <c r="M10" s="159"/>
      <c r="N10" s="159"/>
      <c r="O10" s="159"/>
      <c r="P10" s="159"/>
      <c r="Q10" s="159"/>
      <c r="R10" s="158" t="s">
        <v>3705</v>
      </c>
      <c r="S10" s="138"/>
      <c r="T10" s="146"/>
      <c r="U10" s="830">
        <v>21201084.848275065</v>
      </c>
      <c r="V10" s="756"/>
      <c r="W10" s="1072"/>
      <c r="X10" s="1092"/>
      <c r="Y10" s="160"/>
      <c r="AD10" s="208" t="e">
        <f ca="1">AD9-#REF!</f>
        <v>#REF!</v>
      </c>
      <c r="AE10" s="123"/>
    </row>
    <row r="11" spans="1:31" hidden="1">
      <c r="A11" s="155" t="s">
        <v>8</v>
      </c>
      <c r="B11" s="156" t="s">
        <v>1483</v>
      </c>
      <c r="C11" s="157"/>
      <c r="D11" s="197" t="s">
        <v>1537</v>
      </c>
      <c r="E11" s="146"/>
      <c r="F11" s="159"/>
      <c r="G11" s="159"/>
      <c r="H11" s="159"/>
      <c r="I11" s="159"/>
      <c r="J11" s="159"/>
      <c r="K11" s="159"/>
      <c r="L11" s="159"/>
      <c r="M11" s="159"/>
      <c r="N11" s="159"/>
      <c r="O11" s="159"/>
      <c r="P11" s="159"/>
      <c r="Q11" s="159"/>
      <c r="R11" s="158" t="s">
        <v>3706</v>
      </c>
      <c r="S11" s="138"/>
      <c r="T11" s="146"/>
      <c r="U11" s="830">
        <v>2195184.52</v>
      </c>
      <c r="V11" s="756"/>
      <c r="W11" s="1072"/>
      <c r="X11" s="1092"/>
      <c r="Y11" s="160"/>
    </row>
    <row r="12" spans="1:31" hidden="1">
      <c r="A12" s="155" t="s">
        <v>9</v>
      </c>
      <c r="B12" s="156" t="s">
        <v>1488</v>
      </c>
      <c r="C12" s="157"/>
      <c r="D12" s="197" t="s">
        <v>3057</v>
      </c>
      <c r="E12" s="146"/>
      <c r="F12" s="159"/>
      <c r="G12" s="159"/>
      <c r="H12" s="159"/>
      <c r="I12" s="159"/>
      <c r="J12" s="159"/>
      <c r="K12" s="159"/>
      <c r="L12" s="159"/>
      <c r="M12" s="159"/>
      <c r="N12" s="159"/>
      <c r="O12" s="159"/>
      <c r="P12" s="159"/>
      <c r="Q12" s="159"/>
      <c r="R12" s="158" t="s">
        <v>3707</v>
      </c>
      <c r="S12" s="138"/>
      <c r="T12" s="146"/>
      <c r="U12" s="831">
        <v>-2201130.19</v>
      </c>
      <c r="V12" s="199"/>
      <c r="W12" s="1072" t="str">
        <f>CONCATENATE([1]DADOS!A7," ",[1]DADOS!B7)</f>
        <v>PERÍODO: 16/06/2023 a 12/07/2023</v>
      </c>
      <c r="X12" s="1092"/>
      <c r="Y12" s="161"/>
    </row>
    <row r="13" spans="1:31" hidden="1">
      <c r="A13" s="155" t="s">
        <v>10</v>
      </c>
      <c r="B13" s="162">
        <v>79745584.319999993</v>
      </c>
      <c r="C13" s="163"/>
      <c r="D13" s="197" t="str">
        <f>[1]DADOS!D12</f>
        <v>Engº Marcus H. R. Rangel</v>
      </c>
      <c r="E13" s="146"/>
      <c r="F13" s="159"/>
      <c r="G13" s="159"/>
      <c r="H13" s="159"/>
      <c r="I13" s="159"/>
      <c r="J13" s="159"/>
      <c r="K13" s="159"/>
      <c r="L13" s="159"/>
      <c r="M13" s="159"/>
      <c r="N13" s="159"/>
      <c r="O13" s="159"/>
      <c r="P13" s="159"/>
      <c r="Q13" s="159"/>
      <c r="R13" s="158" t="s">
        <v>3708</v>
      </c>
      <c r="S13" s="138"/>
      <c r="T13" s="146"/>
      <c r="U13" s="830">
        <v>6526570.1799999997</v>
      </c>
      <c r="V13" s="756"/>
      <c r="W13" s="1072"/>
      <c r="X13" s="1092"/>
      <c r="Y13" s="160"/>
    </row>
    <row r="14" spans="1:31" hidden="1">
      <c r="A14" s="164" t="s">
        <v>1529</v>
      </c>
      <c r="B14" s="157"/>
      <c r="C14" s="163"/>
      <c r="D14" s="197" t="str">
        <f>[1]DADOS!D14</f>
        <v>Engº Inácio R. L. Mascarenhas</v>
      </c>
      <c r="E14" s="146"/>
      <c r="F14" s="159"/>
      <c r="G14" s="159"/>
      <c r="H14" s="159"/>
      <c r="I14" s="159"/>
      <c r="J14" s="159"/>
      <c r="K14" s="159"/>
      <c r="L14" s="159"/>
      <c r="M14" s="159"/>
      <c r="N14" s="159"/>
      <c r="O14" s="159"/>
      <c r="P14" s="159"/>
      <c r="Q14" s="159"/>
      <c r="R14" s="158" t="s">
        <v>3709</v>
      </c>
      <c r="S14" s="138"/>
      <c r="T14" s="146"/>
      <c r="U14" s="831">
        <v>-6844833.7800000003</v>
      </c>
      <c r="V14" s="756"/>
      <c r="W14" s="1072"/>
      <c r="X14" s="1092"/>
      <c r="Y14" s="160"/>
    </row>
    <row r="15" spans="1:31" hidden="1">
      <c r="A15" s="165"/>
      <c r="B15" s="157"/>
      <c r="C15" s="163"/>
      <c r="D15" s="197">
        <f>[1]DADOS!D15</f>
        <v>0</v>
      </c>
      <c r="E15" s="146"/>
      <c r="F15" s="146"/>
      <c r="G15" s="146"/>
      <c r="H15" s="146"/>
      <c r="I15" s="146"/>
      <c r="J15" s="146"/>
      <c r="K15" s="146"/>
      <c r="L15" s="146"/>
      <c r="M15" s="146"/>
      <c r="N15" s="146"/>
      <c r="O15" s="146"/>
      <c r="P15" s="146"/>
      <c r="Q15" s="146"/>
      <c r="R15" s="158" t="s">
        <v>3710</v>
      </c>
      <c r="S15" s="138"/>
      <c r="T15" s="146"/>
      <c r="U15" s="830">
        <v>12106692.029999999</v>
      </c>
      <c r="V15" s="199"/>
      <c r="W15" s="1087" t="str">
        <f>CONCATENATE([1]DADOS!A8," ",[1]DADOS!B8)</f>
        <v>ANO: 2023</v>
      </c>
      <c r="X15" s="1094"/>
      <c r="Y15" s="161"/>
    </row>
    <row r="16" spans="1:31" hidden="1">
      <c r="A16" s="165"/>
      <c r="B16" s="157"/>
      <c r="C16" s="163"/>
      <c r="D16" s="158"/>
      <c r="E16" s="146"/>
      <c r="F16" s="146"/>
      <c r="G16" s="146"/>
      <c r="H16" s="146"/>
      <c r="I16" s="146"/>
      <c r="J16" s="146"/>
      <c r="K16" s="146"/>
      <c r="L16" s="146"/>
      <c r="M16" s="146"/>
      <c r="N16" s="146"/>
      <c r="O16" s="146"/>
      <c r="P16" s="146"/>
      <c r="Q16" s="146"/>
      <c r="R16" s="158" t="s">
        <v>3711</v>
      </c>
      <c r="S16" s="138"/>
      <c r="T16" s="146"/>
      <c r="U16" s="830">
        <v>-12115363.35</v>
      </c>
      <c r="V16" s="199"/>
      <c r="W16" s="1074"/>
      <c r="X16" s="1095"/>
      <c r="Y16" s="161"/>
    </row>
    <row r="17" spans="1:32" hidden="1">
      <c r="A17" s="165"/>
      <c r="B17" s="157"/>
      <c r="C17" s="163"/>
      <c r="D17" s="158"/>
      <c r="E17" s="146"/>
      <c r="F17" s="146"/>
      <c r="G17" s="146"/>
      <c r="H17" s="146"/>
      <c r="I17" s="146"/>
      <c r="J17" s="146"/>
      <c r="K17" s="146"/>
      <c r="L17" s="146"/>
      <c r="M17" s="146"/>
      <c r="N17" s="146"/>
      <c r="O17" s="146"/>
      <c r="P17" s="146"/>
      <c r="Q17" s="146"/>
      <c r="R17" s="158" t="s">
        <v>3712</v>
      </c>
      <c r="S17" s="138"/>
      <c r="T17" s="146"/>
      <c r="U17" s="830">
        <v>887539.75</v>
      </c>
      <c r="V17" s="199"/>
      <c r="W17" s="1074"/>
      <c r="X17" s="1095"/>
      <c r="Y17" s="161"/>
    </row>
    <row r="18" spans="1:32" hidden="1">
      <c r="A18" s="165"/>
      <c r="B18" s="157"/>
      <c r="C18" s="163"/>
      <c r="D18" s="158"/>
      <c r="E18" s="146"/>
      <c r="F18" s="146"/>
      <c r="G18" s="146"/>
      <c r="H18" s="146"/>
      <c r="I18" s="146"/>
      <c r="J18" s="146"/>
      <c r="K18" s="146"/>
      <c r="L18" s="146"/>
      <c r="M18" s="146"/>
      <c r="N18" s="146"/>
      <c r="O18" s="146"/>
      <c r="P18" s="146"/>
      <c r="Q18" s="146"/>
      <c r="R18" s="158" t="s">
        <v>3713</v>
      </c>
      <c r="S18" s="138"/>
      <c r="T18" s="146"/>
      <c r="U18" s="830">
        <v>-894220.96000001195</v>
      </c>
      <c r="V18" s="756"/>
      <c r="W18" s="1074"/>
      <c r="X18" s="1095"/>
      <c r="Y18" s="160"/>
    </row>
    <row r="19" spans="1:32" ht="16.5" hidden="1" thickBot="1">
      <c r="A19" s="167"/>
      <c r="B19" s="168"/>
      <c r="C19" s="169"/>
      <c r="D19" s="170"/>
      <c r="E19" s="151"/>
      <c r="F19" s="151"/>
      <c r="G19" s="151"/>
      <c r="H19" s="151"/>
      <c r="I19" s="151"/>
      <c r="J19" s="151"/>
      <c r="K19" s="151"/>
      <c r="L19" s="151"/>
      <c r="M19" s="151"/>
      <c r="N19" s="151"/>
      <c r="O19" s="151"/>
      <c r="P19" s="151"/>
      <c r="Q19" s="151"/>
      <c r="R19" s="170" t="s">
        <v>3714</v>
      </c>
      <c r="S19" s="168"/>
      <c r="T19" s="832"/>
      <c r="U19" s="833">
        <v>79745584.319999993</v>
      </c>
      <c r="V19" s="168"/>
      <c r="W19" s="1075"/>
      <c r="X19" s="1096"/>
      <c r="Y19" s="138"/>
    </row>
    <row r="20" spans="1:32">
      <c r="A20" s="371"/>
      <c r="B20" s="372"/>
      <c r="C20" s="373"/>
      <c r="D20" s="126"/>
      <c r="E20" s="126"/>
      <c r="F20" s="374"/>
      <c r="G20" s="374"/>
      <c r="H20" s="126"/>
      <c r="I20" s="126"/>
      <c r="J20" s="126"/>
      <c r="K20" s="126"/>
      <c r="L20" s="126"/>
      <c r="M20" s="126"/>
      <c r="N20" s="126"/>
      <c r="O20" s="126"/>
      <c r="P20" s="126"/>
      <c r="Q20" s="126"/>
      <c r="R20" s="126"/>
      <c r="S20" s="126"/>
      <c r="T20" s="126"/>
      <c r="U20" s="126"/>
      <c r="V20" s="126"/>
      <c r="W20" s="126"/>
      <c r="X20" s="126"/>
      <c r="Y20" s="126"/>
    </row>
    <row r="21" spans="1:32" ht="24" customHeight="1">
      <c r="A21" s="758"/>
      <c r="B21" s="758"/>
      <c r="C21" s="758" t="s">
        <v>11</v>
      </c>
      <c r="D21" s="1076" t="s">
        <v>3053</v>
      </c>
      <c r="E21" s="1076"/>
      <c r="F21" s="1076"/>
      <c r="G21" s="759"/>
      <c r="H21" s="1097" t="s">
        <v>3715</v>
      </c>
      <c r="I21" s="1097"/>
      <c r="J21" s="1098" t="s">
        <v>3716</v>
      </c>
      <c r="K21" s="1098"/>
      <c r="L21" s="1076" t="s">
        <v>3717</v>
      </c>
      <c r="M21" s="1076"/>
      <c r="N21" s="1076"/>
      <c r="O21" s="1076"/>
      <c r="P21" s="1077" t="s">
        <v>3718</v>
      </c>
      <c r="Q21" s="1077"/>
      <c r="R21" s="1077"/>
      <c r="S21" s="1077"/>
      <c r="T21" s="1076" t="s">
        <v>3719</v>
      </c>
      <c r="U21" s="1076"/>
      <c r="V21" s="1077" t="s">
        <v>2745</v>
      </c>
      <c r="W21" s="1078"/>
      <c r="X21" s="820"/>
      <c r="Y21" s="137"/>
      <c r="Z21" s="174"/>
    </row>
    <row r="22" spans="1:32" ht="38.25" customHeight="1" thickBot="1">
      <c r="A22" s="375" t="s">
        <v>0</v>
      </c>
      <c r="B22" s="376" t="s">
        <v>1520</v>
      </c>
      <c r="C22" s="375"/>
      <c r="D22" s="108" t="s">
        <v>1531</v>
      </c>
      <c r="E22" s="108" t="s">
        <v>12</v>
      </c>
      <c r="F22" s="343" t="s">
        <v>3190</v>
      </c>
      <c r="G22" s="343" t="s">
        <v>3191</v>
      </c>
      <c r="H22" s="834" t="s">
        <v>3721</v>
      </c>
      <c r="I22" s="834" t="s">
        <v>3722</v>
      </c>
      <c r="J22" s="835" t="s">
        <v>3721</v>
      </c>
      <c r="K22" s="835" t="s">
        <v>3723</v>
      </c>
      <c r="L22" s="836" t="s">
        <v>3724</v>
      </c>
      <c r="M22" s="108" t="s">
        <v>3725</v>
      </c>
      <c r="N22" s="108" t="s">
        <v>3726</v>
      </c>
      <c r="O22" s="108" t="s">
        <v>3727</v>
      </c>
      <c r="P22" s="837" t="s">
        <v>3724</v>
      </c>
      <c r="Q22" s="835" t="s">
        <v>3725</v>
      </c>
      <c r="R22" s="108" t="s">
        <v>3728</v>
      </c>
      <c r="S22" s="108" t="s">
        <v>3729</v>
      </c>
      <c r="T22" s="108" t="s">
        <v>1531</v>
      </c>
      <c r="U22" s="108" t="s">
        <v>3730</v>
      </c>
      <c r="V22" s="377" t="s">
        <v>1491</v>
      </c>
      <c r="W22" s="377" t="s">
        <v>1490</v>
      </c>
      <c r="X22" s="108" t="s">
        <v>3730</v>
      </c>
      <c r="Y22" s="209"/>
      <c r="Z22"/>
      <c r="AA22" s="128" t="s">
        <v>2747</v>
      </c>
      <c r="AB22" s="122" t="s">
        <v>2748</v>
      </c>
      <c r="AC22" s="122" t="s">
        <v>2750</v>
      </c>
      <c r="AE22" s="50" t="s">
        <v>3731</v>
      </c>
      <c r="AF22" s="50" t="s">
        <v>3732</v>
      </c>
    </row>
    <row r="23" spans="1:32" s="98" customFormat="1">
      <c r="A23" s="838" t="s">
        <v>14</v>
      </c>
      <c r="B23" s="839" t="s">
        <v>1388</v>
      </c>
      <c r="C23" s="840"/>
      <c r="D23" s="841"/>
      <c r="E23" s="841"/>
      <c r="F23" s="841">
        <f>SUM(F24:F29)</f>
        <v>6175094.1970433351</v>
      </c>
      <c r="G23" s="841">
        <f>SUM(G24:G29)</f>
        <v>29371518.175462246</v>
      </c>
      <c r="H23" s="841"/>
      <c r="I23" s="841">
        <v>5329243.8442327529</v>
      </c>
      <c r="J23" s="841">
        <v>0</v>
      </c>
      <c r="K23" s="841">
        <v>0</v>
      </c>
      <c r="L23" s="841"/>
      <c r="M23" s="841"/>
      <c r="N23" s="841"/>
      <c r="O23" s="841"/>
      <c r="P23" s="841">
        <f>SUM(P24:P27)</f>
        <v>5329243.8442327529</v>
      </c>
      <c r="Q23" s="841">
        <v>100797.63576724753</v>
      </c>
      <c r="R23" s="841">
        <f>SUM(R24:R27)</f>
        <v>100799.6</v>
      </c>
      <c r="S23" s="841">
        <f>SUM(S24:S27)</f>
        <v>5530841.0800000001</v>
      </c>
      <c r="T23" s="841"/>
      <c r="U23" s="841">
        <f>SUM(U24:U27)</f>
        <v>644253.11704333499</v>
      </c>
      <c r="V23" s="841"/>
      <c r="W23" s="841"/>
      <c r="X23" s="841">
        <f>SUM(X24:X27)</f>
        <v>458234.98</v>
      </c>
      <c r="Y23" s="842"/>
      <c r="Z23" s="139"/>
      <c r="AE23" s="897">
        <f>SUM(AE24:AE29)</f>
        <v>20979655.839615893</v>
      </c>
      <c r="AF23" s="897">
        <f>SUM(AF24:AF29)</f>
        <v>26144847.10732932</v>
      </c>
    </row>
    <row r="24" spans="1:32" s="98" customFormat="1" outlineLevel="1">
      <c r="A24" s="175" t="s">
        <v>15</v>
      </c>
      <c r="B24" s="100" t="s">
        <v>3697</v>
      </c>
      <c r="C24" s="99" t="s">
        <v>1466</v>
      </c>
      <c r="D24" s="20">
        <v>1.4</v>
      </c>
      <c r="E24" s="20">
        <v>397386.34564999997</v>
      </c>
      <c r="F24" s="19">
        <f>D24*E24</f>
        <v>556340.88390999998</v>
      </c>
      <c r="G24" s="19">
        <f>F24*(1+W24)</f>
        <v>2284001.8648041137</v>
      </c>
      <c r="H24" s="20">
        <v>1.4</v>
      </c>
      <c r="I24" s="19">
        <v>556340.88390999998</v>
      </c>
      <c r="J24" s="19">
        <v>0</v>
      </c>
      <c r="K24" s="19">
        <v>0</v>
      </c>
      <c r="L24" s="19">
        <f>J24+H24</f>
        <v>1.4</v>
      </c>
      <c r="M24" s="19">
        <v>0</v>
      </c>
      <c r="N24" s="83">
        <f>VLOOKUP(A24,'[1]Planilha Serviços Medição Pi'!C:H,4,0)</f>
        <v>0</v>
      </c>
      <c r="O24" s="19">
        <f>L24+M24+N24</f>
        <v>1.4</v>
      </c>
      <c r="P24" s="19">
        <f>I24+K24</f>
        <v>556340.88390999998</v>
      </c>
      <c r="Q24" s="19">
        <v>-3.9099999703466892E-3</v>
      </c>
      <c r="R24" s="72">
        <f>ROUND(N24*E24,2)</f>
        <v>0</v>
      </c>
      <c r="S24" s="19">
        <f>ROUND(P24+Q24+R24,2)</f>
        <v>556340.88</v>
      </c>
      <c r="T24" s="19">
        <f>D24-O24</f>
        <v>0</v>
      </c>
      <c r="U24" s="19">
        <f>F24-S24</f>
        <v>3.9099999703466892E-3</v>
      </c>
      <c r="V24" s="843" t="s">
        <v>1521</v>
      </c>
      <c r="W24" s="210">
        <f>VLOOKUP(V24,'Reajuste Atual'!$L$19:$M$25,2,FALSE)</f>
        <v>3.1053999999999999</v>
      </c>
      <c r="X24" s="844">
        <f>ROUND(R24*(1+W24),2)</f>
        <v>0</v>
      </c>
      <c r="Y24" s="190"/>
      <c r="Z24"/>
      <c r="AA24" s="128">
        <f>ROUND(R24,2)</f>
        <v>0</v>
      </c>
      <c r="AB24" s="128">
        <f>ROUND(U24,2)</f>
        <v>0</v>
      </c>
      <c r="AC24" s="122">
        <f>AB24*(1+W24)</f>
        <v>0</v>
      </c>
      <c r="AE24" s="382">
        <f t="shared" ref="AE24:AE29" si="2">G24/1.4</f>
        <v>1631429.9034315099</v>
      </c>
      <c r="AF24" s="382">
        <f>AE24*1.2462</f>
        <v>2033087.9456563476</v>
      </c>
    </row>
    <row r="25" spans="1:32" s="98" customFormat="1" outlineLevel="1">
      <c r="A25" s="175" t="s">
        <v>16</v>
      </c>
      <c r="B25" s="100" t="s">
        <v>3698</v>
      </c>
      <c r="C25" s="99" t="s">
        <v>1466</v>
      </c>
      <c r="D25" s="20">
        <v>1.6</v>
      </c>
      <c r="E25" s="20">
        <v>170308.43</v>
      </c>
      <c r="F25" s="19">
        <f>D25*E25</f>
        <v>272493.48800000001</v>
      </c>
      <c r="G25" s="19">
        <f>F25*(1+W25)</f>
        <v>1118694.7656351998</v>
      </c>
      <c r="H25" s="20">
        <v>1.6</v>
      </c>
      <c r="I25" s="19">
        <v>272493.49184999999</v>
      </c>
      <c r="J25" s="19">
        <v>0</v>
      </c>
      <c r="K25" s="19">
        <v>0</v>
      </c>
      <c r="L25" s="19">
        <f>J25+H25</f>
        <v>1.6</v>
      </c>
      <c r="M25" s="19">
        <v>0</v>
      </c>
      <c r="N25" s="83">
        <f>VLOOKUP(A25,'[1]Planilha Serviços Medição Pi'!C:H,4,0)</f>
        <v>0</v>
      </c>
      <c r="O25" s="19">
        <f>L25+M25+N25</f>
        <v>1.6</v>
      </c>
      <c r="P25" s="19">
        <f>I25+K25</f>
        <v>272493.49184999999</v>
      </c>
      <c r="Q25" s="19">
        <v>-1.8500000005587935E-3</v>
      </c>
      <c r="R25" s="72">
        <f>ROUND(N25*E25,2)</f>
        <v>0</v>
      </c>
      <c r="S25" s="19">
        <f>ROUND(P25+Q25+R25,2)</f>
        <v>272493.49</v>
      </c>
      <c r="T25" s="19">
        <f>D25-O25</f>
        <v>0</v>
      </c>
      <c r="U25" s="19">
        <f>F25-S25</f>
        <v>-1.9999999785795808E-3</v>
      </c>
      <c r="V25" s="114" t="s">
        <v>1521</v>
      </c>
      <c r="W25" s="210">
        <f>VLOOKUP(V25,'Reajuste Atual'!$L$19:$M$25,2,FALSE)</f>
        <v>3.1053999999999999</v>
      </c>
      <c r="X25" s="844">
        <f>ROUND(R25*(1+W25),2)</f>
        <v>0</v>
      </c>
      <c r="Y25" s="190"/>
      <c r="Z25"/>
      <c r="AA25" s="128">
        <f>ROUND(R25,2)</f>
        <v>0</v>
      </c>
      <c r="AB25" s="128">
        <f t="shared" ref="AB25:AB27" si="3">ROUND(U25,2)</f>
        <v>0</v>
      </c>
      <c r="AC25" s="122">
        <f t="shared" ref="AC25:AC27" si="4">AB25*(1+W25)</f>
        <v>0</v>
      </c>
      <c r="AE25" s="382">
        <f t="shared" si="2"/>
        <v>799067.68973942846</v>
      </c>
      <c r="AF25" s="382">
        <f t="shared" ref="AF25:AF29" si="5">AE25*1.2462</f>
        <v>995798.15495327569</v>
      </c>
    </row>
    <row r="26" spans="1:32" s="98" customFormat="1" outlineLevel="1">
      <c r="A26" s="175" t="s">
        <v>17</v>
      </c>
      <c r="B26" s="100" t="s">
        <v>3699</v>
      </c>
      <c r="C26" s="99" t="s">
        <v>1466</v>
      </c>
      <c r="D26" s="20">
        <v>1.2</v>
      </c>
      <c r="E26" s="20">
        <v>567694.77950000006</v>
      </c>
      <c r="F26" s="19">
        <f>D26*E26</f>
        <v>681233.73540000001</v>
      </c>
      <c r="G26" s="19">
        <f>F26*(1+W26)</f>
        <v>3096888.5611283998</v>
      </c>
      <c r="H26" s="20">
        <v>1.1000000000000001</v>
      </c>
      <c r="I26" s="19">
        <v>624464.25814999989</v>
      </c>
      <c r="J26" s="19">
        <v>0</v>
      </c>
      <c r="K26" s="19">
        <v>0</v>
      </c>
      <c r="L26" s="19">
        <f>J26+H26</f>
        <v>1.1000000000000001</v>
      </c>
      <c r="M26" s="19">
        <v>0</v>
      </c>
      <c r="N26" s="83">
        <f>VLOOKUP(A26,'[1]Planilha Serviços Medição Pi'!C:H,4,0)</f>
        <v>0</v>
      </c>
      <c r="O26" s="19">
        <f>L26+M26+N26</f>
        <v>1.1000000000000001</v>
      </c>
      <c r="P26" s="19">
        <f>I26+K26</f>
        <v>624464.25814999989</v>
      </c>
      <c r="Q26" s="19">
        <v>1.8500001169741154E-3</v>
      </c>
      <c r="R26" s="72">
        <f>ROUND(N26*E26,2)</f>
        <v>0</v>
      </c>
      <c r="S26" s="19">
        <f>ROUND(P26+Q26+R26,2)</f>
        <v>624464.26</v>
      </c>
      <c r="T26" s="19">
        <f>D26-O26</f>
        <v>9.9999999999999867E-2</v>
      </c>
      <c r="U26" s="19">
        <f>F26-S26</f>
        <v>56769.475399999996</v>
      </c>
      <c r="V26" s="114" t="s">
        <v>1522</v>
      </c>
      <c r="W26" s="210">
        <f>VLOOKUP(V26,'Reajuste Atual'!$L$19:$M$25,2,FALSE)</f>
        <v>3.5459999999999998</v>
      </c>
      <c r="X26" s="844">
        <f>ROUND(R26*(1+W26),2)</f>
        <v>0</v>
      </c>
      <c r="Y26" s="190"/>
      <c r="Z26"/>
      <c r="AA26" s="128">
        <f>ROUND(R26,2)</f>
        <v>0</v>
      </c>
      <c r="AB26" s="128">
        <f t="shared" si="3"/>
        <v>56769.48</v>
      </c>
      <c r="AC26" s="122">
        <f t="shared" si="4"/>
        <v>258074.05607999998</v>
      </c>
      <c r="AE26" s="382">
        <f t="shared" si="2"/>
        <v>2212063.2579488573</v>
      </c>
      <c r="AF26" s="382">
        <f t="shared" si="5"/>
        <v>2756673.2320558657</v>
      </c>
    </row>
    <row r="27" spans="1:32" s="98" customFormat="1" outlineLevel="1">
      <c r="A27" s="175" t="s">
        <v>18</v>
      </c>
      <c r="B27" s="100" t="s">
        <v>3700</v>
      </c>
      <c r="C27" s="53" t="s">
        <v>3733</v>
      </c>
      <c r="D27" s="20">
        <v>79.356666666666698</v>
      </c>
      <c r="E27" s="20">
        <v>58785.56</v>
      </c>
      <c r="F27" s="19">
        <f>D27*E27</f>
        <v>4665026.0897333352</v>
      </c>
      <c r="G27" s="19">
        <f>F27*(1+W27)</f>
        <v>21207208.603927739</v>
      </c>
      <c r="H27" s="20">
        <v>65.996666666666698</v>
      </c>
      <c r="I27" s="19">
        <v>3875945.2103227526</v>
      </c>
      <c r="J27" s="19">
        <v>0</v>
      </c>
      <c r="K27" s="19">
        <v>0</v>
      </c>
      <c r="L27" s="19">
        <f>J27+H27</f>
        <v>65.996666666666698</v>
      </c>
      <c r="M27" s="19">
        <v>1.7146666151162862</v>
      </c>
      <c r="N27" s="83">
        <f>VLOOKUP(A27,'[1]Planilha Serviços Medição Pi'!C:H,4,0)</f>
        <v>1.7147000000000001</v>
      </c>
      <c r="O27" s="19">
        <f>L27+M27+N27</f>
        <v>69.426033281782978</v>
      </c>
      <c r="P27" s="19">
        <f>I27+K27</f>
        <v>3875945.2103227526</v>
      </c>
      <c r="Q27" s="19">
        <v>100797.6396772475</v>
      </c>
      <c r="R27" s="72">
        <f>ROUND(N27*E27,2)</f>
        <v>100799.6</v>
      </c>
      <c r="S27" s="19">
        <f>ROUND(P27+Q27+R27,2)</f>
        <v>4077542.45</v>
      </c>
      <c r="T27" s="19">
        <f>D27-O27</f>
        <v>9.9306333848837198</v>
      </c>
      <c r="U27" s="19">
        <f>F27-S27</f>
        <v>587483.639733335</v>
      </c>
      <c r="V27" s="114" t="s">
        <v>1522</v>
      </c>
      <c r="W27" s="210">
        <f>VLOOKUP(V27,'Reajuste Atual'!$L$19:$M$25,2,FALSE)</f>
        <v>3.5459999999999998</v>
      </c>
      <c r="X27" s="844">
        <f>ROUND(R27*(1+W27),2)</f>
        <v>458234.98</v>
      </c>
      <c r="Y27" s="190"/>
      <c r="Z27"/>
      <c r="AA27" s="128">
        <f>ROUND(R27,2)</f>
        <v>100799.6</v>
      </c>
      <c r="AB27" s="128">
        <f t="shared" si="3"/>
        <v>587483.64</v>
      </c>
      <c r="AC27" s="122">
        <f t="shared" si="4"/>
        <v>2670700.6274399995</v>
      </c>
      <c r="AE27" s="382">
        <f t="shared" si="2"/>
        <v>15148006.145662671</v>
      </c>
      <c r="AF27" s="382">
        <f t="shared" si="5"/>
        <v>18877445.25872482</v>
      </c>
    </row>
    <row r="28" spans="1:32" s="98" customFormat="1" outlineLevel="1">
      <c r="A28" s="845" t="s">
        <v>3218</v>
      </c>
      <c r="B28" s="100" t="s">
        <v>3701</v>
      </c>
      <c r="C28" s="846" t="s">
        <v>1466</v>
      </c>
      <c r="D28" s="847">
        <v>1</v>
      </c>
      <c r="E28" s="493"/>
      <c r="F28" s="494"/>
      <c r="G28" s="495">
        <v>1165307.0738796499</v>
      </c>
      <c r="H28" s="20"/>
      <c r="I28" s="19"/>
      <c r="J28" s="19"/>
      <c r="K28" s="19"/>
      <c r="L28" s="19"/>
      <c r="M28" s="19"/>
      <c r="N28" s="83"/>
      <c r="O28" s="19"/>
      <c r="P28" s="19"/>
      <c r="Q28" s="19"/>
      <c r="R28" s="72"/>
      <c r="S28" s="19"/>
      <c r="T28" s="19"/>
      <c r="U28" s="19"/>
      <c r="V28" s="843" t="s">
        <v>1521</v>
      </c>
      <c r="W28" s="210">
        <f>VLOOKUP(V28,'Reajuste Atual'!$L$19:$M$25,2,FALSE)</f>
        <v>3.1053999999999999</v>
      </c>
      <c r="X28" s="848"/>
      <c r="Y28" s="190"/>
      <c r="Z28"/>
      <c r="AA28" s="128"/>
      <c r="AB28" s="128"/>
      <c r="AC28" s="122"/>
      <c r="AE28" s="382">
        <f t="shared" si="2"/>
        <v>832362.19562832138</v>
      </c>
      <c r="AF28" s="382">
        <f t="shared" si="5"/>
        <v>1037289.7681920141</v>
      </c>
    </row>
    <row r="29" spans="1:32" s="98" customFormat="1" outlineLevel="1">
      <c r="A29" s="845" t="s">
        <v>3703</v>
      </c>
      <c r="B29" s="100" t="s">
        <v>3702</v>
      </c>
      <c r="C29" s="846" t="s">
        <v>1466</v>
      </c>
      <c r="D29" s="847">
        <v>1</v>
      </c>
      <c r="E29" s="493"/>
      <c r="F29" s="494"/>
      <c r="G29" s="495">
        <v>499417.3060871429</v>
      </c>
      <c r="H29" s="20"/>
      <c r="I29" s="19"/>
      <c r="J29" s="19"/>
      <c r="K29" s="19"/>
      <c r="L29" s="19"/>
      <c r="M29" s="19"/>
      <c r="N29" s="83"/>
      <c r="O29" s="19"/>
      <c r="P29" s="19"/>
      <c r="Q29" s="19"/>
      <c r="R29" s="72"/>
      <c r="S29" s="19"/>
      <c r="T29" s="19"/>
      <c r="U29" s="19"/>
      <c r="V29" s="114" t="s">
        <v>1521</v>
      </c>
      <c r="W29" s="210">
        <f>VLOOKUP(V29,'Reajuste Atual'!$L$19:$M$25,2,FALSE)</f>
        <v>3.1053999999999999</v>
      </c>
      <c r="X29" s="848"/>
      <c r="Y29" s="190"/>
      <c r="Z29"/>
      <c r="AA29" s="128"/>
      <c r="AB29" s="128"/>
      <c r="AC29" s="122"/>
      <c r="AE29" s="382">
        <f t="shared" si="2"/>
        <v>356726.64720510208</v>
      </c>
      <c r="AF29" s="382">
        <f t="shared" si="5"/>
        <v>444552.74774699821</v>
      </c>
    </row>
    <row r="30" spans="1:32" s="98" customFormat="1" outlineLevel="1">
      <c r="A30" s="845"/>
      <c r="B30" s="100"/>
      <c r="C30" s="53"/>
      <c r="D30" s="20"/>
      <c r="E30" s="20"/>
      <c r="F30" s="19"/>
      <c r="G30" s="19"/>
      <c r="H30" s="20"/>
      <c r="I30" s="19"/>
      <c r="J30" s="19"/>
      <c r="K30" s="19"/>
      <c r="L30" s="19"/>
      <c r="M30" s="19"/>
      <c r="N30" s="83"/>
      <c r="O30" s="19"/>
      <c r="P30" s="19"/>
      <c r="Q30" s="19"/>
      <c r="R30" s="72"/>
      <c r="S30" s="19"/>
      <c r="T30" s="19"/>
      <c r="U30" s="19"/>
      <c r="V30" s="114"/>
      <c r="W30" s="210"/>
      <c r="X30" s="848"/>
      <c r="Y30" s="190"/>
      <c r="Z30"/>
      <c r="AA30" s="128"/>
      <c r="AB30" s="128"/>
      <c r="AC30" s="122"/>
    </row>
    <row r="34" spans="1:87" s="166" customFormat="1">
      <c r="A34" s="48"/>
      <c r="B34" s="49"/>
      <c r="C34" s="141"/>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row>
    <row r="35" spans="1:87" s="166" customFormat="1">
      <c r="A35" s="48"/>
      <c r="B35" s="49"/>
      <c r="C35" s="141"/>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row>
    <row r="36" spans="1:87" s="166" customFormat="1">
      <c r="A36" s="48"/>
      <c r="B36" s="49"/>
      <c r="C36" s="141"/>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row>
    <row r="37" spans="1:87" s="166" customFormat="1">
      <c r="A37" s="48"/>
      <c r="B37" s="49"/>
      <c r="C37" s="141"/>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row>
    <row r="38" spans="1:87" s="166" customFormat="1">
      <c r="A38" s="48"/>
      <c r="B38" s="49"/>
      <c r="C38" s="141"/>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row>
    <row r="39" spans="1:87" s="166" customFormat="1">
      <c r="A39" s="48"/>
      <c r="B39" s="49"/>
      <c r="C39" s="141"/>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row>
    <row r="40" spans="1:87" s="166" customFormat="1">
      <c r="A40" s="48"/>
      <c r="B40" s="49"/>
      <c r="C40" s="141"/>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row>
    <row r="41" spans="1:87" s="166" customFormat="1">
      <c r="A41" s="48"/>
      <c r="B41" s="49"/>
      <c r="C41" s="14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row>
    <row r="42" spans="1:87" s="166" customFormat="1">
      <c r="A42" s="48"/>
      <c r="B42" s="49"/>
      <c r="C42" s="141"/>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row>
    <row r="43" spans="1:87" s="166" customFormat="1">
      <c r="A43" s="48"/>
      <c r="B43" s="49"/>
      <c r="C43" s="141"/>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row>
    <row r="44" spans="1:87" s="166" customFormat="1">
      <c r="A44" s="48"/>
      <c r="B44" s="49"/>
      <c r="C44" s="141"/>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row>
    <row r="45" spans="1:87" s="166" customFormat="1">
      <c r="A45" s="48"/>
      <c r="B45" s="49"/>
      <c r="C45" s="141"/>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row>
    <row r="46" spans="1:87" s="166" customFormat="1">
      <c r="A46" s="48"/>
      <c r="B46" s="49"/>
      <c r="C46" s="141"/>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row>
    <row r="47" spans="1:87" s="166" customFormat="1">
      <c r="A47" s="48"/>
      <c r="B47" s="49"/>
      <c r="C47" s="141"/>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row>
    <row r="48" spans="1:87" s="166" customFormat="1">
      <c r="A48" s="48"/>
      <c r="B48" s="49"/>
      <c r="C48" s="141"/>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row>
    <row r="49" spans="1:87" s="166" customFormat="1">
      <c r="A49" s="48"/>
      <c r="B49" s="49"/>
      <c r="C49" s="141"/>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row>
    <row r="50" spans="1:87" s="166" customFormat="1">
      <c r="A50" s="48"/>
      <c r="B50" s="49"/>
      <c r="C50" s="141"/>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row>
    <row r="51" spans="1:87" s="166" customFormat="1">
      <c r="A51" s="48"/>
      <c r="B51" s="49"/>
      <c r="C51" s="141"/>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row>
    <row r="52" spans="1:87" s="166" customFormat="1">
      <c r="A52" s="48"/>
      <c r="B52" s="49"/>
      <c r="C52" s="141"/>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row>
    <row r="53" spans="1:87" s="166" customFormat="1">
      <c r="A53" s="48"/>
      <c r="B53" s="49"/>
      <c r="C53" s="141"/>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row>
    <row r="54" spans="1:87" s="166" customFormat="1">
      <c r="A54" s="48"/>
      <c r="B54" s="49"/>
      <c r="C54" s="141"/>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row>
    <row r="55" spans="1:87" s="166" customFormat="1">
      <c r="A55" s="48"/>
      <c r="B55" s="49"/>
      <c r="C55" s="141"/>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row>
    <row r="56" spans="1:87" s="166" customFormat="1">
      <c r="A56" s="48"/>
      <c r="B56" s="49"/>
      <c r="C56" s="141"/>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row>
    <row r="57" spans="1:87" s="166" customFormat="1">
      <c r="A57" s="48"/>
      <c r="B57" s="49"/>
      <c r="C57" s="141"/>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row>
    <row r="58" spans="1:87" s="166" customFormat="1">
      <c r="A58" s="48"/>
      <c r="B58" s="49"/>
      <c r="C58" s="141"/>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row>
    <row r="59" spans="1:87" s="166" customFormat="1">
      <c r="A59" s="48"/>
      <c r="B59" s="49"/>
      <c r="C59" s="141"/>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row>
    <row r="60" spans="1:87" s="166" customFormat="1">
      <c r="A60" s="48"/>
      <c r="B60" s="49"/>
      <c r="C60" s="141"/>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row>
    <row r="61" spans="1:87" s="166" customFormat="1">
      <c r="A61" s="48"/>
      <c r="B61" s="49"/>
      <c r="C61" s="141"/>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row>
    <row r="62" spans="1:87" s="166" customFormat="1">
      <c r="A62" s="48"/>
      <c r="B62" s="49"/>
      <c r="C62" s="141"/>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row>
    <row r="63" spans="1:87" s="166" customFormat="1">
      <c r="A63" s="48"/>
      <c r="B63" s="49"/>
      <c r="C63" s="141"/>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row>
    <row r="64" spans="1:87" s="166" customFormat="1">
      <c r="A64" s="48"/>
      <c r="B64" s="49"/>
      <c r="C64" s="141"/>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row>
    <row r="65" spans="1:87" s="166" customFormat="1">
      <c r="A65" s="48"/>
      <c r="B65" s="49"/>
      <c r="C65" s="141"/>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row>
    <row r="66" spans="1:87" s="166" customFormat="1">
      <c r="A66" s="48"/>
      <c r="B66" s="49"/>
      <c r="C66" s="141"/>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row>
    <row r="68" spans="1:87" s="166" customFormat="1">
      <c r="A68" s="48"/>
      <c r="B68" s="49"/>
      <c r="C68" s="141"/>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row>
    <row r="69" spans="1:87" s="166" customFormat="1">
      <c r="A69" s="48"/>
      <c r="B69" s="49"/>
      <c r="C69" s="141"/>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row>
    <row r="70" spans="1:87" s="166" customFormat="1">
      <c r="A70" s="48"/>
      <c r="B70" s="49"/>
      <c r="C70" s="141"/>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row>
    <row r="71" spans="1:87" s="166" customFormat="1">
      <c r="A71" s="48"/>
      <c r="B71" s="49"/>
      <c r="C71" s="141"/>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row>
    <row r="72" spans="1:87" s="166" customFormat="1">
      <c r="A72" s="48"/>
      <c r="B72" s="49"/>
      <c r="C72" s="141"/>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row>
    <row r="73" spans="1:87" s="166" customFormat="1">
      <c r="A73" s="48"/>
      <c r="B73" s="49"/>
      <c r="C73" s="141"/>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row>
    <row r="74" spans="1:87" s="166" customFormat="1">
      <c r="A74" s="48"/>
      <c r="B74" s="49"/>
      <c r="C74" s="141"/>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row>
    <row r="75" spans="1:87" s="166" customFormat="1">
      <c r="A75" s="48"/>
      <c r="B75" s="49"/>
      <c r="C75" s="141"/>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row>
    <row r="76" spans="1:87" s="166" customFormat="1">
      <c r="A76" s="48"/>
      <c r="B76" s="49"/>
      <c r="C76" s="141"/>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row>
    <row r="77" spans="1:87" s="166" customFormat="1">
      <c r="A77" s="48"/>
      <c r="B77" s="49"/>
      <c r="C77" s="141"/>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row>
    <row r="78" spans="1:87" s="166" customFormat="1">
      <c r="A78" s="48"/>
      <c r="B78" s="49"/>
      <c r="C78" s="141"/>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row>
    <row r="79" spans="1:87" s="166" customFormat="1">
      <c r="A79" s="48"/>
      <c r="B79" s="49"/>
      <c r="C79" s="141"/>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row>
    <row r="80" spans="1:87" s="166" customFormat="1">
      <c r="A80" s="48"/>
      <c r="B80" s="49"/>
      <c r="C80" s="141"/>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row>
    <row r="81" spans="1:87" s="166" customFormat="1">
      <c r="A81" s="48"/>
      <c r="B81" s="49"/>
      <c r="C81" s="141"/>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row>
    <row r="82" spans="1:87" s="166" customFormat="1">
      <c r="A82" s="48"/>
      <c r="B82" s="49"/>
      <c r="C82" s="141"/>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row>
    <row r="83" spans="1:87" s="166" customFormat="1">
      <c r="A83" s="48"/>
      <c r="B83" s="49"/>
      <c r="C83" s="141"/>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row>
    <row r="84" spans="1:87" s="166" customFormat="1">
      <c r="A84" s="48"/>
      <c r="B84" s="49"/>
      <c r="C84" s="141"/>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row>
  </sheetData>
  <autoFilter ref="A22:X30"/>
  <mergeCells count="14">
    <mergeCell ref="W15:X19"/>
    <mergeCell ref="D21:F21"/>
    <mergeCell ref="H21:I21"/>
    <mergeCell ref="J21:K21"/>
    <mergeCell ref="L21:O21"/>
    <mergeCell ref="P21:S21"/>
    <mergeCell ref="T21:U21"/>
    <mergeCell ref="V21:W21"/>
    <mergeCell ref="W12:X14"/>
    <mergeCell ref="A4:W4"/>
    <mergeCell ref="A5:W5"/>
    <mergeCell ref="A6:W6"/>
    <mergeCell ref="A8:W8"/>
    <mergeCell ref="W9:X11"/>
  </mergeCells>
  <printOptions horizontalCentered="1"/>
  <pageMargins left="0.39370078740157483" right="0.39370078740157483" top="0.39370078740157483" bottom="0.39370078740157483" header="0" footer="0"/>
  <pageSetup paperSize="9" scale="49"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pageSetUpPr autoPageBreaks="0" fitToPage="1"/>
  </sheetPr>
  <dimension ref="A1:AH26"/>
  <sheetViews>
    <sheetView showGridLines="0" showZeros="0" showRuler="0" showWhiteSpace="0" view="pageBreakPreview" zoomScale="70" zoomScaleNormal="55" zoomScaleSheetLayoutView="70" zoomScalePageLayoutView="60" workbookViewId="0">
      <pane ySplit="22" topLeftCell="A23" activePane="bottomLeft" state="frozen"/>
      <selection pane="bottomLeft" activeCell="G37" sqref="G37"/>
    </sheetView>
  </sheetViews>
  <sheetFormatPr defaultColWidth="9.140625" defaultRowHeight="15.75" outlineLevelRow="1" outlineLevelCol="1"/>
  <cols>
    <col min="1" max="1" width="12" style="48" customWidth="1"/>
    <col min="2" max="2" width="98" style="49" customWidth="1"/>
    <col min="3" max="3" width="9.140625" style="141" customWidth="1"/>
    <col min="4" max="4" width="19.7109375" style="50" customWidth="1"/>
    <col min="5" max="5" width="17.42578125" style="50" customWidth="1"/>
    <col min="6" max="8" width="22" style="50" customWidth="1"/>
    <col min="9" max="12" width="25.7109375" style="50" hidden="1" customWidth="1" outlineLevel="1"/>
    <col min="13" max="13" width="25.7109375" style="50" hidden="1" customWidth="1" collapsed="1"/>
    <col min="14" max="16" width="25.7109375" style="50" hidden="1" customWidth="1"/>
    <col min="17" max="18" width="25.7109375" style="50" hidden="1" customWidth="1" outlineLevel="1"/>
    <col min="19" max="19" width="25.7109375" style="50" hidden="1" customWidth="1" collapsed="1"/>
    <col min="20" max="20" width="25.7109375" style="50" hidden="1" customWidth="1"/>
    <col min="21" max="21" width="18.5703125" style="50" hidden="1" customWidth="1"/>
    <col min="22" max="22" width="26.7109375" style="50" hidden="1" customWidth="1"/>
    <col min="23" max="23" width="28.85546875" style="50" customWidth="1"/>
    <col min="24" max="24" width="14" style="50" customWidth="1"/>
    <col min="25" max="25" width="32.5703125" style="50" customWidth="1"/>
    <col min="26" max="26" width="22.7109375" style="50" hidden="1" customWidth="1"/>
    <col min="27" max="27" width="3.7109375" style="50" hidden="1" customWidth="1"/>
    <col min="28" max="30" width="17.28515625" style="50" hidden="1" customWidth="1"/>
    <col min="31" max="33" width="18.28515625" style="50" customWidth="1"/>
    <col min="34" max="34" width="13.5703125" style="50" customWidth="1"/>
    <col min="35" max="16384" width="9.140625" style="50"/>
  </cols>
  <sheetData>
    <row r="1" spans="1:32">
      <c r="F1" s="244"/>
      <c r="G1" s="244"/>
      <c r="H1" s="244"/>
      <c r="AB1" s="121"/>
      <c r="AD1" s="50" t="s">
        <v>1538</v>
      </c>
    </row>
    <row r="2" spans="1:32" hidden="1">
      <c r="AB2" s="121"/>
      <c r="AD2" s="123" t="s">
        <v>2751</v>
      </c>
      <c r="AE2" s="124" t="s">
        <v>2749</v>
      </c>
      <c r="AF2" s="124" t="s">
        <v>2750</v>
      </c>
    </row>
    <row r="3" spans="1:32" hidden="1">
      <c r="A3" s="142"/>
      <c r="B3" s="143"/>
      <c r="C3" s="144"/>
      <c r="D3" s="143"/>
      <c r="E3" s="143"/>
      <c r="F3" s="143"/>
      <c r="G3" s="143"/>
      <c r="H3" s="143"/>
      <c r="I3" s="143"/>
      <c r="J3" s="143"/>
      <c r="K3" s="143"/>
      <c r="L3" s="143"/>
      <c r="M3" s="143"/>
      <c r="N3" s="143"/>
      <c r="O3" s="143"/>
      <c r="P3" s="143"/>
      <c r="Q3" s="143"/>
      <c r="R3" s="143"/>
      <c r="S3" s="143"/>
      <c r="T3" s="143"/>
      <c r="U3" s="143"/>
      <c r="V3" s="143"/>
      <c r="W3" s="143"/>
      <c r="X3" s="143"/>
      <c r="Y3" s="143"/>
      <c r="Z3" s="186"/>
      <c r="AA3" s="50" t="s">
        <v>1521</v>
      </c>
      <c r="AB3" s="125">
        <f>VLOOKUP(AC3,'[1]Reajuste Revisado'!A19:I25,9,0)</f>
        <v>3.3241000000000001</v>
      </c>
      <c r="AC3" s="801" t="s">
        <v>1521</v>
      </c>
      <c r="AD3" s="802">
        <f t="shared" ref="AD3:AD8" ca="1" si="0">SUMIF($W$23:$AB$26,AC3,$AB$23:$AB$26)</f>
        <v>0</v>
      </c>
      <c r="AE3" s="786">
        <f ca="1">SUMIF($W$21:$AC$26,AC3,$AC$21:$AC$26)-0.03</f>
        <v>-0.03</v>
      </c>
      <c r="AF3" s="755">
        <f t="shared" ref="AF3:AF8" ca="1" si="1">ROUND(AE3*AB3,2)</f>
        <v>-0.1</v>
      </c>
    </row>
    <row r="4" spans="1:32" ht="18.75" hidden="1">
      <c r="A4" s="1065" t="s">
        <v>3056</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87"/>
      <c r="Z4" s="187"/>
      <c r="AA4" s="50" t="s">
        <v>1524</v>
      </c>
      <c r="AB4" s="125">
        <f>VLOOKUP(AC4,'[1]Reajuste Revisado'!A20:I26,9,0)</f>
        <v>3.7035</v>
      </c>
      <c r="AC4" s="803" t="s">
        <v>1524</v>
      </c>
      <c r="AD4" s="802">
        <f t="shared" ca="1" si="0"/>
        <v>0</v>
      </c>
      <c r="AE4" s="786">
        <f ca="1">SUMIF($W$21:$AC$26,AC4,$AC$21:$AC$26)-0.03</f>
        <v>-0.03</v>
      </c>
      <c r="AF4" s="755">
        <f t="shared" ca="1" si="1"/>
        <v>-0.11</v>
      </c>
    </row>
    <row r="5" spans="1:32" ht="18.75" hidden="1">
      <c r="A5" s="1067" t="s">
        <v>4</v>
      </c>
      <c r="B5" s="1068"/>
      <c r="C5" s="1068"/>
      <c r="D5" s="1068"/>
      <c r="E5" s="1068"/>
      <c r="F5" s="1068"/>
      <c r="G5" s="1068"/>
      <c r="H5" s="1068"/>
      <c r="I5" s="1068"/>
      <c r="J5" s="1068"/>
      <c r="K5" s="1068"/>
      <c r="L5" s="1068"/>
      <c r="M5" s="1068"/>
      <c r="N5" s="1068"/>
      <c r="O5" s="1068"/>
      <c r="P5" s="1068"/>
      <c r="Q5" s="1068"/>
      <c r="R5" s="1068"/>
      <c r="S5" s="1068"/>
      <c r="T5" s="1068"/>
      <c r="U5" s="1068"/>
      <c r="V5" s="1068"/>
      <c r="W5" s="1068"/>
      <c r="X5" s="1068"/>
      <c r="Y5" s="187"/>
      <c r="Z5" s="187"/>
      <c r="AA5" s="50" t="s">
        <v>1525</v>
      </c>
      <c r="AB5" s="125">
        <f>VLOOKUP(AC5,'[1]Reajuste Revisado'!A21:I27,9,0)</f>
        <v>4.6052</v>
      </c>
      <c r="AC5" s="803" t="s">
        <v>1525</v>
      </c>
      <c r="AD5" s="802">
        <f t="shared" ca="1" si="0"/>
        <v>0</v>
      </c>
      <c r="AE5" s="786">
        <f ca="1">SUMIF($W$21:$AC$26,AC5,$AC$21:$AC$26)-0.05</f>
        <v>-0.05</v>
      </c>
      <c r="AF5" s="755">
        <f t="shared" ca="1" si="1"/>
        <v>-0.23</v>
      </c>
    </row>
    <row r="6" spans="1:32" ht="18.75" hidden="1">
      <c r="A6" s="1067" t="s">
        <v>1527</v>
      </c>
      <c r="B6" s="1068"/>
      <c r="C6" s="1068"/>
      <c r="D6" s="1068"/>
      <c r="E6" s="1068"/>
      <c r="F6" s="1068"/>
      <c r="G6" s="1068"/>
      <c r="H6" s="1068"/>
      <c r="I6" s="1068"/>
      <c r="J6" s="1068"/>
      <c r="K6" s="1068"/>
      <c r="L6" s="1068"/>
      <c r="M6" s="1068"/>
      <c r="N6" s="1068"/>
      <c r="O6" s="1068"/>
      <c r="P6" s="1068"/>
      <c r="Q6" s="1068"/>
      <c r="R6" s="1068"/>
      <c r="S6" s="1068"/>
      <c r="T6" s="1068"/>
      <c r="U6" s="1068"/>
      <c r="V6" s="1068"/>
      <c r="W6" s="1068"/>
      <c r="X6" s="1068"/>
      <c r="Y6" s="187"/>
      <c r="Z6" s="187"/>
      <c r="AA6" s="50" t="s">
        <v>1522</v>
      </c>
      <c r="AB6" s="125">
        <f>VLOOKUP(AC6,'[1]Reajuste Revisado'!A22:I28,9,0)</f>
        <v>3.4365000000000001</v>
      </c>
      <c r="AC6" s="804" t="s">
        <v>1522</v>
      </c>
      <c r="AD6" s="802">
        <f t="shared" ca="1" si="0"/>
        <v>0</v>
      </c>
      <c r="AE6" s="786">
        <f ca="1">SUMIF($W$21:$AC$26,AC6,$AC$21:$AC$26)-0.01</f>
        <v>-0.01</v>
      </c>
      <c r="AF6" s="755">
        <f t="shared" ca="1" si="1"/>
        <v>-0.03</v>
      </c>
    </row>
    <row r="7" spans="1:32" ht="16.5" hidden="1" thickBot="1">
      <c r="A7" s="147"/>
      <c r="B7" s="148"/>
      <c r="C7" s="149"/>
      <c r="D7" s="150"/>
      <c r="E7" s="150"/>
      <c r="F7" s="150"/>
      <c r="G7" s="150"/>
      <c r="H7" s="150"/>
      <c r="I7" s="150"/>
      <c r="J7" s="150"/>
      <c r="K7" s="150"/>
      <c r="L7" s="150"/>
      <c r="M7" s="150"/>
      <c r="N7" s="150"/>
      <c r="O7" s="150"/>
      <c r="P7" s="150"/>
      <c r="Q7" s="150"/>
      <c r="R7" s="150"/>
      <c r="S7" s="150"/>
      <c r="T7" s="150"/>
      <c r="U7" s="150"/>
      <c r="V7" s="150"/>
      <c r="W7" s="150"/>
      <c r="X7" s="150"/>
      <c r="Y7" s="150"/>
      <c r="Z7" s="188"/>
      <c r="AA7" s="50" t="s">
        <v>1523</v>
      </c>
      <c r="AB7" s="125">
        <f>VLOOKUP(AC7,'[1]Reajuste Revisado'!A23:I29,9,0)</f>
        <v>2.6591</v>
      </c>
      <c r="AC7" s="803" t="s">
        <v>1523</v>
      </c>
      <c r="AD7" s="802">
        <f t="shared" ca="1" si="0"/>
        <v>0</v>
      </c>
      <c r="AE7" s="786">
        <f ca="1">SUMIF($W$21:$AC$26,AC7,$AC$21:$AC$26)</f>
        <v>8892092.0199999996</v>
      </c>
      <c r="AF7" s="755">
        <f t="shared" ca="1" si="1"/>
        <v>23644961.890000001</v>
      </c>
    </row>
    <row r="8" spans="1:32" ht="24" hidden="1" thickBot="1">
      <c r="A8" s="1069" t="s">
        <v>3058</v>
      </c>
      <c r="B8" s="1070"/>
      <c r="C8" s="1070"/>
      <c r="D8" s="1070"/>
      <c r="E8" s="1070"/>
      <c r="F8" s="1070"/>
      <c r="G8" s="1070"/>
      <c r="H8" s="1070"/>
      <c r="I8" s="1070"/>
      <c r="J8" s="1070"/>
      <c r="K8" s="1070"/>
      <c r="L8" s="1070"/>
      <c r="M8" s="1070"/>
      <c r="N8" s="1070"/>
      <c r="O8" s="1070"/>
      <c r="P8" s="1070"/>
      <c r="Q8" s="1070"/>
      <c r="R8" s="1070"/>
      <c r="S8" s="1070"/>
      <c r="T8" s="1070"/>
      <c r="U8" s="1070"/>
      <c r="V8" s="1070"/>
      <c r="W8" s="1070"/>
      <c r="X8" s="1070"/>
      <c r="Y8" s="189"/>
      <c r="Z8" s="189"/>
      <c r="AA8" s="50" t="s">
        <v>1526</v>
      </c>
      <c r="AB8" s="125">
        <f>VLOOKUP(AC8,'[1]Reajuste Revisado'!A24:I30,9,0)</f>
        <v>2.7239</v>
      </c>
      <c r="AC8" s="803" t="s">
        <v>1526</v>
      </c>
      <c r="AD8" s="802">
        <f t="shared" ca="1" si="0"/>
        <v>0</v>
      </c>
      <c r="AE8" s="786">
        <f ca="1">SUMIF($W$21:$AC$26,AC8,$AC$21:$AC$26)-0.02</f>
        <v>-0.02</v>
      </c>
      <c r="AF8" s="755">
        <f t="shared" ca="1" si="1"/>
        <v>-0.05</v>
      </c>
    </row>
    <row r="9" spans="1:32" hidden="1">
      <c r="A9" s="152" t="s">
        <v>7</v>
      </c>
      <c r="B9" s="153" t="s">
        <v>1519</v>
      </c>
      <c r="C9" s="154"/>
      <c r="D9" s="196" t="s">
        <v>1535</v>
      </c>
      <c r="E9" s="145"/>
      <c r="F9" s="145"/>
      <c r="G9" s="145"/>
      <c r="H9" s="145"/>
      <c r="I9" s="145"/>
      <c r="J9" s="145"/>
      <c r="K9" s="145"/>
      <c r="L9" s="145"/>
      <c r="M9" s="145"/>
      <c r="N9" s="145"/>
      <c r="O9" s="145"/>
      <c r="P9" s="145"/>
      <c r="Q9" s="145"/>
      <c r="R9" s="145"/>
      <c r="S9" s="827" t="s">
        <v>3704</v>
      </c>
      <c r="T9" s="828"/>
      <c r="U9" s="146"/>
      <c r="V9" s="829">
        <v>58884061.280000001</v>
      </c>
      <c r="W9" s="198"/>
      <c r="X9" s="1071" t="str">
        <f>CONCATENATE([1]DADOS!A6," ",[1]DADOS!B6)</f>
        <v>MÊS: JULHO</v>
      </c>
      <c r="Y9" s="1093"/>
      <c r="Z9" s="160"/>
      <c r="AE9" s="207">
        <f ca="1">SUM(AE3:AE8)</f>
        <v>8892091.8800000008</v>
      </c>
      <c r="AF9" s="207">
        <f ca="1">SUM(AF3:AF8)</f>
        <v>23644961.370000001</v>
      </c>
    </row>
    <row r="10" spans="1:32" hidden="1">
      <c r="A10" s="155" t="s">
        <v>6</v>
      </c>
      <c r="B10" s="156" t="s">
        <v>1530</v>
      </c>
      <c r="C10" s="157"/>
      <c r="D10" s="197" t="s">
        <v>5</v>
      </c>
      <c r="E10" s="146"/>
      <c r="F10" s="159"/>
      <c r="G10" s="159"/>
      <c r="H10" s="159"/>
      <c r="I10" s="159"/>
      <c r="J10" s="159"/>
      <c r="K10" s="159"/>
      <c r="L10" s="159"/>
      <c r="M10" s="159"/>
      <c r="N10" s="159"/>
      <c r="O10" s="159"/>
      <c r="P10" s="159"/>
      <c r="Q10" s="159"/>
      <c r="R10" s="159"/>
      <c r="S10" s="158" t="s">
        <v>3705</v>
      </c>
      <c r="T10" s="138"/>
      <c r="U10" s="146"/>
      <c r="V10" s="830">
        <v>21201084.848275065</v>
      </c>
      <c r="W10" s="756"/>
      <c r="X10" s="1072"/>
      <c r="Y10" s="1092"/>
      <c r="Z10" s="160"/>
      <c r="AE10" s="208" t="e">
        <f ca="1">AE9-#REF!</f>
        <v>#REF!</v>
      </c>
      <c r="AF10" s="123"/>
    </row>
    <row r="11" spans="1:32" hidden="1">
      <c r="A11" s="155" t="s">
        <v>8</v>
      </c>
      <c r="B11" s="156" t="s">
        <v>1483</v>
      </c>
      <c r="C11" s="157"/>
      <c r="D11" s="197" t="s">
        <v>1537</v>
      </c>
      <c r="E11" s="146"/>
      <c r="F11" s="159"/>
      <c r="G11" s="159"/>
      <c r="H11" s="159"/>
      <c r="I11" s="159"/>
      <c r="J11" s="159"/>
      <c r="K11" s="159"/>
      <c r="L11" s="159"/>
      <c r="M11" s="159"/>
      <c r="N11" s="159"/>
      <c r="O11" s="159"/>
      <c r="P11" s="159"/>
      <c r="Q11" s="159"/>
      <c r="R11" s="159"/>
      <c r="S11" s="158" t="s">
        <v>3706</v>
      </c>
      <c r="T11" s="138"/>
      <c r="U11" s="146"/>
      <c r="V11" s="830">
        <v>2195184.52</v>
      </c>
      <c r="W11" s="756"/>
      <c r="X11" s="1072"/>
      <c r="Y11" s="1092"/>
      <c r="Z11" s="160"/>
    </row>
    <row r="12" spans="1:32" hidden="1">
      <c r="A12" s="155" t="s">
        <v>9</v>
      </c>
      <c r="B12" s="156" t="s">
        <v>1488</v>
      </c>
      <c r="C12" s="157"/>
      <c r="D12" s="197" t="s">
        <v>3057</v>
      </c>
      <c r="E12" s="146"/>
      <c r="F12" s="159"/>
      <c r="G12" s="159"/>
      <c r="H12" s="159"/>
      <c r="I12" s="159"/>
      <c r="J12" s="159"/>
      <c r="K12" s="159"/>
      <c r="L12" s="159"/>
      <c r="M12" s="159"/>
      <c r="N12" s="159"/>
      <c r="O12" s="159"/>
      <c r="P12" s="159"/>
      <c r="Q12" s="159"/>
      <c r="R12" s="159"/>
      <c r="S12" s="158" t="s">
        <v>3707</v>
      </c>
      <c r="T12" s="138"/>
      <c r="U12" s="146"/>
      <c r="V12" s="831">
        <v>-2201130.19</v>
      </c>
      <c r="W12" s="199"/>
      <c r="X12" s="1072" t="str">
        <f>CONCATENATE([1]DADOS!A7," ",[1]DADOS!B7)</f>
        <v>PERÍODO: 16/06/2023 a 12/07/2023</v>
      </c>
      <c r="Y12" s="1092"/>
      <c r="Z12" s="161"/>
    </row>
    <row r="13" spans="1:32" hidden="1">
      <c r="A13" s="155" t="s">
        <v>10</v>
      </c>
      <c r="B13" s="162">
        <v>79745584.319999993</v>
      </c>
      <c r="C13" s="163"/>
      <c r="D13" s="197" t="str">
        <f>[1]DADOS!D12</f>
        <v>Engº Marcus H. R. Rangel</v>
      </c>
      <c r="E13" s="146"/>
      <c r="F13" s="159"/>
      <c r="G13" s="159"/>
      <c r="H13" s="159"/>
      <c r="I13" s="159"/>
      <c r="J13" s="159"/>
      <c r="K13" s="159"/>
      <c r="L13" s="159"/>
      <c r="M13" s="159"/>
      <c r="N13" s="159"/>
      <c r="O13" s="159"/>
      <c r="P13" s="159"/>
      <c r="Q13" s="159"/>
      <c r="R13" s="159"/>
      <c r="S13" s="158" t="s">
        <v>3708</v>
      </c>
      <c r="T13" s="138"/>
      <c r="U13" s="146"/>
      <c r="V13" s="830">
        <v>6526570.1799999997</v>
      </c>
      <c r="W13" s="756"/>
      <c r="X13" s="1072"/>
      <c r="Y13" s="1092"/>
      <c r="Z13" s="160"/>
    </row>
    <row r="14" spans="1:32" hidden="1">
      <c r="A14" s="164" t="s">
        <v>1529</v>
      </c>
      <c r="B14" s="157"/>
      <c r="C14" s="163"/>
      <c r="D14" s="197" t="str">
        <f>[1]DADOS!D14</f>
        <v>Engº Inácio R. L. Mascarenhas</v>
      </c>
      <c r="E14" s="146"/>
      <c r="F14" s="159"/>
      <c r="G14" s="159"/>
      <c r="H14" s="159"/>
      <c r="I14" s="159"/>
      <c r="J14" s="159"/>
      <c r="K14" s="159"/>
      <c r="L14" s="159"/>
      <c r="M14" s="159"/>
      <c r="N14" s="159"/>
      <c r="O14" s="159"/>
      <c r="P14" s="159"/>
      <c r="Q14" s="159"/>
      <c r="R14" s="159"/>
      <c r="S14" s="158" t="s">
        <v>3709</v>
      </c>
      <c r="T14" s="138"/>
      <c r="U14" s="146"/>
      <c r="V14" s="831">
        <v>-6844833.7800000003</v>
      </c>
      <c r="W14" s="756"/>
      <c r="X14" s="1072"/>
      <c r="Y14" s="1092"/>
      <c r="Z14" s="160"/>
    </row>
    <row r="15" spans="1:32" hidden="1">
      <c r="A15" s="165"/>
      <c r="B15" s="157"/>
      <c r="C15" s="163"/>
      <c r="D15" s="197">
        <f>[1]DADOS!D15</f>
        <v>0</v>
      </c>
      <c r="E15" s="146"/>
      <c r="F15" s="146"/>
      <c r="G15" s="146"/>
      <c r="H15" s="146"/>
      <c r="I15" s="146"/>
      <c r="J15" s="146"/>
      <c r="K15" s="146"/>
      <c r="L15" s="146"/>
      <c r="M15" s="146"/>
      <c r="N15" s="146"/>
      <c r="O15" s="146"/>
      <c r="P15" s="146"/>
      <c r="Q15" s="146"/>
      <c r="R15" s="146"/>
      <c r="S15" s="158" t="s">
        <v>3710</v>
      </c>
      <c r="T15" s="138"/>
      <c r="U15" s="146"/>
      <c r="V15" s="830">
        <v>12106692.029999999</v>
      </c>
      <c r="W15" s="199"/>
      <c r="X15" s="1087" t="str">
        <f>CONCATENATE([1]DADOS!A8," ",[1]DADOS!B8)</f>
        <v>ANO: 2023</v>
      </c>
      <c r="Y15" s="1094"/>
      <c r="Z15" s="161"/>
    </row>
    <row r="16" spans="1:32" hidden="1">
      <c r="A16" s="165"/>
      <c r="B16" s="157"/>
      <c r="C16" s="163"/>
      <c r="D16" s="158"/>
      <c r="E16" s="146"/>
      <c r="F16" s="146"/>
      <c r="G16" s="146"/>
      <c r="H16" s="146"/>
      <c r="I16" s="146"/>
      <c r="J16" s="146"/>
      <c r="K16" s="146"/>
      <c r="L16" s="146"/>
      <c r="M16" s="146"/>
      <c r="N16" s="146"/>
      <c r="O16" s="146"/>
      <c r="P16" s="146"/>
      <c r="Q16" s="146"/>
      <c r="R16" s="146"/>
      <c r="S16" s="158" t="s">
        <v>3711</v>
      </c>
      <c r="T16" s="138"/>
      <c r="U16" s="146"/>
      <c r="V16" s="830">
        <v>-12115363.35</v>
      </c>
      <c r="W16" s="199"/>
      <c r="X16" s="1074"/>
      <c r="Y16" s="1095"/>
      <c r="Z16" s="161"/>
    </row>
    <row r="17" spans="1:34" hidden="1">
      <c r="A17" s="165"/>
      <c r="B17" s="157"/>
      <c r="C17" s="163"/>
      <c r="D17" s="158"/>
      <c r="E17" s="146"/>
      <c r="F17" s="146"/>
      <c r="G17" s="146"/>
      <c r="H17" s="146"/>
      <c r="I17" s="146"/>
      <c r="J17" s="146"/>
      <c r="K17" s="146"/>
      <c r="L17" s="146"/>
      <c r="M17" s="146"/>
      <c r="N17" s="146"/>
      <c r="O17" s="146"/>
      <c r="P17" s="146"/>
      <c r="Q17" s="146"/>
      <c r="R17" s="146"/>
      <c r="S17" s="158" t="s">
        <v>3712</v>
      </c>
      <c r="T17" s="138"/>
      <c r="U17" s="146"/>
      <c r="V17" s="830">
        <v>887539.75</v>
      </c>
      <c r="W17" s="199"/>
      <c r="X17" s="1074"/>
      <c r="Y17" s="1095"/>
      <c r="Z17" s="161"/>
    </row>
    <row r="18" spans="1:34" hidden="1">
      <c r="A18" s="165"/>
      <c r="B18" s="157"/>
      <c r="C18" s="163"/>
      <c r="D18" s="158"/>
      <c r="E18" s="146"/>
      <c r="F18" s="146"/>
      <c r="G18" s="146"/>
      <c r="H18" s="146"/>
      <c r="I18" s="146"/>
      <c r="J18" s="146"/>
      <c r="K18" s="146"/>
      <c r="L18" s="146"/>
      <c r="M18" s="146"/>
      <c r="N18" s="146"/>
      <c r="O18" s="146"/>
      <c r="P18" s="146"/>
      <c r="Q18" s="146"/>
      <c r="R18" s="146"/>
      <c r="S18" s="158" t="s">
        <v>3713</v>
      </c>
      <c r="T18" s="138"/>
      <c r="U18" s="146"/>
      <c r="V18" s="830">
        <v>-894220.96000001195</v>
      </c>
      <c r="W18" s="756"/>
      <c r="X18" s="1074"/>
      <c r="Y18" s="1095"/>
      <c r="Z18" s="160"/>
    </row>
    <row r="19" spans="1:34" ht="16.5" hidden="1" thickBot="1">
      <c r="A19" s="165"/>
      <c r="B19" s="168"/>
      <c r="C19" s="169"/>
      <c r="D19" s="170"/>
      <c r="E19" s="151"/>
      <c r="F19" s="151"/>
      <c r="G19" s="151"/>
      <c r="H19" s="151"/>
      <c r="I19" s="151"/>
      <c r="J19" s="151"/>
      <c r="K19" s="151"/>
      <c r="L19" s="151"/>
      <c r="M19" s="151"/>
      <c r="N19" s="151"/>
      <c r="O19" s="151"/>
      <c r="P19" s="151"/>
      <c r="Q19" s="151"/>
      <c r="R19" s="151"/>
      <c r="S19" s="170" t="s">
        <v>3714</v>
      </c>
      <c r="T19" s="168"/>
      <c r="U19" s="832"/>
      <c r="V19" s="833">
        <v>79745584.319999993</v>
      </c>
      <c r="W19" s="168"/>
      <c r="X19" s="1075"/>
      <c r="Y19" s="1096"/>
      <c r="Z19" s="138"/>
    </row>
    <row r="20" spans="1:34">
      <c r="A20" s="955"/>
      <c r="B20" s="372"/>
      <c r="C20" s="373"/>
      <c r="D20" s="126"/>
      <c r="E20" s="126"/>
      <c r="F20" s="757"/>
      <c r="G20" s="757"/>
      <c r="H20" s="757"/>
      <c r="I20" s="126"/>
      <c r="J20" s="126"/>
      <c r="K20" s="126"/>
      <c r="L20" s="126"/>
      <c r="M20" s="126"/>
      <c r="N20" s="126"/>
      <c r="O20" s="126"/>
      <c r="P20" s="126"/>
      <c r="Q20" s="126"/>
      <c r="R20" s="126"/>
      <c r="S20" s="126"/>
      <c r="T20" s="126"/>
      <c r="U20" s="126"/>
      <c r="V20" s="126"/>
      <c r="W20" s="126"/>
      <c r="X20" s="126"/>
      <c r="Y20" s="126"/>
      <c r="Z20" s="126"/>
    </row>
    <row r="21" spans="1:34" ht="24" customHeight="1">
      <c r="A21" s="758"/>
      <c r="B21" s="758"/>
      <c r="C21" s="758" t="s">
        <v>11</v>
      </c>
      <c r="D21" s="1076" t="s">
        <v>3053</v>
      </c>
      <c r="E21" s="1076"/>
      <c r="F21" s="1076"/>
      <c r="G21" s="759"/>
      <c r="H21" s="759"/>
      <c r="I21" s="1097" t="s">
        <v>3715</v>
      </c>
      <c r="J21" s="1097"/>
      <c r="K21" s="1098" t="s">
        <v>3716</v>
      </c>
      <c r="L21" s="1098"/>
      <c r="M21" s="1076" t="s">
        <v>3717</v>
      </c>
      <c r="N21" s="1076"/>
      <c r="O21" s="1076"/>
      <c r="P21" s="1076"/>
      <c r="Q21" s="1077" t="s">
        <v>3718</v>
      </c>
      <c r="R21" s="1077"/>
      <c r="S21" s="1077"/>
      <c r="T21" s="1077"/>
      <c r="U21" s="1076" t="s">
        <v>3719</v>
      </c>
      <c r="V21" s="1076"/>
      <c r="W21" s="1077" t="s">
        <v>2745</v>
      </c>
      <c r="X21" s="1078"/>
      <c r="Y21" s="820"/>
      <c r="Z21" s="137"/>
      <c r="AA21" s="174"/>
    </row>
    <row r="22" spans="1:34" ht="38.25" customHeight="1" thickBot="1">
      <c r="A22" s="375" t="s">
        <v>0</v>
      </c>
      <c r="B22" s="376" t="s">
        <v>1520</v>
      </c>
      <c r="C22" s="375"/>
      <c r="D22" s="108" t="s">
        <v>1531</v>
      </c>
      <c r="E22" s="108" t="s">
        <v>3737</v>
      </c>
      <c r="F22" s="108" t="s">
        <v>3190</v>
      </c>
      <c r="G22" s="108" t="s">
        <v>3191</v>
      </c>
      <c r="H22" s="108" t="s">
        <v>3720</v>
      </c>
      <c r="I22" s="834" t="s">
        <v>3721</v>
      </c>
      <c r="J22" s="834" t="s">
        <v>3722</v>
      </c>
      <c r="K22" s="835" t="s">
        <v>3721</v>
      </c>
      <c r="L22" s="835" t="s">
        <v>3723</v>
      </c>
      <c r="M22" s="836" t="s">
        <v>3724</v>
      </c>
      <c r="N22" s="108" t="s">
        <v>3725</v>
      </c>
      <c r="O22" s="108" t="s">
        <v>3726</v>
      </c>
      <c r="P22" s="108" t="s">
        <v>3727</v>
      </c>
      <c r="Q22" s="837" t="s">
        <v>3724</v>
      </c>
      <c r="R22" s="835" t="s">
        <v>3725</v>
      </c>
      <c r="S22" s="108" t="s">
        <v>3728</v>
      </c>
      <c r="T22" s="108" t="s">
        <v>3729</v>
      </c>
      <c r="U22" s="108" t="s">
        <v>1531</v>
      </c>
      <c r="V22" s="108" t="s">
        <v>3730</v>
      </c>
      <c r="W22" s="377" t="s">
        <v>1491</v>
      </c>
      <c r="X22" s="377" t="s">
        <v>1490</v>
      </c>
      <c r="Y22" s="108" t="s">
        <v>3730</v>
      </c>
      <c r="Z22" s="209"/>
      <c r="AA22"/>
      <c r="AB22" s="128" t="s">
        <v>2747</v>
      </c>
      <c r="AC22" s="122" t="s">
        <v>2748</v>
      </c>
      <c r="AD22" s="122" t="s">
        <v>2750</v>
      </c>
    </row>
    <row r="23" spans="1:34" s="98" customFormat="1">
      <c r="A23" s="176" t="s">
        <v>1203</v>
      </c>
      <c r="B23" s="101" t="s">
        <v>1444</v>
      </c>
      <c r="C23" s="74"/>
      <c r="D23" s="75"/>
      <c r="E23" s="75"/>
      <c r="F23" s="75">
        <f t="shared" ref="F23:H24" si="2">F24</f>
        <v>8894610.4616845716</v>
      </c>
      <c r="G23" s="75">
        <f t="shared" si="2"/>
        <v>30726431.839889351</v>
      </c>
      <c r="H23" s="75">
        <f t="shared" si="2"/>
        <v>30726431.839889351</v>
      </c>
      <c r="I23" s="75">
        <v>0</v>
      </c>
      <c r="J23" s="75">
        <v>26076968.647191375</v>
      </c>
      <c r="K23" s="75">
        <v>0</v>
      </c>
      <c r="L23" s="75">
        <v>0</v>
      </c>
      <c r="M23" s="75"/>
      <c r="N23" s="75">
        <v>0</v>
      </c>
      <c r="O23" s="75"/>
      <c r="P23" s="75"/>
      <c r="Q23" s="75">
        <f t="shared" ref="Q23:T24" si="3">Q24</f>
        <v>2518.4398567709577</v>
      </c>
      <c r="R23" s="75">
        <v>2.8086230158805847E-3</v>
      </c>
      <c r="S23" s="75">
        <f t="shared" si="3"/>
        <v>0</v>
      </c>
      <c r="T23" s="75">
        <f t="shared" si="3"/>
        <v>2518.44</v>
      </c>
      <c r="U23" s="75"/>
      <c r="V23" s="75">
        <f>V24</f>
        <v>8892092.0216845721</v>
      </c>
      <c r="W23" s="110">
        <v>0</v>
      </c>
      <c r="X23" s="73"/>
      <c r="Y23" s="75">
        <f>Y24</f>
        <v>0</v>
      </c>
      <c r="Z23" s="191"/>
      <c r="AA23" s="177"/>
      <c r="AB23" s="128"/>
      <c r="AC23" s="128"/>
      <c r="AD23" s="122"/>
    </row>
    <row r="24" spans="1:34" s="120" customFormat="1" outlineLevel="1">
      <c r="A24" s="178" t="s">
        <v>1204</v>
      </c>
      <c r="B24" s="102" t="s">
        <v>1400</v>
      </c>
      <c r="C24" s="85"/>
      <c r="D24" s="64"/>
      <c r="E24" s="64"/>
      <c r="F24" s="64">
        <f t="shared" si="2"/>
        <v>8894610.4616845716</v>
      </c>
      <c r="G24" s="64">
        <f t="shared" si="2"/>
        <v>30726431.839889351</v>
      </c>
      <c r="H24" s="64">
        <f t="shared" si="2"/>
        <v>30726431.839889351</v>
      </c>
      <c r="I24" s="64">
        <v>0</v>
      </c>
      <c r="J24" s="64">
        <v>26076968.647191375</v>
      </c>
      <c r="K24" s="64">
        <v>0</v>
      </c>
      <c r="L24" s="64">
        <v>0</v>
      </c>
      <c r="M24" s="64"/>
      <c r="N24" s="64">
        <v>0</v>
      </c>
      <c r="O24" s="64"/>
      <c r="P24" s="64"/>
      <c r="Q24" s="64">
        <f t="shared" si="3"/>
        <v>2518.4398567709577</v>
      </c>
      <c r="R24" s="64">
        <v>2.8086230158805847E-3</v>
      </c>
      <c r="S24" s="213">
        <f t="shared" si="3"/>
        <v>0</v>
      </c>
      <c r="T24" s="64">
        <f t="shared" si="3"/>
        <v>2518.44</v>
      </c>
      <c r="U24" s="64"/>
      <c r="V24" s="64">
        <f>V25</f>
        <v>8892092.0216845721</v>
      </c>
      <c r="W24" s="111">
        <v>0</v>
      </c>
      <c r="X24" s="86"/>
      <c r="Y24" s="64">
        <f>Y25</f>
        <v>0</v>
      </c>
      <c r="Z24" s="193"/>
      <c r="AA24" s="177"/>
      <c r="AB24" s="128"/>
      <c r="AC24" s="128"/>
      <c r="AD24" s="122"/>
      <c r="AE24" s="98"/>
    </row>
    <row r="25" spans="1:34" s="98" customFormat="1" outlineLevel="1">
      <c r="A25" s="179" t="s">
        <v>3734</v>
      </c>
      <c r="B25" s="106" t="s">
        <v>3735</v>
      </c>
      <c r="C25" s="87"/>
      <c r="D25" s="89"/>
      <c r="E25" s="89"/>
      <c r="F25" s="89">
        <f>SUM(F26:F26)</f>
        <v>8894610.4616845716</v>
      </c>
      <c r="G25" s="89">
        <f>SUM(G26:G26)</f>
        <v>30726431.839889351</v>
      </c>
      <c r="H25" s="89">
        <f>SUM(H26:H26)</f>
        <v>30726431.839889351</v>
      </c>
      <c r="I25" s="89">
        <v>0</v>
      </c>
      <c r="J25" s="89">
        <v>26076968.647191375</v>
      </c>
      <c r="K25" s="89">
        <v>0</v>
      </c>
      <c r="L25" s="89">
        <v>0</v>
      </c>
      <c r="M25" s="89"/>
      <c r="N25" s="89">
        <v>0</v>
      </c>
      <c r="O25" s="89"/>
      <c r="P25" s="89"/>
      <c r="Q25" s="89">
        <f>SUM(Q26:Q26)</f>
        <v>2518.4398567709577</v>
      </c>
      <c r="R25" s="89">
        <v>2.8086230158805847E-3</v>
      </c>
      <c r="S25" s="213">
        <f>SUM(S26:S26)</f>
        <v>0</v>
      </c>
      <c r="T25" s="89">
        <f>SUM(T26:T26)</f>
        <v>2518.44</v>
      </c>
      <c r="U25" s="89"/>
      <c r="V25" s="89">
        <f>SUM(V26:V26)</f>
        <v>8892092.0216845721</v>
      </c>
      <c r="W25" s="113">
        <v>0</v>
      </c>
      <c r="X25" s="90"/>
      <c r="Y25" s="89">
        <f>SUM(Y26:Y26)</f>
        <v>0</v>
      </c>
      <c r="Z25" s="190"/>
      <c r="AA25" s="139"/>
      <c r="AB25" s="128"/>
      <c r="AC25" s="128"/>
      <c r="AD25" s="122"/>
      <c r="AF25" s="98" t="s">
        <v>3738</v>
      </c>
      <c r="AG25" s="50" t="s">
        <v>3731</v>
      </c>
      <c r="AH25" s="50" t="s">
        <v>3732</v>
      </c>
    </row>
    <row r="26" spans="1:34" s="98" customFormat="1" outlineLevel="1">
      <c r="A26" s="175" t="s">
        <v>3736</v>
      </c>
      <c r="B26" s="766" t="s">
        <v>1576</v>
      </c>
      <c r="C26" s="754" t="s">
        <v>1469</v>
      </c>
      <c r="D26" s="850">
        <v>6016.8</v>
      </c>
      <c r="E26" s="20">
        <f>AH26</f>
        <v>1478.2958485714287</v>
      </c>
      <c r="F26" s="19">
        <f>D26*E26</f>
        <v>8894610.4616845716</v>
      </c>
      <c r="G26" s="19">
        <f>F26*(1+X26)</f>
        <v>30726431.839889351</v>
      </c>
      <c r="H26" s="19">
        <f>G26</f>
        <v>30726431.839889351</v>
      </c>
      <c r="I26" s="20">
        <v>0</v>
      </c>
      <c r="J26" s="19">
        <v>2518.4398567709577</v>
      </c>
      <c r="K26" s="19">
        <v>0</v>
      </c>
      <c r="L26" s="19">
        <v>0</v>
      </c>
      <c r="M26" s="19">
        <f>K26+I26</f>
        <v>0</v>
      </c>
      <c r="N26" s="19">
        <v>0</v>
      </c>
      <c r="O26" s="83">
        <f>VLOOKUP(A26,'[1]Planilha Serviços Medição Pi'!C:H,4,0)</f>
        <v>0</v>
      </c>
      <c r="P26" s="19">
        <f>M26+N26+O26</f>
        <v>0</v>
      </c>
      <c r="Q26" s="19">
        <f>J26+L26</f>
        <v>2518.4398567709577</v>
      </c>
      <c r="R26" s="19">
        <v>1.4322904235086753E-4</v>
      </c>
      <c r="S26" s="72">
        <f>ROUND(O26*E26,2)</f>
        <v>0</v>
      </c>
      <c r="T26" s="19">
        <f>ROUND(Q26+R26+S26,2)</f>
        <v>2518.44</v>
      </c>
      <c r="U26" s="19">
        <f>D26-P26</f>
        <v>6016.8</v>
      </c>
      <c r="V26" s="19">
        <f>F26-T26</f>
        <v>8892092.0216845721</v>
      </c>
      <c r="W26" s="114" t="s">
        <v>1523</v>
      </c>
      <c r="X26" s="210">
        <f>VLOOKUP(W26,'Reajuste Atual'!$L$19:$M$25,2,FALSE)</f>
        <v>2.4544999999999999</v>
      </c>
      <c r="Y26" s="844">
        <f>ROUND(S26*(1+X26),2)</f>
        <v>0</v>
      </c>
      <c r="Z26" s="190"/>
      <c r="AA26" s="177"/>
      <c r="AB26" s="128">
        <f>ROUND(S26,2)</f>
        <v>0</v>
      </c>
      <c r="AC26" s="128">
        <f t="shared" ref="AC26" si="4">ROUND(V26,2)</f>
        <v>8892092.0199999996</v>
      </c>
      <c r="AD26" s="122">
        <f t="shared" ref="AD26" si="5">AC26*(1+X26)</f>
        <v>30717731.883089997</v>
      </c>
      <c r="AF26" s="98">
        <v>1660.74</v>
      </c>
      <c r="AG26" s="382">
        <f>AF26/1.4</f>
        <v>1186.2428571428572</v>
      </c>
      <c r="AH26" s="382">
        <f>AG26*1.2462</f>
        <v>1478.2958485714287</v>
      </c>
    </row>
  </sheetData>
  <autoFilter ref="A22:Y26"/>
  <mergeCells count="14">
    <mergeCell ref="X15:Y19"/>
    <mergeCell ref="D21:F21"/>
    <mergeCell ref="I21:J21"/>
    <mergeCell ref="K21:L21"/>
    <mergeCell ref="M21:P21"/>
    <mergeCell ref="Q21:T21"/>
    <mergeCell ref="U21:V21"/>
    <mergeCell ref="W21:X21"/>
    <mergeCell ref="X12:Y14"/>
    <mergeCell ref="A4:X4"/>
    <mergeCell ref="A5:X5"/>
    <mergeCell ref="A6:X6"/>
    <mergeCell ref="A8:X8"/>
    <mergeCell ref="X9:Y11"/>
  </mergeCells>
  <printOptions horizontalCentered="1"/>
  <pageMargins left="0.39370078740157483" right="0.39370078740157483" top="0.39370078740157483" bottom="0.39370078740157483" header="0" footer="0"/>
  <pageSetup paperSize="9" scale="46"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8"/>
  <sheetViews>
    <sheetView workbookViewId="0">
      <selection activeCell="E10" sqref="E10"/>
    </sheetView>
  </sheetViews>
  <sheetFormatPr defaultRowHeight="15"/>
  <cols>
    <col min="1" max="1" width="44.5703125" customWidth="1"/>
    <col min="2" max="2" width="6.7109375" style="77" bestFit="1" customWidth="1"/>
    <col min="3" max="3" width="6.85546875" style="77" customWidth="1"/>
    <col min="4" max="4" width="15.85546875" style="77" bestFit="1" customWidth="1"/>
    <col min="5" max="5" width="13.5703125" bestFit="1" customWidth="1"/>
    <col min="6" max="6" width="20.140625" customWidth="1"/>
    <col min="7" max="7" width="11.5703125" style="229" bestFit="1" customWidth="1"/>
    <col min="8" max="8" width="18.140625" style="230" customWidth="1"/>
    <col min="9" max="9" width="10.28515625" style="201" customWidth="1"/>
    <col min="10" max="10" width="17.28515625" style="201" customWidth="1"/>
    <col min="11" max="11" width="10.7109375" customWidth="1"/>
    <col min="12" max="12" width="14.7109375" customWidth="1"/>
    <col min="13" max="13" width="36" customWidth="1"/>
  </cols>
  <sheetData>
    <row r="2" spans="1:24" ht="20.100000000000001" customHeight="1">
      <c r="A2" s="1103" t="s">
        <v>3067</v>
      </c>
      <c r="B2" s="1103" t="s">
        <v>11</v>
      </c>
      <c r="C2" s="1105" t="s">
        <v>3068</v>
      </c>
      <c r="D2" s="1106"/>
      <c r="E2" s="1107" t="s">
        <v>3069</v>
      </c>
      <c r="F2" s="1107" t="s">
        <v>3070</v>
      </c>
      <c r="G2" s="1107" t="s">
        <v>3071</v>
      </c>
      <c r="H2" s="1099" t="s">
        <v>3072</v>
      </c>
      <c r="I2" s="1100"/>
      <c r="J2" s="1101" t="s">
        <v>3223</v>
      </c>
    </row>
    <row r="3" spans="1:24" ht="20.100000000000001" customHeight="1">
      <c r="A3" s="1104"/>
      <c r="B3" s="1104"/>
      <c r="C3" s="854"/>
      <c r="D3" s="855"/>
      <c r="E3" s="1108"/>
      <c r="F3" s="1108"/>
      <c r="G3" s="1108"/>
      <c r="H3" s="856" t="s">
        <v>1539</v>
      </c>
      <c r="I3" s="856" t="s">
        <v>3073</v>
      </c>
      <c r="J3" s="1102"/>
    </row>
    <row r="4" spans="1:24">
      <c r="A4" s="857"/>
      <c r="B4" s="858"/>
      <c r="C4" s="900" t="s">
        <v>3826</v>
      </c>
      <c r="D4" s="898">
        <v>1783.8</v>
      </c>
      <c r="E4" s="899" t="s">
        <v>3825</v>
      </c>
      <c r="F4" s="857"/>
      <c r="G4" s="859"/>
      <c r="H4" s="860"/>
      <c r="I4" s="861"/>
      <c r="J4" s="861"/>
    </row>
    <row r="5" spans="1:24">
      <c r="A5" s="862" t="s">
        <v>3361</v>
      </c>
      <c r="B5" s="863"/>
      <c r="C5" s="864">
        <v>26</v>
      </c>
      <c r="D5" s="865" t="s">
        <v>3113</v>
      </c>
      <c r="E5" s="866"/>
      <c r="F5" s="867"/>
      <c r="G5" s="868"/>
      <c r="H5" s="869"/>
      <c r="I5" s="867"/>
      <c r="J5" s="870">
        <f>SUM(J6:J8)</f>
        <v>7573492.4804561175</v>
      </c>
      <c r="L5" s="227"/>
      <c r="M5" s="227"/>
      <c r="N5" s="227"/>
      <c r="O5" s="227"/>
      <c r="P5" s="227"/>
      <c r="Q5" s="227"/>
      <c r="R5" s="227"/>
      <c r="S5" s="227"/>
      <c r="T5" s="227"/>
      <c r="U5" s="251"/>
      <c r="V5" s="227"/>
      <c r="W5" s="227"/>
      <c r="X5" s="227"/>
    </row>
    <row r="6" spans="1:24">
      <c r="A6" s="668" t="s">
        <v>3060</v>
      </c>
      <c r="B6" s="863" t="s">
        <v>2755</v>
      </c>
      <c r="C6" s="871"/>
      <c r="D6" s="872">
        <f>248593.30967165/8</f>
        <v>31074.16370895625</v>
      </c>
      <c r="E6" s="873" t="s">
        <v>3115</v>
      </c>
      <c r="F6" s="667" t="s">
        <v>3320</v>
      </c>
      <c r="G6" s="874">
        <v>2023</v>
      </c>
      <c r="H6" s="869"/>
      <c r="I6" s="867"/>
      <c r="J6" s="875">
        <f>(D6*C5)</f>
        <v>807928.25643286249</v>
      </c>
      <c r="L6" s="876">
        <v>31074.163708956294</v>
      </c>
      <c r="M6" t="s">
        <v>3321</v>
      </c>
      <c r="N6" s="252"/>
      <c r="O6" s="252"/>
      <c r="R6" s="254"/>
      <c r="S6" s="252"/>
      <c r="T6" s="252"/>
      <c r="U6" s="252"/>
    </row>
    <row r="7" spans="1:24">
      <c r="A7" s="668" t="s">
        <v>3114</v>
      </c>
      <c r="B7" s="863" t="s">
        <v>2755</v>
      </c>
      <c r="C7" s="877"/>
      <c r="D7" s="872">
        <f>6368356.5/86</f>
        <v>74050.656976744183</v>
      </c>
      <c r="E7" s="873" t="s">
        <v>3115</v>
      </c>
      <c r="F7" s="667" t="s">
        <v>3116</v>
      </c>
      <c r="G7" s="874">
        <v>2013</v>
      </c>
      <c r="H7" s="878" t="s">
        <v>3117</v>
      </c>
      <c r="I7" s="875">
        <v>3.08</v>
      </c>
      <c r="J7" s="879">
        <f>C5*D7*I7</f>
        <v>5929976.6106976746</v>
      </c>
      <c r="L7" s="880">
        <f>6368356.5/86</f>
        <v>74050.656976744183</v>
      </c>
      <c r="M7" s="252" t="s">
        <v>3317</v>
      </c>
      <c r="N7" s="252"/>
      <c r="O7" s="252"/>
      <c r="R7" s="254"/>
      <c r="S7" s="252"/>
      <c r="T7" s="252"/>
      <c r="U7" s="252"/>
    </row>
    <row r="8" spans="1:24">
      <c r="A8" s="881" t="s">
        <v>3322</v>
      </c>
      <c r="B8" s="882" t="s">
        <v>2755</v>
      </c>
      <c r="C8" s="883">
        <v>0.2</v>
      </c>
      <c r="D8" s="884">
        <f>D7*C8</f>
        <v>14810.131395348837</v>
      </c>
      <c r="E8" s="885" t="s">
        <v>3115</v>
      </c>
      <c r="F8" s="886" t="s">
        <v>3116</v>
      </c>
      <c r="G8" s="887">
        <v>2013</v>
      </c>
      <c r="H8" s="888" t="s">
        <v>3075</v>
      </c>
      <c r="I8" s="889">
        <v>2.17</v>
      </c>
      <c r="J8" s="890">
        <f>C5*D8*I8</f>
        <v>835587.61332558142</v>
      </c>
      <c r="M8" s="252"/>
      <c r="N8" s="252"/>
      <c r="O8" s="252"/>
      <c r="R8" s="254"/>
      <c r="S8" s="252"/>
      <c r="T8" s="252"/>
      <c r="U8" s="252"/>
    </row>
  </sheetData>
  <mergeCells count="8">
    <mergeCell ref="H2:I2"/>
    <mergeCell ref="J2:J3"/>
    <mergeCell ref="A2:A3"/>
    <mergeCell ref="B2:B3"/>
    <mergeCell ref="C2:D2"/>
    <mergeCell ref="E2:E3"/>
    <mergeCell ref="F2:F3"/>
    <mergeCell ref="G2:G3"/>
  </mergeCells>
  <pageMargins left="0.511811024" right="0.511811024" top="0.78740157499999996" bottom="0.78740157499999996" header="0.31496062000000002" footer="0.31496062000000002"/>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6"/>
  <sheetViews>
    <sheetView showGridLines="0" zoomScaleNormal="100" zoomScaleSheetLayoutView="100" workbookViewId="0">
      <selection activeCell="J12" sqref="J12"/>
    </sheetView>
  </sheetViews>
  <sheetFormatPr defaultRowHeight="15"/>
  <cols>
    <col min="1" max="1" width="7.85546875" style="718" customWidth="1"/>
    <col min="2" max="2" width="49.140625" style="718" customWidth="1"/>
    <col min="3" max="3" width="10.7109375" style="718" customWidth="1"/>
    <col min="4" max="4" width="13.5703125" style="718" customWidth="1"/>
    <col min="5" max="5" width="13.42578125" style="718" customWidth="1"/>
    <col min="6" max="6" width="11.85546875" style="718" customWidth="1"/>
    <col min="7" max="7" width="14.28515625" style="718" customWidth="1"/>
    <col min="8" max="8" width="9.140625" style="439"/>
    <col min="9" max="9" width="20.42578125" style="439" customWidth="1"/>
    <col min="10" max="10" width="15.28515625" style="439" customWidth="1"/>
    <col min="11" max="11" width="6.7109375" style="439" customWidth="1"/>
    <col min="12" max="12" width="13.5703125" style="439" customWidth="1"/>
    <col min="13" max="256" width="9.140625" style="439"/>
    <col min="257" max="257" width="7.85546875" style="439" customWidth="1"/>
    <col min="258" max="258" width="56.7109375" style="439" customWidth="1"/>
    <col min="259" max="259" width="10.7109375" style="439" customWidth="1"/>
    <col min="260" max="260" width="13.5703125" style="439" customWidth="1"/>
    <col min="261" max="262" width="11.85546875" style="439" customWidth="1"/>
    <col min="263" max="263" width="13.140625" style="439" customWidth="1"/>
    <col min="264" max="264" width="9.140625" style="439"/>
    <col min="265" max="265" width="12.7109375" style="439" bestFit="1" customWidth="1"/>
    <col min="266" max="512" width="9.140625" style="439"/>
    <col min="513" max="513" width="7.85546875" style="439" customWidth="1"/>
    <col min="514" max="514" width="56.7109375" style="439" customWidth="1"/>
    <col min="515" max="515" width="10.7109375" style="439" customWidth="1"/>
    <col min="516" max="516" width="13.5703125" style="439" customWidth="1"/>
    <col min="517" max="518" width="11.85546875" style="439" customWidth="1"/>
    <col min="519" max="519" width="13.140625" style="439" customWidth="1"/>
    <col min="520" max="520" width="9.140625" style="439"/>
    <col min="521" max="521" width="12.7109375" style="439" bestFit="1" customWidth="1"/>
    <col min="522" max="768" width="9.140625" style="439"/>
    <col min="769" max="769" width="7.85546875" style="439" customWidth="1"/>
    <col min="770" max="770" width="56.7109375" style="439" customWidth="1"/>
    <col min="771" max="771" width="10.7109375" style="439" customWidth="1"/>
    <col min="772" max="772" width="13.5703125" style="439" customWidth="1"/>
    <col min="773" max="774" width="11.85546875" style="439" customWidth="1"/>
    <col min="775" max="775" width="13.140625" style="439" customWidth="1"/>
    <col min="776" max="776" width="9.140625" style="439"/>
    <col min="777" max="777" width="12.7109375" style="439" bestFit="1" customWidth="1"/>
    <col min="778" max="1024" width="9.140625" style="439"/>
    <col min="1025" max="1025" width="7.85546875" style="439" customWidth="1"/>
    <col min="1026" max="1026" width="56.7109375" style="439" customWidth="1"/>
    <col min="1027" max="1027" width="10.7109375" style="439" customWidth="1"/>
    <col min="1028" max="1028" width="13.5703125" style="439" customWidth="1"/>
    <col min="1029" max="1030" width="11.85546875" style="439" customWidth="1"/>
    <col min="1031" max="1031" width="13.140625" style="439" customWidth="1"/>
    <col min="1032" max="1032" width="9.140625" style="439"/>
    <col min="1033" max="1033" width="12.7109375" style="439" bestFit="1" customWidth="1"/>
    <col min="1034" max="1280" width="9.140625" style="439"/>
    <col min="1281" max="1281" width="7.85546875" style="439" customWidth="1"/>
    <col min="1282" max="1282" width="56.7109375" style="439" customWidth="1"/>
    <col min="1283" max="1283" width="10.7109375" style="439" customWidth="1"/>
    <col min="1284" max="1284" width="13.5703125" style="439" customWidth="1"/>
    <col min="1285" max="1286" width="11.85546875" style="439" customWidth="1"/>
    <col min="1287" max="1287" width="13.140625" style="439" customWidth="1"/>
    <col min="1288" max="1288" width="9.140625" style="439"/>
    <col min="1289" max="1289" width="12.7109375" style="439" bestFit="1" customWidth="1"/>
    <col min="1290" max="1536" width="9.140625" style="439"/>
    <col min="1537" max="1537" width="7.85546875" style="439" customWidth="1"/>
    <col min="1538" max="1538" width="56.7109375" style="439" customWidth="1"/>
    <col min="1539" max="1539" width="10.7109375" style="439" customWidth="1"/>
    <col min="1540" max="1540" width="13.5703125" style="439" customWidth="1"/>
    <col min="1541" max="1542" width="11.85546875" style="439" customWidth="1"/>
    <col min="1543" max="1543" width="13.140625" style="439" customWidth="1"/>
    <col min="1544" max="1544" width="9.140625" style="439"/>
    <col min="1545" max="1545" width="12.7109375" style="439" bestFit="1" customWidth="1"/>
    <col min="1546" max="1792" width="9.140625" style="439"/>
    <col min="1793" max="1793" width="7.85546875" style="439" customWidth="1"/>
    <col min="1794" max="1794" width="56.7109375" style="439" customWidth="1"/>
    <col min="1795" max="1795" width="10.7109375" style="439" customWidth="1"/>
    <col min="1796" max="1796" width="13.5703125" style="439" customWidth="1"/>
    <col min="1797" max="1798" width="11.85546875" style="439" customWidth="1"/>
    <col min="1799" max="1799" width="13.140625" style="439" customWidth="1"/>
    <col min="1800" max="1800" width="9.140625" style="439"/>
    <col min="1801" max="1801" width="12.7109375" style="439" bestFit="1" customWidth="1"/>
    <col min="1802" max="2048" width="9.140625" style="439"/>
    <col min="2049" max="2049" width="7.85546875" style="439" customWidth="1"/>
    <col min="2050" max="2050" width="56.7109375" style="439" customWidth="1"/>
    <col min="2051" max="2051" width="10.7109375" style="439" customWidth="1"/>
    <col min="2052" max="2052" width="13.5703125" style="439" customWidth="1"/>
    <col min="2053" max="2054" width="11.85546875" style="439" customWidth="1"/>
    <col min="2055" max="2055" width="13.140625" style="439" customWidth="1"/>
    <col min="2056" max="2056" width="9.140625" style="439"/>
    <col min="2057" max="2057" width="12.7109375" style="439" bestFit="1" customWidth="1"/>
    <col min="2058" max="2304" width="9.140625" style="439"/>
    <col min="2305" max="2305" width="7.85546875" style="439" customWidth="1"/>
    <col min="2306" max="2306" width="56.7109375" style="439" customWidth="1"/>
    <col min="2307" max="2307" width="10.7109375" style="439" customWidth="1"/>
    <col min="2308" max="2308" width="13.5703125" style="439" customWidth="1"/>
    <col min="2309" max="2310" width="11.85546875" style="439" customWidth="1"/>
    <col min="2311" max="2311" width="13.140625" style="439" customWidth="1"/>
    <col min="2312" max="2312" width="9.140625" style="439"/>
    <col min="2313" max="2313" width="12.7109375" style="439" bestFit="1" customWidth="1"/>
    <col min="2314" max="2560" width="9.140625" style="439"/>
    <col min="2561" max="2561" width="7.85546875" style="439" customWidth="1"/>
    <col min="2562" max="2562" width="56.7109375" style="439" customWidth="1"/>
    <col min="2563" max="2563" width="10.7109375" style="439" customWidth="1"/>
    <col min="2564" max="2564" width="13.5703125" style="439" customWidth="1"/>
    <col min="2565" max="2566" width="11.85546875" style="439" customWidth="1"/>
    <col min="2567" max="2567" width="13.140625" style="439" customWidth="1"/>
    <col min="2568" max="2568" width="9.140625" style="439"/>
    <col min="2569" max="2569" width="12.7109375" style="439" bestFit="1" customWidth="1"/>
    <col min="2570" max="2816" width="9.140625" style="439"/>
    <col min="2817" max="2817" width="7.85546875" style="439" customWidth="1"/>
    <col min="2818" max="2818" width="56.7109375" style="439" customWidth="1"/>
    <col min="2819" max="2819" width="10.7109375" style="439" customWidth="1"/>
    <col min="2820" max="2820" width="13.5703125" style="439" customWidth="1"/>
    <col min="2821" max="2822" width="11.85546875" style="439" customWidth="1"/>
    <col min="2823" max="2823" width="13.140625" style="439" customWidth="1"/>
    <col min="2824" max="2824" width="9.140625" style="439"/>
    <col min="2825" max="2825" width="12.7109375" style="439" bestFit="1" customWidth="1"/>
    <col min="2826" max="3072" width="9.140625" style="439"/>
    <col min="3073" max="3073" width="7.85546875" style="439" customWidth="1"/>
    <col min="3074" max="3074" width="56.7109375" style="439" customWidth="1"/>
    <col min="3075" max="3075" width="10.7109375" style="439" customWidth="1"/>
    <col min="3076" max="3076" width="13.5703125" style="439" customWidth="1"/>
    <col min="3077" max="3078" width="11.85546875" style="439" customWidth="1"/>
    <col min="3079" max="3079" width="13.140625" style="439" customWidth="1"/>
    <col min="3080" max="3080" width="9.140625" style="439"/>
    <col min="3081" max="3081" width="12.7109375" style="439" bestFit="1" customWidth="1"/>
    <col min="3082" max="3328" width="9.140625" style="439"/>
    <col min="3329" max="3329" width="7.85546875" style="439" customWidth="1"/>
    <col min="3330" max="3330" width="56.7109375" style="439" customWidth="1"/>
    <col min="3331" max="3331" width="10.7109375" style="439" customWidth="1"/>
    <col min="3332" max="3332" width="13.5703125" style="439" customWidth="1"/>
    <col min="3333" max="3334" width="11.85546875" style="439" customWidth="1"/>
    <col min="3335" max="3335" width="13.140625" style="439" customWidth="1"/>
    <col min="3336" max="3336" width="9.140625" style="439"/>
    <col min="3337" max="3337" width="12.7109375" style="439" bestFit="1" customWidth="1"/>
    <col min="3338" max="3584" width="9.140625" style="439"/>
    <col min="3585" max="3585" width="7.85546875" style="439" customWidth="1"/>
    <col min="3586" max="3586" width="56.7109375" style="439" customWidth="1"/>
    <col min="3587" max="3587" width="10.7109375" style="439" customWidth="1"/>
    <col min="3588" max="3588" width="13.5703125" style="439" customWidth="1"/>
    <col min="3589" max="3590" width="11.85546875" style="439" customWidth="1"/>
    <col min="3591" max="3591" width="13.140625" style="439" customWidth="1"/>
    <col min="3592" max="3592" width="9.140625" style="439"/>
    <col min="3593" max="3593" width="12.7109375" style="439" bestFit="1" customWidth="1"/>
    <col min="3594" max="3840" width="9.140625" style="439"/>
    <col min="3841" max="3841" width="7.85546875" style="439" customWidth="1"/>
    <col min="3842" max="3842" width="56.7109375" style="439" customWidth="1"/>
    <col min="3843" max="3843" width="10.7109375" style="439" customWidth="1"/>
    <col min="3844" max="3844" width="13.5703125" style="439" customWidth="1"/>
    <col min="3845" max="3846" width="11.85546875" style="439" customWidth="1"/>
    <col min="3847" max="3847" width="13.140625" style="439" customWidth="1"/>
    <col min="3848" max="3848" width="9.140625" style="439"/>
    <col min="3849" max="3849" width="12.7109375" style="439" bestFit="1" customWidth="1"/>
    <col min="3850" max="4096" width="9.140625" style="439"/>
    <col min="4097" max="4097" width="7.85546875" style="439" customWidth="1"/>
    <col min="4098" max="4098" width="56.7109375" style="439" customWidth="1"/>
    <col min="4099" max="4099" width="10.7109375" style="439" customWidth="1"/>
    <col min="4100" max="4100" width="13.5703125" style="439" customWidth="1"/>
    <col min="4101" max="4102" width="11.85546875" style="439" customWidth="1"/>
    <col min="4103" max="4103" width="13.140625" style="439" customWidth="1"/>
    <col min="4104" max="4104" width="9.140625" style="439"/>
    <col min="4105" max="4105" width="12.7109375" style="439" bestFit="1" customWidth="1"/>
    <col min="4106" max="4352" width="9.140625" style="439"/>
    <col min="4353" max="4353" width="7.85546875" style="439" customWidth="1"/>
    <col min="4354" max="4354" width="56.7109375" style="439" customWidth="1"/>
    <col min="4355" max="4355" width="10.7109375" style="439" customWidth="1"/>
    <col min="4356" max="4356" width="13.5703125" style="439" customWidth="1"/>
    <col min="4357" max="4358" width="11.85546875" style="439" customWidth="1"/>
    <col min="4359" max="4359" width="13.140625" style="439" customWidth="1"/>
    <col min="4360" max="4360" width="9.140625" style="439"/>
    <col min="4361" max="4361" width="12.7109375" style="439" bestFit="1" customWidth="1"/>
    <col min="4362" max="4608" width="9.140625" style="439"/>
    <col min="4609" max="4609" width="7.85546875" style="439" customWidth="1"/>
    <col min="4610" max="4610" width="56.7109375" style="439" customWidth="1"/>
    <col min="4611" max="4611" width="10.7109375" style="439" customWidth="1"/>
    <col min="4612" max="4612" width="13.5703125" style="439" customWidth="1"/>
    <col min="4613" max="4614" width="11.85546875" style="439" customWidth="1"/>
    <col min="4615" max="4615" width="13.140625" style="439" customWidth="1"/>
    <col min="4616" max="4616" width="9.140625" style="439"/>
    <col min="4617" max="4617" width="12.7109375" style="439" bestFit="1" customWidth="1"/>
    <col min="4618" max="4864" width="9.140625" style="439"/>
    <col min="4865" max="4865" width="7.85546875" style="439" customWidth="1"/>
    <col min="4866" max="4866" width="56.7109375" style="439" customWidth="1"/>
    <col min="4867" max="4867" width="10.7109375" style="439" customWidth="1"/>
    <col min="4868" max="4868" width="13.5703125" style="439" customWidth="1"/>
    <col min="4869" max="4870" width="11.85546875" style="439" customWidth="1"/>
    <col min="4871" max="4871" width="13.140625" style="439" customWidth="1"/>
    <col min="4872" max="4872" width="9.140625" style="439"/>
    <col min="4873" max="4873" width="12.7109375" style="439" bestFit="1" customWidth="1"/>
    <col min="4874" max="5120" width="9.140625" style="439"/>
    <col min="5121" max="5121" width="7.85546875" style="439" customWidth="1"/>
    <col min="5122" max="5122" width="56.7109375" style="439" customWidth="1"/>
    <col min="5123" max="5123" width="10.7109375" style="439" customWidth="1"/>
    <col min="5124" max="5124" width="13.5703125" style="439" customWidth="1"/>
    <col min="5125" max="5126" width="11.85546875" style="439" customWidth="1"/>
    <col min="5127" max="5127" width="13.140625" style="439" customWidth="1"/>
    <col min="5128" max="5128" width="9.140625" style="439"/>
    <col min="5129" max="5129" width="12.7109375" style="439" bestFit="1" customWidth="1"/>
    <col min="5130" max="5376" width="9.140625" style="439"/>
    <col min="5377" max="5377" width="7.85546875" style="439" customWidth="1"/>
    <col min="5378" max="5378" width="56.7109375" style="439" customWidth="1"/>
    <col min="5379" max="5379" width="10.7109375" style="439" customWidth="1"/>
    <col min="5380" max="5380" width="13.5703125" style="439" customWidth="1"/>
    <col min="5381" max="5382" width="11.85546875" style="439" customWidth="1"/>
    <col min="5383" max="5383" width="13.140625" style="439" customWidth="1"/>
    <col min="5384" max="5384" width="9.140625" style="439"/>
    <col min="5385" max="5385" width="12.7109375" style="439" bestFit="1" customWidth="1"/>
    <col min="5386" max="5632" width="9.140625" style="439"/>
    <col min="5633" max="5633" width="7.85546875" style="439" customWidth="1"/>
    <col min="5634" max="5634" width="56.7109375" style="439" customWidth="1"/>
    <col min="5635" max="5635" width="10.7109375" style="439" customWidth="1"/>
    <col min="5636" max="5636" width="13.5703125" style="439" customWidth="1"/>
    <col min="5637" max="5638" width="11.85546875" style="439" customWidth="1"/>
    <col min="5639" max="5639" width="13.140625" style="439" customWidth="1"/>
    <col min="5640" max="5640" width="9.140625" style="439"/>
    <col min="5641" max="5641" width="12.7109375" style="439" bestFit="1" customWidth="1"/>
    <col min="5642" max="5888" width="9.140625" style="439"/>
    <col min="5889" max="5889" width="7.85546875" style="439" customWidth="1"/>
    <col min="5890" max="5890" width="56.7109375" style="439" customWidth="1"/>
    <col min="5891" max="5891" width="10.7109375" style="439" customWidth="1"/>
    <col min="5892" max="5892" width="13.5703125" style="439" customWidth="1"/>
    <col min="5893" max="5894" width="11.85546875" style="439" customWidth="1"/>
    <col min="5895" max="5895" width="13.140625" style="439" customWidth="1"/>
    <col min="5896" max="5896" width="9.140625" style="439"/>
    <col min="5897" max="5897" width="12.7109375" style="439" bestFit="1" customWidth="1"/>
    <col min="5898" max="6144" width="9.140625" style="439"/>
    <col min="6145" max="6145" width="7.85546875" style="439" customWidth="1"/>
    <col min="6146" max="6146" width="56.7109375" style="439" customWidth="1"/>
    <col min="6147" max="6147" width="10.7109375" style="439" customWidth="1"/>
    <col min="6148" max="6148" width="13.5703125" style="439" customWidth="1"/>
    <col min="6149" max="6150" width="11.85546875" style="439" customWidth="1"/>
    <col min="6151" max="6151" width="13.140625" style="439" customWidth="1"/>
    <col min="6152" max="6152" width="9.140625" style="439"/>
    <col min="6153" max="6153" width="12.7109375" style="439" bestFit="1" customWidth="1"/>
    <col min="6154" max="6400" width="9.140625" style="439"/>
    <col min="6401" max="6401" width="7.85546875" style="439" customWidth="1"/>
    <col min="6402" max="6402" width="56.7109375" style="439" customWidth="1"/>
    <col min="6403" max="6403" width="10.7109375" style="439" customWidth="1"/>
    <col min="6404" max="6404" width="13.5703125" style="439" customWidth="1"/>
    <col min="6405" max="6406" width="11.85546875" style="439" customWidth="1"/>
    <col min="6407" max="6407" width="13.140625" style="439" customWidth="1"/>
    <col min="6408" max="6408" width="9.140625" style="439"/>
    <col min="6409" max="6409" width="12.7109375" style="439" bestFit="1" customWidth="1"/>
    <col min="6410" max="6656" width="9.140625" style="439"/>
    <col min="6657" max="6657" width="7.85546875" style="439" customWidth="1"/>
    <col min="6658" max="6658" width="56.7109375" style="439" customWidth="1"/>
    <col min="6659" max="6659" width="10.7109375" style="439" customWidth="1"/>
    <col min="6660" max="6660" width="13.5703125" style="439" customWidth="1"/>
    <col min="6661" max="6662" width="11.85546875" style="439" customWidth="1"/>
    <col min="6663" max="6663" width="13.140625" style="439" customWidth="1"/>
    <col min="6664" max="6664" width="9.140625" style="439"/>
    <col min="6665" max="6665" width="12.7109375" style="439" bestFit="1" customWidth="1"/>
    <col min="6666" max="6912" width="9.140625" style="439"/>
    <col min="6913" max="6913" width="7.85546875" style="439" customWidth="1"/>
    <col min="6914" max="6914" width="56.7109375" style="439" customWidth="1"/>
    <col min="6915" max="6915" width="10.7109375" style="439" customWidth="1"/>
    <col min="6916" max="6916" width="13.5703125" style="439" customWidth="1"/>
    <col min="6917" max="6918" width="11.85546875" style="439" customWidth="1"/>
    <col min="6919" max="6919" width="13.140625" style="439" customWidth="1"/>
    <col min="6920" max="6920" width="9.140625" style="439"/>
    <col min="6921" max="6921" width="12.7109375" style="439" bestFit="1" customWidth="1"/>
    <col min="6922" max="7168" width="9.140625" style="439"/>
    <col min="7169" max="7169" width="7.85546875" style="439" customWidth="1"/>
    <col min="7170" max="7170" width="56.7109375" style="439" customWidth="1"/>
    <col min="7171" max="7171" width="10.7109375" style="439" customWidth="1"/>
    <col min="7172" max="7172" width="13.5703125" style="439" customWidth="1"/>
    <col min="7173" max="7174" width="11.85546875" style="439" customWidth="1"/>
    <col min="7175" max="7175" width="13.140625" style="439" customWidth="1"/>
    <col min="7176" max="7176" width="9.140625" style="439"/>
    <col min="7177" max="7177" width="12.7109375" style="439" bestFit="1" customWidth="1"/>
    <col min="7178" max="7424" width="9.140625" style="439"/>
    <col min="7425" max="7425" width="7.85546875" style="439" customWidth="1"/>
    <col min="7426" max="7426" width="56.7109375" style="439" customWidth="1"/>
    <col min="7427" max="7427" width="10.7109375" style="439" customWidth="1"/>
    <col min="7428" max="7428" width="13.5703125" style="439" customWidth="1"/>
    <col min="7429" max="7430" width="11.85546875" style="439" customWidth="1"/>
    <col min="7431" max="7431" width="13.140625" style="439" customWidth="1"/>
    <col min="7432" max="7432" width="9.140625" style="439"/>
    <col min="7433" max="7433" width="12.7109375" style="439" bestFit="1" customWidth="1"/>
    <col min="7434" max="7680" width="9.140625" style="439"/>
    <col min="7681" max="7681" width="7.85546875" style="439" customWidth="1"/>
    <col min="7682" max="7682" width="56.7109375" style="439" customWidth="1"/>
    <col min="7683" max="7683" width="10.7109375" style="439" customWidth="1"/>
    <col min="7684" max="7684" width="13.5703125" style="439" customWidth="1"/>
    <col min="7685" max="7686" width="11.85546875" style="439" customWidth="1"/>
    <col min="7687" max="7687" width="13.140625" style="439" customWidth="1"/>
    <col min="7688" max="7688" width="9.140625" style="439"/>
    <col min="7689" max="7689" width="12.7109375" style="439" bestFit="1" customWidth="1"/>
    <col min="7690" max="7936" width="9.140625" style="439"/>
    <col min="7937" max="7937" width="7.85546875" style="439" customWidth="1"/>
    <col min="7938" max="7938" width="56.7109375" style="439" customWidth="1"/>
    <col min="7939" max="7939" width="10.7109375" style="439" customWidth="1"/>
    <col min="7940" max="7940" width="13.5703125" style="439" customWidth="1"/>
    <col min="7941" max="7942" width="11.85546875" style="439" customWidth="1"/>
    <col min="7943" max="7943" width="13.140625" style="439" customWidth="1"/>
    <col min="7944" max="7944" width="9.140625" style="439"/>
    <col min="7945" max="7945" width="12.7109375" style="439" bestFit="1" customWidth="1"/>
    <col min="7946" max="8192" width="9.140625" style="439"/>
    <col min="8193" max="8193" width="7.85546875" style="439" customWidth="1"/>
    <col min="8194" max="8194" width="56.7109375" style="439" customWidth="1"/>
    <col min="8195" max="8195" width="10.7109375" style="439" customWidth="1"/>
    <col min="8196" max="8196" width="13.5703125" style="439" customWidth="1"/>
    <col min="8197" max="8198" width="11.85546875" style="439" customWidth="1"/>
    <col min="8199" max="8199" width="13.140625" style="439" customWidth="1"/>
    <col min="8200" max="8200" width="9.140625" style="439"/>
    <col min="8201" max="8201" width="12.7109375" style="439" bestFit="1" customWidth="1"/>
    <col min="8202" max="8448" width="9.140625" style="439"/>
    <col min="8449" max="8449" width="7.85546875" style="439" customWidth="1"/>
    <col min="8450" max="8450" width="56.7109375" style="439" customWidth="1"/>
    <col min="8451" max="8451" width="10.7109375" style="439" customWidth="1"/>
    <col min="8452" max="8452" width="13.5703125" style="439" customWidth="1"/>
    <col min="8453" max="8454" width="11.85546875" style="439" customWidth="1"/>
    <col min="8455" max="8455" width="13.140625" style="439" customWidth="1"/>
    <col min="8456" max="8456" width="9.140625" style="439"/>
    <col min="8457" max="8457" width="12.7109375" style="439" bestFit="1" customWidth="1"/>
    <col min="8458" max="8704" width="9.140625" style="439"/>
    <col min="8705" max="8705" width="7.85546875" style="439" customWidth="1"/>
    <col min="8706" max="8706" width="56.7109375" style="439" customWidth="1"/>
    <col min="8707" max="8707" width="10.7109375" style="439" customWidth="1"/>
    <col min="8708" max="8708" width="13.5703125" style="439" customWidth="1"/>
    <col min="8709" max="8710" width="11.85546875" style="439" customWidth="1"/>
    <col min="8711" max="8711" width="13.140625" style="439" customWidth="1"/>
    <col min="8712" max="8712" width="9.140625" style="439"/>
    <col min="8713" max="8713" width="12.7109375" style="439" bestFit="1" customWidth="1"/>
    <col min="8714" max="8960" width="9.140625" style="439"/>
    <col min="8961" max="8961" width="7.85546875" style="439" customWidth="1"/>
    <col min="8962" max="8962" width="56.7109375" style="439" customWidth="1"/>
    <col min="8963" max="8963" width="10.7109375" style="439" customWidth="1"/>
    <col min="8964" max="8964" width="13.5703125" style="439" customWidth="1"/>
    <col min="8965" max="8966" width="11.85546875" style="439" customWidth="1"/>
    <col min="8967" max="8967" width="13.140625" style="439" customWidth="1"/>
    <col min="8968" max="8968" width="9.140625" style="439"/>
    <col min="8969" max="8969" width="12.7109375" style="439" bestFit="1" customWidth="1"/>
    <col min="8970" max="9216" width="9.140625" style="439"/>
    <col min="9217" max="9217" width="7.85546875" style="439" customWidth="1"/>
    <col min="9218" max="9218" width="56.7109375" style="439" customWidth="1"/>
    <col min="9219" max="9219" width="10.7109375" style="439" customWidth="1"/>
    <col min="9220" max="9220" width="13.5703125" style="439" customWidth="1"/>
    <col min="9221" max="9222" width="11.85546875" style="439" customWidth="1"/>
    <col min="9223" max="9223" width="13.140625" style="439" customWidth="1"/>
    <col min="9224" max="9224" width="9.140625" style="439"/>
    <col min="9225" max="9225" width="12.7109375" style="439" bestFit="1" customWidth="1"/>
    <col min="9226" max="9472" width="9.140625" style="439"/>
    <col min="9473" max="9473" width="7.85546875" style="439" customWidth="1"/>
    <col min="9474" max="9474" width="56.7109375" style="439" customWidth="1"/>
    <col min="9475" max="9475" width="10.7109375" style="439" customWidth="1"/>
    <col min="9476" max="9476" width="13.5703125" style="439" customWidth="1"/>
    <col min="9477" max="9478" width="11.85546875" style="439" customWidth="1"/>
    <col min="9479" max="9479" width="13.140625" style="439" customWidth="1"/>
    <col min="9480" max="9480" width="9.140625" style="439"/>
    <col min="9481" max="9481" width="12.7109375" style="439" bestFit="1" customWidth="1"/>
    <col min="9482" max="9728" width="9.140625" style="439"/>
    <col min="9729" max="9729" width="7.85546875" style="439" customWidth="1"/>
    <col min="9730" max="9730" width="56.7109375" style="439" customWidth="1"/>
    <col min="9731" max="9731" width="10.7109375" style="439" customWidth="1"/>
    <col min="9732" max="9732" width="13.5703125" style="439" customWidth="1"/>
    <col min="9733" max="9734" width="11.85546875" style="439" customWidth="1"/>
    <col min="9735" max="9735" width="13.140625" style="439" customWidth="1"/>
    <col min="9736" max="9736" width="9.140625" style="439"/>
    <col min="9737" max="9737" width="12.7109375" style="439" bestFit="1" customWidth="1"/>
    <col min="9738" max="9984" width="9.140625" style="439"/>
    <col min="9985" max="9985" width="7.85546875" style="439" customWidth="1"/>
    <col min="9986" max="9986" width="56.7109375" style="439" customWidth="1"/>
    <col min="9987" max="9987" width="10.7109375" style="439" customWidth="1"/>
    <col min="9988" max="9988" width="13.5703125" style="439" customWidth="1"/>
    <col min="9989" max="9990" width="11.85546875" style="439" customWidth="1"/>
    <col min="9991" max="9991" width="13.140625" style="439" customWidth="1"/>
    <col min="9992" max="9992" width="9.140625" style="439"/>
    <col min="9993" max="9993" width="12.7109375" style="439" bestFit="1" customWidth="1"/>
    <col min="9994" max="10240" width="9.140625" style="439"/>
    <col min="10241" max="10241" width="7.85546875" style="439" customWidth="1"/>
    <col min="10242" max="10242" width="56.7109375" style="439" customWidth="1"/>
    <col min="10243" max="10243" width="10.7109375" style="439" customWidth="1"/>
    <col min="10244" max="10244" width="13.5703125" style="439" customWidth="1"/>
    <col min="10245" max="10246" width="11.85546875" style="439" customWidth="1"/>
    <col min="10247" max="10247" width="13.140625" style="439" customWidth="1"/>
    <col min="10248" max="10248" width="9.140625" style="439"/>
    <col min="10249" max="10249" width="12.7109375" style="439" bestFit="1" customWidth="1"/>
    <col min="10250" max="10496" width="9.140625" style="439"/>
    <col min="10497" max="10497" width="7.85546875" style="439" customWidth="1"/>
    <col min="10498" max="10498" width="56.7109375" style="439" customWidth="1"/>
    <col min="10499" max="10499" width="10.7109375" style="439" customWidth="1"/>
    <col min="10500" max="10500" width="13.5703125" style="439" customWidth="1"/>
    <col min="10501" max="10502" width="11.85546875" style="439" customWidth="1"/>
    <col min="10503" max="10503" width="13.140625" style="439" customWidth="1"/>
    <col min="10504" max="10504" width="9.140625" style="439"/>
    <col min="10505" max="10505" width="12.7109375" style="439" bestFit="1" customWidth="1"/>
    <col min="10506" max="10752" width="9.140625" style="439"/>
    <col min="10753" max="10753" width="7.85546875" style="439" customWidth="1"/>
    <col min="10754" max="10754" width="56.7109375" style="439" customWidth="1"/>
    <col min="10755" max="10755" width="10.7109375" style="439" customWidth="1"/>
    <col min="10756" max="10756" width="13.5703125" style="439" customWidth="1"/>
    <col min="10757" max="10758" width="11.85546875" style="439" customWidth="1"/>
    <col min="10759" max="10759" width="13.140625" style="439" customWidth="1"/>
    <col min="10760" max="10760" width="9.140625" style="439"/>
    <col min="10761" max="10761" width="12.7109375" style="439" bestFit="1" customWidth="1"/>
    <col min="10762" max="11008" width="9.140625" style="439"/>
    <col min="11009" max="11009" width="7.85546875" style="439" customWidth="1"/>
    <col min="11010" max="11010" width="56.7109375" style="439" customWidth="1"/>
    <col min="11011" max="11011" width="10.7109375" style="439" customWidth="1"/>
    <col min="11012" max="11012" width="13.5703125" style="439" customWidth="1"/>
    <col min="11013" max="11014" width="11.85546875" style="439" customWidth="1"/>
    <col min="11015" max="11015" width="13.140625" style="439" customWidth="1"/>
    <col min="11016" max="11016" width="9.140625" style="439"/>
    <col min="11017" max="11017" width="12.7109375" style="439" bestFit="1" customWidth="1"/>
    <col min="11018" max="11264" width="9.140625" style="439"/>
    <col min="11265" max="11265" width="7.85546875" style="439" customWidth="1"/>
    <col min="11266" max="11266" width="56.7109375" style="439" customWidth="1"/>
    <col min="11267" max="11267" width="10.7109375" style="439" customWidth="1"/>
    <col min="11268" max="11268" width="13.5703125" style="439" customWidth="1"/>
    <col min="11269" max="11270" width="11.85546875" style="439" customWidth="1"/>
    <col min="11271" max="11271" width="13.140625" style="439" customWidth="1"/>
    <col min="11272" max="11272" width="9.140625" style="439"/>
    <col min="11273" max="11273" width="12.7109375" style="439" bestFit="1" customWidth="1"/>
    <col min="11274" max="11520" width="9.140625" style="439"/>
    <col min="11521" max="11521" width="7.85546875" style="439" customWidth="1"/>
    <col min="11522" max="11522" width="56.7109375" style="439" customWidth="1"/>
    <col min="11523" max="11523" width="10.7109375" style="439" customWidth="1"/>
    <col min="11524" max="11524" width="13.5703125" style="439" customWidth="1"/>
    <col min="11525" max="11526" width="11.85546875" style="439" customWidth="1"/>
    <col min="11527" max="11527" width="13.140625" style="439" customWidth="1"/>
    <col min="11528" max="11528" width="9.140625" style="439"/>
    <col min="11529" max="11529" width="12.7109375" style="439" bestFit="1" customWidth="1"/>
    <col min="11530" max="11776" width="9.140625" style="439"/>
    <col min="11777" max="11777" width="7.85546875" style="439" customWidth="1"/>
    <col min="11778" max="11778" width="56.7109375" style="439" customWidth="1"/>
    <col min="11779" max="11779" width="10.7109375" style="439" customWidth="1"/>
    <col min="11780" max="11780" width="13.5703125" style="439" customWidth="1"/>
    <col min="11781" max="11782" width="11.85546875" style="439" customWidth="1"/>
    <col min="11783" max="11783" width="13.140625" style="439" customWidth="1"/>
    <col min="11784" max="11784" width="9.140625" style="439"/>
    <col min="11785" max="11785" width="12.7109375" style="439" bestFit="1" customWidth="1"/>
    <col min="11786" max="12032" width="9.140625" style="439"/>
    <col min="12033" max="12033" width="7.85546875" style="439" customWidth="1"/>
    <col min="12034" max="12034" width="56.7109375" style="439" customWidth="1"/>
    <col min="12035" max="12035" width="10.7109375" style="439" customWidth="1"/>
    <col min="12036" max="12036" width="13.5703125" style="439" customWidth="1"/>
    <col min="12037" max="12038" width="11.85546875" style="439" customWidth="1"/>
    <col min="12039" max="12039" width="13.140625" style="439" customWidth="1"/>
    <col min="12040" max="12040" width="9.140625" style="439"/>
    <col min="12041" max="12041" width="12.7109375" style="439" bestFit="1" customWidth="1"/>
    <col min="12042" max="12288" width="9.140625" style="439"/>
    <col min="12289" max="12289" width="7.85546875" style="439" customWidth="1"/>
    <col min="12290" max="12290" width="56.7109375" style="439" customWidth="1"/>
    <col min="12291" max="12291" width="10.7109375" style="439" customWidth="1"/>
    <col min="12292" max="12292" width="13.5703125" style="439" customWidth="1"/>
    <col min="12293" max="12294" width="11.85546875" style="439" customWidth="1"/>
    <col min="12295" max="12295" width="13.140625" style="439" customWidth="1"/>
    <col min="12296" max="12296" width="9.140625" style="439"/>
    <col min="12297" max="12297" width="12.7109375" style="439" bestFit="1" customWidth="1"/>
    <col min="12298" max="12544" width="9.140625" style="439"/>
    <col min="12545" max="12545" width="7.85546875" style="439" customWidth="1"/>
    <col min="12546" max="12546" width="56.7109375" style="439" customWidth="1"/>
    <col min="12547" max="12547" width="10.7109375" style="439" customWidth="1"/>
    <col min="12548" max="12548" width="13.5703125" style="439" customWidth="1"/>
    <col min="12549" max="12550" width="11.85546875" style="439" customWidth="1"/>
    <col min="12551" max="12551" width="13.140625" style="439" customWidth="1"/>
    <col min="12552" max="12552" width="9.140625" style="439"/>
    <col min="12553" max="12553" width="12.7109375" style="439" bestFit="1" customWidth="1"/>
    <col min="12554" max="12800" width="9.140625" style="439"/>
    <col min="12801" max="12801" width="7.85546875" style="439" customWidth="1"/>
    <col min="12802" max="12802" width="56.7109375" style="439" customWidth="1"/>
    <col min="12803" max="12803" width="10.7109375" style="439" customWidth="1"/>
    <col min="12804" max="12804" width="13.5703125" style="439" customWidth="1"/>
    <col min="12805" max="12806" width="11.85546875" style="439" customWidth="1"/>
    <col min="12807" max="12807" width="13.140625" style="439" customWidth="1"/>
    <col min="12808" max="12808" width="9.140625" style="439"/>
    <col min="12809" max="12809" width="12.7109375" style="439" bestFit="1" customWidth="1"/>
    <col min="12810" max="13056" width="9.140625" style="439"/>
    <col min="13057" max="13057" width="7.85546875" style="439" customWidth="1"/>
    <col min="13058" max="13058" width="56.7109375" style="439" customWidth="1"/>
    <col min="13059" max="13059" width="10.7109375" style="439" customWidth="1"/>
    <col min="13060" max="13060" width="13.5703125" style="439" customWidth="1"/>
    <col min="13061" max="13062" width="11.85546875" style="439" customWidth="1"/>
    <col min="13063" max="13063" width="13.140625" style="439" customWidth="1"/>
    <col min="13064" max="13064" width="9.140625" style="439"/>
    <col min="13065" max="13065" width="12.7109375" style="439" bestFit="1" customWidth="1"/>
    <col min="13066" max="13312" width="9.140625" style="439"/>
    <col min="13313" max="13313" width="7.85546875" style="439" customWidth="1"/>
    <col min="13314" max="13314" width="56.7109375" style="439" customWidth="1"/>
    <col min="13315" max="13315" width="10.7109375" style="439" customWidth="1"/>
    <col min="13316" max="13316" width="13.5703125" style="439" customWidth="1"/>
    <col min="13317" max="13318" width="11.85546875" style="439" customWidth="1"/>
    <col min="13319" max="13319" width="13.140625" style="439" customWidth="1"/>
    <col min="13320" max="13320" width="9.140625" style="439"/>
    <col min="13321" max="13321" width="12.7109375" style="439" bestFit="1" customWidth="1"/>
    <col min="13322" max="13568" width="9.140625" style="439"/>
    <col min="13569" max="13569" width="7.85546875" style="439" customWidth="1"/>
    <col min="13570" max="13570" width="56.7109375" style="439" customWidth="1"/>
    <col min="13571" max="13571" width="10.7109375" style="439" customWidth="1"/>
    <col min="13572" max="13572" width="13.5703125" style="439" customWidth="1"/>
    <col min="13573" max="13574" width="11.85546875" style="439" customWidth="1"/>
    <col min="13575" max="13575" width="13.140625" style="439" customWidth="1"/>
    <col min="13576" max="13576" width="9.140625" style="439"/>
    <col min="13577" max="13577" width="12.7109375" style="439" bestFit="1" customWidth="1"/>
    <col min="13578" max="13824" width="9.140625" style="439"/>
    <col min="13825" max="13825" width="7.85546875" style="439" customWidth="1"/>
    <col min="13826" max="13826" width="56.7109375" style="439" customWidth="1"/>
    <col min="13827" max="13827" width="10.7109375" style="439" customWidth="1"/>
    <col min="13828" max="13828" width="13.5703125" style="439" customWidth="1"/>
    <col min="13829" max="13830" width="11.85546875" style="439" customWidth="1"/>
    <col min="13831" max="13831" width="13.140625" style="439" customWidth="1"/>
    <col min="13832" max="13832" width="9.140625" style="439"/>
    <col min="13833" max="13833" width="12.7109375" style="439" bestFit="1" customWidth="1"/>
    <col min="13834" max="14080" width="9.140625" style="439"/>
    <col min="14081" max="14081" width="7.85546875" style="439" customWidth="1"/>
    <col min="14082" max="14082" width="56.7109375" style="439" customWidth="1"/>
    <col min="14083" max="14083" width="10.7109375" style="439" customWidth="1"/>
    <col min="14084" max="14084" width="13.5703125" style="439" customWidth="1"/>
    <col min="14085" max="14086" width="11.85546875" style="439" customWidth="1"/>
    <col min="14087" max="14087" width="13.140625" style="439" customWidth="1"/>
    <col min="14088" max="14088" width="9.140625" style="439"/>
    <col min="14089" max="14089" width="12.7109375" style="439" bestFit="1" customWidth="1"/>
    <col min="14090" max="14336" width="9.140625" style="439"/>
    <col min="14337" max="14337" width="7.85546875" style="439" customWidth="1"/>
    <col min="14338" max="14338" width="56.7109375" style="439" customWidth="1"/>
    <col min="14339" max="14339" width="10.7109375" style="439" customWidth="1"/>
    <col min="14340" max="14340" width="13.5703125" style="439" customWidth="1"/>
    <col min="14341" max="14342" width="11.85546875" style="439" customWidth="1"/>
    <col min="14343" max="14343" width="13.140625" style="439" customWidth="1"/>
    <col min="14344" max="14344" width="9.140625" style="439"/>
    <col min="14345" max="14345" width="12.7109375" style="439" bestFit="1" customWidth="1"/>
    <col min="14346" max="14592" width="9.140625" style="439"/>
    <col min="14593" max="14593" width="7.85546875" style="439" customWidth="1"/>
    <col min="14594" max="14594" width="56.7109375" style="439" customWidth="1"/>
    <col min="14595" max="14595" width="10.7109375" style="439" customWidth="1"/>
    <col min="14596" max="14596" width="13.5703125" style="439" customWidth="1"/>
    <col min="14597" max="14598" width="11.85546875" style="439" customWidth="1"/>
    <col min="14599" max="14599" width="13.140625" style="439" customWidth="1"/>
    <col min="14600" max="14600" width="9.140625" style="439"/>
    <col min="14601" max="14601" width="12.7109375" style="439" bestFit="1" customWidth="1"/>
    <col min="14602" max="14848" width="9.140625" style="439"/>
    <col min="14849" max="14849" width="7.85546875" style="439" customWidth="1"/>
    <col min="14850" max="14850" width="56.7109375" style="439" customWidth="1"/>
    <col min="14851" max="14851" width="10.7109375" style="439" customWidth="1"/>
    <col min="14852" max="14852" width="13.5703125" style="439" customWidth="1"/>
    <col min="14853" max="14854" width="11.85546875" style="439" customWidth="1"/>
    <col min="14855" max="14855" width="13.140625" style="439" customWidth="1"/>
    <col min="14856" max="14856" width="9.140625" style="439"/>
    <col min="14857" max="14857" width="12.7109375" style="439" bestFit="1" customWidth="1"/>
    <col min="14858" max="15104" width="9.140625" style="439"/>
    <col min="15105" max="15105" width="7.85546875" style="439" customWidth="1"/>
    <col min="15106" max="15106" width="56.7109375" style="439" customWidth="1"/>
    <col min="15107" max="15107" width="10.7109375" style="439" customWidth="1"/>
    <col min="15108" max="15108" width="13.5703125" style="439" customWidth="1"/>
    <col min="15109" max="15110" width="11.85546875" style="439" customWidth="1"/>
    <col min="15111" max="15111" width="13.140625" style="439" customWidth="1"/>
    <col min="15112" max="15112" width="9.140625" style="439"/>
    <col min="15113" max="15113" width="12.7109375" style="439" bestFit="1" customWidth="1"/>
    <col min="15114" max="15360" width="9.140625" style="439"/>
    <col min="15361" max="15361" width="7.85546875" style="439" customWidth="1"/>
    <col min="15362" max="15362" width="56.7109375" style="439" customWidth="1"/>
    <col min="15363" max="15363" width="10.7109375" style="439" customWidth="1"/>
    <col min="15364" max="15364" width="13.5703125" style="439" customWidth="1"/>
    <col min="15365" max="15366" width="11.85546875" style="439" customWidth="1"/>
    <col min="15367" max="15367" width="13.140625" style="439" customWidth="1"/>
    <col min="15368" max="15368" width="9.140625" style="439"/>
    <col min="15369" max="15369" width="12.7109375" style="439" bestFit="1" customWidth="1"/>
    <col min="15370" max="15616" width="9.140625" style="439"/>
    <col min="15617" max="15617" width="7.85546875" style="439" customWidth="1"/>
    <col min="15618" max="15618" width="56.7109375" style="439" customWidth="1"/>
    <col min="15619" max="15619" width="10.7109375" style="439" customWidth="1"/>
    <col min="15620" max="15620" width="13.5703125" style="439" customWidth="1"/>
    <col min="15621" max="15622" width="11.85546875" style="439" customWidth="1"/>
    <col min="15623" max="15623" width="13.140625" style="439" customWidth="1"/>
    <col min="15624" max="15624" width="9.140625" style="439"/>
    <col min="15625" max="15625" width="12.7109375" style="439" bestFit="1" customWidth="1"/>
    <col min="15626" max="15872" width="9.140625" style="439"/>
    <col min="15873" max="15873" width="7.85546875" style="439" customWidth="1"/>
    <col min="15874" max="15874" width="56.7109375" style="439" customWidth="1"/>
    <col min="15875" max="15875" width="10.7109375" style="439" customWidth="1"/>
    <col min="15876" max="15876" width="13.5703125" style="439" customWidth="1"/>
    <col min="15877" max="15878" width="11.85546875" style="439" customWidth="1"/>
    <col min="15879" max="15879" width="13.140625" style="439" customWidth="1"/>
    <col min="15880" max="15880" width="9.140625" style="439"/>
    <col min="15881" max="15881" width="12.7109375" style="439" bestFit="1" customWidth="1"/>
    <col min="15882" max="16128" width="9.140625" style="439"/>
    <col min="16129" max="16129" width="7.85546875" style="439" customWidth="1"/>
    <col min="16130" max="16130" width="56.7109375" style="439" customWidth="1"/>
    <col min="16131" max="16131" width="10.7109375" style="439" customWidth="1"/>
    <col min="16132" max="16132" width="13.5703125" style="439" customWidth="1"/>
    <col min="16133" max="16134" width="11.85546875" style="439" customWidth="1"/>
    <col min="16135" max="16135" width="13.140625" style="439" customWidth="1"/>
    <col min="16136" max="16136" width="9.140625" style="439"/>
    <col min="16137" max="16137" width="12.7109375" style="439" bestFit="1" customWidth="1"/>
    <col min="16138" max="16384" width="9.140625" style="439"/>
  </cols>
  <sheetData>
    <row r="1" spans="1:10">
      <c r="A1" s="1058" t="s">
        <v>3527</v>
      </c>
      <c r="B1" s="1058"/>
      <c r="C1" s="1058"/>
      <c r="D1" s="1058"/>
      <c r="E1" s="1058"/>
      <c r="F1" s="1058"/>
      <c r="G1" s="1058"/>
    </row>
    <row r="2" spans="1:10">
      <c r="A2" s="1059" t="s">
        <v>3528</v>
      </c>
      <c r="B2" s="1059"/>
      <c r="C2" s="1059"/>
      <c r="D2" s="1059"/>
      <c r="E2" s="1059"/>
      <c r="F2" s="1059"/>
      <c r="G2" s="1059"/>
      <c r="H2" s="716"/>
    </row>
    <row r="3" spans="1:10" ht="14.25">
      <c r="A3" s="717"/>
      <c r="B3" s="717"/>
      <c r="C3" s="717"/>
      <c r="D3" s="717"/>
      <c r="E3" s="717"/>
      <c r="F3" s="717"/>
      <c r="G3" s="717"/>
      <c r="J3" s="712" t="s">
        <v>3309</v>
      </c>
    </row>
    <row r="4" spans="1:10" ht="15" customHeight="1">
      <c r="A4" s="1062" t="s">
        <v>3529</v>
      </c>
      <c r="B4" s="1062"/>
      <c r="C4" s="1062"/>
      <c r="D4" s="1062"/>
      <c r="E4" s="1062"/>
      <c r="F4" s="1062"/>
      <c r="G4" s="1062"/>
    </row>
    <row r="5" spans="1:10" ht="9" customHeight="1">
      <c r="A5" s="948"/>
      <c r="B5" s="948"/>
      <c r="C5" s="948"/>
      <c r="D5" s="948"/>
      <c r="E5" s="948"/>
      <c r="F5" s="948"/>
      <c r="G5" s="948"/>
    </row>
    <row r="6" spans="1:10" ht="15.75">
      <c r="A6" s="947"/>
      <c r="B6" s="947"/>
      <c r="C6" s="947"/>
      <c r="D6" s="947"/>
      <c r="E6" s="1063" t="s">
        <v>3309</v>
      </c>
      <c r="F6" s="951" t="s">
        <v>3526</v>
      </c>
      <c r="G6" s="963">
        <v>0.2462</v>
      </c>
      <c r="J6" s="956"/>
    </row>
    <row r="7" spans="1:10" ht="15.75">
      <c r="A7" s="947"/>
      <c r="B7" s="947"/>
      <c r="C7" s="947"/>
      <c r="D7" s="947"/>
      <c r="E7" s="1063"/>
      <c r="F7" s="964" t="s">
        <v>3454</v>
      </c>
      <c r="G7" s="963">
        <v>0.15279999999999999</v>
      </c>
      <c r="J7" s="956"/>
    </row>
    <row r="8" spans="1:10" ht="9.75" customHeight="1">
      <c r="D8" s="719"/>
    </row>
    <row r="9" spans="1:10" ht="12.75">
      <c r="A9" s="1060" t="s">
        <v>0</v>
      </c>
      <c r="B9" s="1060" t="s">
        <v>1489</v>
      </c>
      <c r="C9" s="1060" t="s">
        <v>3246</v>
      </c>
      <c r="D9" s="1060" t="s">
        <v>3247</v>
      </c>
      <c r="E9" s="1060" t="s">
        <v>3530</v>
      </c>
      <c r="F9" s="1060"/>
      <c r="G9" s="1061"/>
    </row>
    <row r="10" spans="1:10" ht="12.75">
      <c r="A10" s="1060"/>
      <c r="B10" s="1060"/>
      <c r="C10" s="1060"/>
      <c r="D10" s="1060"/>
      <c r="E10" s="720" t="s">
        <v>3531</v>
      </c>
      <c r="F10" s="720" t="s">
        <v>3309</v>
      </c>
      <c r="G10" s="720" t="s">
        <v>3532</v>
      </c>
    </row>
    <row r="11" spans="1:10" ht="12.75">
      <c r="A11" s="721"/>
      <c r="B11" s="722" t="s">
        <v>3533</v>
      </c>
      <c r="C11" s="721"/>
      <c r="D11" s="721"/>
      <c r="E11" s="722"/>
      <c r="F11" s="722"/>
      <c r="G11" s="722"/>
    </row>
    <row r="12" spans="1:10" ht="12.75">
      <c r="A12" s="721"/>
      <c r="B12" s="722"/>
      <c r="C12" s="721"/>
      <c r="D12" s="721"/>
      <c r="E12" s="722"/>
      <c r="F12" s="722"/>
      <c r="G12" s="722"/>
    </row>
    <row r="13" spans="1:10" ht="24">
      <c r="A13" s="780" t="s">
        <v>3801</v>
      </c>
      <c r="B13" s="725" t="s">
        <v>3815</v>
      </c>
      <c r="C13" s="726"/>
      <c r="D13" s="727"/>
      <c r="E13" s="723">
        <f>E14+E15+E16</f>
        <v>7573492.4804561175</v>
      </c>
      <c r="F13" s="729"/>
      <c r="G13" s="723">
        <f>G14+G15+G16</f>
        <v>8884226.5137052517</v>
      </c>
    </row>
    <row r="14" spans="1:10" ht="12.75">
      <c r="A14" s="732" t="s">
        <v>3802</v>
      </c>
      <c r="B14" s="891" t="s">
        <v>3060</v>
      </c>
      <c r="C14" s="732" t="s">
        <v>3536</v>
      </c>
      <c r="D14" s="733">
        <v>1</v>
      </c>
      <c r="E14" s="734">
        <f>'Elevat Parcelas Independ.'!J6</f>
        <v>807928.25643286249</v>
      </c>
      <c r="F14" s="735">
        <f>$G$6</f>
        <v>0.2462</v>
      </c>
      <c r="G14" s="734">
        <f>D14*((E14*F14)+E14)</f>
        <v>1006840.1931666333</v>
      </c>
    </row>
    <row r="15" spans="1:10" ht="12.75">
      <c r="A15" s="732" t="s">
        <v>3803</v>
      </c>
      <c r="B15" s="891" t="s">
        <v>3114</v>
      </c>
      <c r="C15" s="732" t="s">
        <v>3536</v>
      </c>
      <c r="D15" s="733">
        <v>1</v>
      </c>
      <c r="E15" s="734">
        <f>'Elevat Parcelas Independ.'!J7</f>
        <v>5929976.6106976746</v>
      </c>
      <c r="F15" s="735">
        <f>G7</f>
        <v>0.15279999999999999</v>
      </c>
      <c r="G15" s="734">
        <f>D15*((E15*F15)+E15)</f>
        <v>6836077.0368122794</v>
      </c>
    </row>
    <row r="16" spans="1:10" ht="12.75">
      <c r="A16" s="732" t="s">
        <v>3804</v>
      </c>
      <c r="B16" s="891" t="s">
        <v>3177</v>
      </c>
      <c r="C16" s="732" t="s">
        <v>3536</v>
      </c>
      <c r="D16" s="733">
        <v>1</v>
      </c>
      <c r="E16" s="734">
        <f>'Elevat Parcelas Independ.'!J8</f>
        <v>835587.61332558142</v>
      </c>
      <c r="F16" s="735">
        <f>$G$6</f>
        <v>0.2462</v>
      </c>
      <c r="G16" s="734">
        <f>D16*((E16*F16)+E16)</f>
        <v>1041309.2837263396</v>
      </c>
    </row>
    <row r="17" spans="1:9" ht="12.75">
      <c r="A17" s="732"/>
      <c r="B17" s="739"/>
      <c r="C17" s="740"/>
      <c r="D17" s="741"/>
      <c r="E17" s="734"/>
      <c r="F17" s="742"/>
      <c r="G17" s="742"/>
    </row>
    <row r="18" spans="1:9" ht="12.75">
      <c r="A18" s="1055" t="s">
        <v>3696</v>
      </c>
      <c r="B18" s="1056"/>
      <c r="C18" s="1056"/>
      <c r="D18" s="1057"/>
      <c r="E18" s="743">
        <f>E15+E14+E16</f>
        <v>7573492.4804561175</v>
      </c>
      <c r="F18" s="744"/>
      <c r="G18" s="743">
        <f>G15+G14+G16</f>
        <v>8884226.5137052517</v>
      </c>
    </row>
    <row r="19" spans="1:9">
      <c r="A19" s="745"/>
      <c r="B19" s="746"/>
      <c r="C19" s="746"/>
      <c r="D19" s="746"/>
      <c r="E19" s="746"/>
    </row>
    <row r="20" spans="1:9">
      <c r="A20" s="747"/>
      <c r="H20" s="718"/>
    </row>
    <row r="21" spans="1:9">
      <c r="A21" s="747"/>
      <c r="G21" s="748"/>
      <c r="H21" s="718"/>
      <c r="I21" s="749"/>
    </row>
    <row r="22" spans="1:9">
      <c r="A22" s="747"/>
      <c r="G22" s="719"/>
      <c r="H22" s="718"/>
      <c r="I22" s="749"/>
    </row>
    <row r="23" spans="1:9">
      <c r="H23" s="718"/>
    </row>
    <row r="24" spans="1:9">
      <c r="H24" s="718"/>
    </row>
    <row r="25" spans="1:9">
      <c r="G25" s="749"/>
    </row>
    <row r="26" spans="1:9">
      <c r="G26" s="719"/>
    </row>
  </sheetData>
  <mergeCells count="10">
    <mergeCell ref="A18:D18"/>
    <mergeCell ref="A1:G1"/>
    <mergeCell ref="A2:G2"/>
    <mergeCell ref="A9:A10"/>
    <mergeCell ref="B9:B10"/>
    <mergeCell ref="C9:C10"/>
    <mergeCell ref="D9:D10"/>
    <mergeCell ref="E9:G9"/>
    <mergeCell ref="A4:G4"/>
    <mergeCell ref="E6:E7"/>
  </mergeCells>
  <conditionalFormatting sqref="G6:G7 J6:J7">
    <cfRule type="expression" dxfId="8" priority="1" stopIfTrue="1">
      <formula>#REF!="Não"</formula>
    </cfRule>
  </conditionalFormatting>
  <printOptions horizontalCentered="1"/>
  <pageMargins left="0.51181102362204722" right="0.51181102362204722" top="0.78740157480314965" bottom="0.78740157480314965" header="0.31496062992125984" footer="0.31496062992125984"/>
  <pageSetup paperSize="9" scale="74" fitToHeight="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BI300"/>
  <sheetViews>
    <sheetView topLeftCell="A233" zoomScale="85" zoomScaleNormal="85" workbookViewId="0">
      <selection activeCell="J250" sqref="J250"/>
    </sheetView>
  </sheetViews>
  <sheetFormatPr defaultColWidth="9.140625" defaultRowHeight="15.75"/>
  <cols>
    <col min="1" max="1" width="14" style="79" customWidth="1"/>
    <col min="2" max="2" width="71.7109375" style="49" customWidth="1"/>
    <col min="3" max="3" width="9.140625" style="141" customWidth="1"/>
    <col min="4" max="4" width="19.7109375" style="50" hidden="1" customWidth="1"/>
    <col min="5" max="5" width="17.42578125" style="50" hidden="1" customWidth="1"/>
    <col min="6" max="6" width="36.85546875" style="50" hidden="1" customWidth="1"/>
    <col min="7" max="7" width="27.42578125" style="50" customWidth="1"/>
    <col min="8" max="8" width="25.42578125" style="50" customWidth="1"/>
    <col min="9" max="9" width="9.140625" style="50"/>
    <col min="10" max="10" width="22.7109375" style="50" customWidth="1"/>
    <col min="11" max="11" width="21.85546875" style="50" customWidth="1"/>
    <col min="12" max="15" width="9.140625" style="50"/>
    <col min="16" max="17" width="12.42578125" style="50" customWidth="1"/>
    <col min="18" max="16384" width="9.140625" style="50"/>
  </cols>
  <sheetData>
    <row r="2" spans="1:8" ht="16.5" hidden="1" customHeight="1" thickBot="1"/>
    <row r="3" spans="1:8" hidden="1">
      <c r="A3" s="394"/>
      <c r="B3" s="143"/>
      <c r="C3" s="144"/>
      <c r="D3" s="143"/>
      <c r="E3" s="143"/>
      <c r="F3" s="143"/>
      <c r="G3" s="143"/>
      <c r="H3" s="143"/>
    </row>
    <row r="4" spans="1:8" ht="18.75" hidden="1">
      <c r="A4" s="1065" t="s">
        <v>3056</v>
      </c>
      <c r="B4" s="1066"/>
      <c r="C4" s="1066"/>
      <c r="D4" s="1066"/>
      <c r="E4" s="1066"/>
      <c r="F4" s="1066"/>
      <c r="G4" s="1066"/>
      <c r="H4" s="1066"/>
    </row>
    <row r="5" spans="1:8" ht="18.75" hidden="1">
      <c r="A5" s="1067" t="s">
        <v>4</v>
      </c>
      <c r="B5" s="1068"/>
      <c r="C5" s="1068"/>
      <c r="D5" s="1068"/>
      <c r="E5" s="1068"/>
      <c r="F5" s="1068"/>
      <c r="G5" s="1068"/>
      <c r="H5" s="1068"/>
    </row>
    <row r="6" spans="1:8" ht="18.75" hidden="1">
      <c r="A6" s="1067" t="s">
        <v>1527</v>
      </c>
      <c r="B6" s="1068"/>
      <c r="C6" s="1068"/>
      <c r="D6" s="1068"/>
      <c r="E6" s="1068"/>
      <c r="F6" s="1068"/>
      <c r="G6" s="1068"/>
      <c r="H6" s="1068"/>
    </row>
    <row r="7" spans="1:8" ht="16.5" hidden="1" thickBot="1">
      <c r="A7" s="395"/>
      <c r="B7" s="148"/>
      <c r="C7" s="149"/>
      <c r="D7" s="150"/>
      <c r="E7" s="150"/>
      <c r="F7" s="150"/>
      <c r="G7" s="150"/>
      <c r="H7" s="150"/>
    </row>
    <row r="8" spans="1:8" ht="24" hidden="1" thickBot="1">
      <c r="A8" s="1069" t="s">
        <v>3058</v>
      </c>
      <c r="B8" s="1070"/>
      <c r="C8" s="1070"/>
      <c r="D8" s="1070"/>
      <c r="E8" s="1070"/>
      <c r="F8" s="1070"/>
      <c r="G8" s="1070"/>
      <c r="H8" s="1070"/>
    </row>
    <row r="9" spans="1:8" ht="15.75" hidden="1" customHeight="1">
      <c r="A9" s="396" t="s">
        <v>7</v>
      </c>
      <c r="B9" s="153" t="s">
        <v>1519</v>
      </c>
      <c r="C9" s="154"/>
      <c r="D9" s="196" t="s">
        <v>1535</v>
      </c>
      <c r="E9" s="145"/>
      <c r="F9" s="145"/>
      <c r="G9" s="145"/>
      <c r="H9" s="145"/>
    </row>
    <row r="10" spans="1:8" ht="15.75" hidden="1" customHeight="1">
      <c r="A10" s="397" t="s">
        <v>6</v>
      </c>
      <c r="B10" s="156" t="s">
        <v>1530</v>
      </c>
      <c r="C10" s="157"/>
      <c r="D10" s="197" t="s">
        <v>5</v>
      </c>
      <c r="E10" s="146"/>
      <c r="F10" s="159"/>
      <c r="G10" s="159"/>
      <c r="H10" s="159"/>
    </row>
    <row r="11" spans="1:8" ht="15.75" hidden="1" customHeight="1">
      <c r="A11" s="397" t="s">
        <v>8</v>
      </c>
      <c r="B11" s="156" t="s">
        <v>1483</v>
      </c>
      <c r="C11" s="157"/>
      <c r="D11" s="197" t="s">
        <v>1537</v>
      </c>
      <c r="E11" s="146"/>
      <c r="F11" s="159"/>
      <c r="G11" s="159"/>
      <c r="H11" s="159"/>
    </row>
    <row r="12" spans="1:8" ht="15.75" hidden="1" customHeight="1">
      <c r="A12" s="397" t="s">
        <v>9</v>
      </c>
      <c r="B12" s="156" t="s">
        <v>1488</v>
      </c>
      <c r="C12" s="157"/>
      <c r="D12" s="197" t="s">
        <v>3057</v>
      </c>
      <c r="E12" s="146"/>
      <c r="F12" s="159"/>
      <c r="G12" s="159"/>
      <c r="H12" s="159"/>
    </row>
    <row r="13" spans="1:8" ht="15.75" hidden="1" customHeight="1">
      <c r="A13" s="397" t="s">
        <v>10</v>
      </c>
      <c r="B13" s="162">
        <v>79745584.319999993</v>
      </c>
      <c r="C13" s="163"/>
      <c r="D13" s="197" t="s">
        <v>2760</v>
      </c>
      <c r="E13" s="146"/>
      <c r="F13" s="159"/>
      <c r="G13" s="159"/>
      <c r="H13" s="159"/>
    </row>
    <row r="14" spans="1:8" ht="15.75" hidden="1" customHeight="1">
      <c r="A14" s="397" t="s">
        <v>1529</v>
      </c>
      <c r="B14" s="157"/>
      <c r="C14" s="163"/>
      <c r="D14" s="197" t="s">
        <v>1536</v>
      </c>
      <c r="E14" s="146"/>
      <c r="F14" s="159"/>
      <c r="G14" s="159"/>
      <c r="H14" s="159"/>
    </row>
    <row r="15" spans="1:8" ht="15.75" hidden="1" customHeight="1">
      <c r="A15" s="398"/>
      <c r="B15" s="157"/>
      <c r="C15" s="163"/>
      <c r="D15" s="197">
        <v>0</v>
      </c>
      <c r="E15" s="146"/>
      <c r="F15" s="146"/>
      <c r="G15" s="146"/>
      <c r="H15" s="146"/>
    </row>
    <row r="16" spans="1:8" ht="15.75" hidden="1" customHeight="1">
      <c r="A16" s="398"/>
      <c r="B16" s="157"/>
      <c r="C16" s="163"/>
      <c r="D16" s="158"/>
      <c r="E16" s="146"/>
      <c r="F16" s="146"/>
      <c r="G16" s="146"/>
      <c r="H16" s="146"/>
    </row>
    <row r="17" spans="1:10" ht="15.75" hidden="1" customHeight="1">
      <c r="A17" s="398"/>
      <c r="B17" s="157"/>
      <c r="C17" s="163"/>
      <c r="D17" s="158"/>
      <c r="E17" s="146"/>
      <c r="F17" s="146"/>
      <c r="G17" s="146"/>
      <c r="H17" s="146"/>
    </row>
    <row r="18" spans="1:10" ht="15.75" hidden="1" customHeight="1">
      <c r="A18" s="398"/>
      <c r="B18" s="157"/>
      <c r="C18" s="163"/>
      <c r="D18" s="158"/>
      <c r="E18" s="146"/>
      <c r="F18" s="146"/>
      <c r="G18" s="146"/>
      <c r="H18" s="146"/>
    </row>
    <row r="19" spans="1:10" ht="16.5" hidden="1" customHeight="1" thickBot="1">
      <c r="A19" s="399"/>
      <c r="B19" s="168"/>
      <c r="C19" s="169"/>
      <c r="D19" s="170"/>
      <c r="E19" s="151"/>
      <c r="F19" s="151"/>
      <c r="G19" s="151"/>
      <c r="H19" s="151"/>
    </row>
    <row r="20" spans="1:10" ht="16.5" thickBot="1">
      <c r="A20" s="400"/>
      <c r="B20" s="171"/>
      <c r="C20" s="172"/>
      <c r="D20" s="173"/>
      <c r="E20" s="173"/>
      <c r="F20" s="173"/>
      <c r="G20" s="173"/>
      <c r="H20" s="173"/>
    </row>
    <row r="21" spans="1:10" ht="15.75" customHeight="1">
      <c r="A21" s="1116" t="s">
        <v>0</v>
      </c>
      <c r="B21" s="1116" t="s">
        <v>1520</v>
      </c>
      <c r="C21" s="1116" t="s">
        <v>11</v>
      </c>
      <c r="D21" s="1113" t="s">
        <v>3053</v>
      </c>
      <c r="E21" s="1113"/>
      <c r="F21" s="1113"/>
      <c r="G21" s="1111" t="s">
        <v>3307</v>
      </c>
      <c r="H21" s="1114" t="s">
        <v>3313</v>
      </c>
    </row>
    <row r="22" spans="1:10" ht="16.5" thickBot="1">
      <c r="A22" s="1117"/>
      <c r="B22" s="1117"/>
      <c r="C22" s="1117"/>
      <c r="D22" s="108" t="s">
        <v>1531</v>
      </c>
      <c r="E22" s="108" t="s">
        <v>12</v>
      </c>
      <c r="F22" s="108" t="s">
        <v>3066</v>
      </c>
      <c r="G22" s="1112"/>
      <c r="H22" s="1115"/>
    </row>
    <row r="23" spans="1:10" s="98" customFormat="1">
      <c r="A23" s="224" t="s">
        <v>14</v>
      </c>
      <c r="B23" s="223" t="s">
        <v>3059</v>
      </c>
      <c r="C23" s="224"/>
      <c r="D23" s="225"/>
      <c r="E23" s="225"/>
      <c r="F23" s="225">
        <f>SUM(F24:F24)</f>
        <v>0</v>
      </c>
      <c r="G23" s="225">
        <f>SUM(G24)</f>
        <v>8531216.5050000008</v>
      </c>
      <c r="H23" s="225">
        <f>SUM(H24:H25)</f>
        <v>1064223.645</v>
      </c>
    </row>
    <row r="24" spans="1:10" s="98" customFormat="1">
      <c r="A24" s="99"/>
      <c r="B24" s="109" t="s">
        <v>3215</v>
      </c>
      <c r="C24" s="53" t="s">
        <v>3219</v>
      </c>
      <c r="D24" s="20"/>
      <c r="E24" s="20"/>
      <c r="F24" s="19"/>
      <c r="G24" s="494">
        <f>AUX.!K7</f>
        <v>8531216.5050000008</v>
      </c>
      <c r="H24" s="19"/>
    </row>
    <row r="25" spans="1:10" s="98" customFormat="1">
      <c r="A25" s="522"/>
      <c r="B25" s="437" t="s">
        <v>3148</v>
      </c>
      <c r="C25" s="438" t="s">
        <v>3219</v>
      </c>
      <c r="D25" s="246"/>
      <c r="E25" s="246"/>
      <c r="F25" s="383"/>
      <c r="G25" s="495">
        <f>RECUP.!$I$10</f>
        <v>1064223.645</v>
      </c>
      <c r="H25" s="19">
        <f>RECUP.!$I$10</f>
        <v>1064223.645</v>
      </c>
    </row>
    <row r="26" spans="1:10" s="98" customFormat="1">
      <c r="A26" s="99"/>
      <c r="B26" s="100"/>
      <c r="C26" s="53"/>
      <c r="D26" s="20"/>
      <c r="E26" s="20"/>
      <c r="F26" s="19"/>
      <c r="G26" s="19"/>
      <c r="H26" s="19"/>
    </row>
    <row r="27" spans="1:10" s="98" customFormat="1">
      <c r="A27" s="74" t="s">
        <v>19</v>
      </c>
      <c r="B27" s="101" t="s">
        <v>3105</v>
      </c>
      <c r="C27" s="411"/>
      <c r="D27" s="75"/>
      <c r="E27" s="75"/>
      <c r="F27" s="75"/>
      <c r="G27" s="75">
        <f>+G28+G34</f>
        <v>54062188.073315457</v>
      </c>
      <c r="H27" s="75">
        <f>+H28+H34</f>
        <v>1729017.7583999999</v>
      </c>
    </row>
    <row r="28" spans="1:10" s="120" customFormat="1">
      <c r="A28" s="402" t="s">
        <v>20</v>
      </c>
      <c r="B28" s="403" t="s">
        <v>3106</v>
      </c>
      <c r="C28" s="403"/>
      <c r="D28" s="403"/>
      <c r="E28" s="403" t="s">
        <v>3108</v>
      </c>
      <c r="F28" s="403"/>
      <c r="G28" s="404">
        <f>SUM(G29:G31)</f>
        <v>40237025.925795317</v>
      </c>
      <c r="H28" s="404">
        <f>SUM(H29:H32)</f>
        <v>1556456.4443999999</v>
      </c>
      <c r="J28" s="98"/>
    </row>
    <row r="29" spans="1:10" s="98" customFormat="1">
      <c r="A29" s="99"/>
      <c r="B29" s="109" t="s">
        <v>3060</v>
      </c>
      <c r="C29" s="412"/>
      <c r="D29" s="405"/>
      <c r="E29" s="405"/>
      <c r="F29" s="406"/>
      <c r="G29" s="494">
        <f>'RESUMO EBP'!G15</f>
        <v>15992877.268825945</v>
      </c>
      <c r="H29" s="435">
        <f>0</f>
        <v>0</v>
      </c>
    </row>
    <row r="30" spans="1:10" s="98" customFormat="1">
      <c r="A30" s="99"/>
      <c r="B30" s="109" t="s">
        <v>1443</v>
      </c>
      <c r="C30" s="99"/>
      <c r="D30" s="20"/>
      <c r="E30" s="20"/>
      <c r="F30" s="114"/>
      <c r="G30" s="494">
        <f>'RESUMO EBP'!G16</f>
        <v>3005704.8433357216</v>
      </c>
      <c r="H30" s="435"/>
    </row>
    <row r="31" spans="1:10" s="98" customFormat="1">
      <c r="A31" s="99"/>
      <c r="B31" s="109" t="s">
        <v>3212</v>
      </c>
      <c r="C31" s="99"/>
      <c r="D31" s="20"/>
      <c r="E31" s="20"/>
      <c r="F31" s="114"/>
      <c r="G31" s="494">
        <f>'RESUMO EBP'!G17</f>
        <v>21238443.813633647</v>
      </c>
      <c r="H31" s="435"/>
    </row>
    <row r="32" spans="1:10" s="98" customFormat="1">
      <c r="A32" s="99"/>
      <c r="B32" s="437" t="s">
        <v>3148</v>
      </c>
      <c r="C32" s="438" t="s">
        <v>3219</v>
      </c>
      <c r="D32" s="246"/>
      <c r="E32" s="246"/>
      <c r="F32" s="383"/>
      <c r="G32" s="750">
        <f>RECUP.!I19</f>
        <v>1556456.4443999999</v>
      </c>
      <c r="H32" s="383">
        <f>G32</f>
        <v>1556456.4443999999</v>
      </c>
    </row>
    <row r="33" spans="1:8" s="98" customFormat="1">
      <c r="A33" s="218"/>
      <c r="B33" s="217"/>
      <c r="C33" s="218"/>
      <c r="D33" s="219"/>
      <c r="E33" s="219"/>
      <c r="F33" s="221"/>
      <c r="G33" s="220"/>
      <c r="H33" s="220"/>
    </row>
    <row r="34" spans="1:8" s="120" customFormat="1">
      <c r="A34" s="402" t="s">
        <v>21</v>
      </c>
      <c r="B34" s="403" t="s">
        <v>3107</v>
      </c>
      <c r="C34" s="403"/>
      <c r="D34" s="403"/>
      <c r="E34" s="403" t="s">
        <v>3108</v>
      </c>
      <c r="F34" s="404"/>
      <c r="G34" s="404">
        <f>SUM(G35:G36)</f>
        <v>13825162.147520136</v>
      </c>
      <c r="H34" s="404">
        <f>SUM(H35:H37)</f>
        <v>172561.31400000001</v>
      </c>
    </row>
    <row r="35" spans="1:8" s="98" customFormat="1">
      <c r="A35" s="99"/>
      <c r="B35" s="109" t="s">
        <v>3544</v>
      </c>
      <c r="C35" s="412"/>
      <c r="D35" s="405"/>
      <c r="E35" s="405"/>
      <c r="F35" s="406"/>
      <c r="G35" s="494">
        <f>'RESUMO EBP'!G19</f>
        <v>3032340.2028516233</v>
      </c>
      <c r="H35" s="435">
        <v>0</v>
      </c>
    </row>
    <row r="36" spans="1:8" s="98" customFormat="1">
      <c r="A36" s="99"/>
      <c r="B36" s="109" t="s">
        <v>3547</v>
      </c>
      <c r="C36" s="412"/>
      <c r="D36" s="405"/>
      <c r="E36" s="405"/>
      <c r="F36" s="406"/>
      <c r="G36" s="494">
        <f>'RESUMO EBP'!G20</f>
        <v>10792821.944668513</v>
      </c>
      <c r="H36" s="435">
        <v>0</v>
      </c>
    </row>
    <row r="37" spans="1:8" s="98" customFormat="1">
      <c r="A37" s="99"/>
      <c r="B37" s="437" t="s">
        <v>3148</v>
      </c>
      <c r="C37" s="438" t="s">
        <v>3219</v>
      </c>
      <c r="D37" s="246"/>
      <c r="E37" s="246"/>
      <c r="F37" s="383"/>
      <c r="G37" s="750">
        <f>RECUP.!I27</f>
        <v>172561.31400000001</v>
      </c>
      <c r="H37" s="383">
        <f>G37</f>
        <v>172561.31400000001</v>
      </c>
    </row>
    <row r="38" spans="1:8" s="98" customFormat="1">
      <c r="A38" s="401"/>
      <c r="B38" s="100"/>
      <c r="C38" s="99"/>
      <c r="D38" s="20"/>
      <c r="E38" s="20"/>
      <c r="F38" s="19"/>
      <c r="G38" s="19"/>
      <c r="H38" s="19"/>
    </row>
    <row r="39" spans="1:8" s="98" customFormat="1">
      <c r="A39" s="74" t="s">
        <v>22</v>
      </c>
      <c r="B39" s="101" t="s">
        <v>3435</v>
      </c>
      <c r="C39" s="74"/>
      <c r="D39" s="75"/>
      <c r="E39" s="75"/>
      <c r="F39" s="75" t="e">
        <f>#REF!</f>
        <v>#REF!</v>
      </c>
      <c r="G39" s="75">
        <f>SUM(G40:G43)</f>
        <v>28466387.516885519</v>
      </c>
      <c r="H39" s="75">
        <f>SUM(H40:H43)</f>
        <v>67217.344380312425</v>
      </c>
    </row>
    <row r="40" spans="1:8" s="98" customFormat="1">
      <c r="A40" s="752" t="s">
        <v>23</v>
      </c>
      <c r="B40" s="753" t="s">
        <v>3557</v>
      </c>
      <c r="C40" s="754"/>
      <c r="D40" s="751"/>
      <c r="E40" s="751"/>
      <c r="F40" s="751"/>
      <c r="G40" s="751">
        <f>'RESUMO EBP'!G22</f>
        <v>416055.00775930646</v>
      </c>
      <c r="H40" s="751"/>
    </row>
    <row r="41" spans="1:8" s="98" customFormat="1">
      <c r="A41" s="752" t="s">
        <v>24</v>
      </c>
      <c r="B41" s="753" t="s">
        <v>3558</v>
      </c>
      <c r="C41" s="754"/>
      <c r="D41" s="751"/>
      <c r="E41" s="751"/>
      <c r="F41" s="751"/>
      <c r="G41" s="751">
        <f>'RESUMO EBP'!G23</f>
        <v>199133.44906246947</v>
      </c>
      <c r="H41" s="751">
        <f>[2]RESUMO!$G$22</f>
        <v>54806.126375256426</v>
      </c>
    </row>
    <row r="42" spans="1:8" s="98" customFormat="1">
      <c r="A42" s="752" t="s">
        <v>3548</v>
      </c>
      <c r="B42" s="753" t="s">
        <v>3559</v>
      </c>
      <c r="C42" s="754"/>
      <c r="D42" s="751"/>
      <c r="E42" s="751"/>
      <c r="F42" s="751"/>
      <c r="G42" s="751">
        <f>'RESUMO EBP'!G24</f>
        <v>3866855.4612843725</v>
      </c>
      <c r="H42" s="751"/>
    </row>
    <row r="43" spans="1:8" s="98" customFormat="1">
      <c r="A43" s="413" t="s">
        <v>3549</v>
      </c>
      <c r="B43" s="416" t="s">
        <v>1546</v>
      </c>
      <c r="C43" s="414"/>
      <c r="D43" s="415"/>
      <c r="E43" s="415"/>
      <c r="F43" s="415" t="e">
        <f>#REF!</f>
        <v>#REF!</v>
      </c>
      <c r="G43" s="415">
        <f>SUM(G44:G48)</f>
        <v>23984343.598779369</v>
      </c>
      <c r="H43" s="415">
        <f>SUM(H44:H48)</f>
        <v>12411.218005055998</v>
      </c>
    </row>
    <row r="44" spans="1:8" s="98" customFormat="1">
      <c r="A44" s="99" t="s">
        <v>3560</v>
      </c>
      <c r="B44" s="100" t="s">
        <v>3484</v>
      </c>
      <c r="C44" s="19"/>
      <c r="D44" s="19"/>
      <c r="E44" s="19"/>
      <c r="F44" s="20" t="e">
        <f>#REF!</f>
        <v>#REF!</v>
      </c>
      <c r="G44" s="571">
        <f>'RESUMO EBP'!G26</f>
        <v>11962887.265733413</v>
      </c>
      <c r="H44" s="491">
        <f>[2]RESUMO!$G$23</f>
        <v>12411.218005055998</v>
      </c>
    </row>
    <row r="45" spans="1:8" s="98" customFormat="1">
      <c r="A45" s="99" t="s">
        <v>3561</v>
      </c>
      <c r="B45" s="100" t="s">
        <v>3499</v>
      </c>
      <c r="C45" s="99"/>
      <c r="D45" s="19"/>
      <c r="E45" s="19"/>
      <c r="F45" s="19" t="e">
        <f>#REF!</f>
        <v>#REF!</v>
      </c>
      <c r="G45" s="571">
        <f>'RESUMO EBP'!G27</f>
        <v>352250.6986846847</v>
      </c>
      <c r="H45" s="435">
        <v>0</v>
      </c>
    </row>
    <row r="46" spans="1:8" s="98" customFormat="1">
      <c r="A46" s="99" t="s">
        <v>3562</v>
      </c>
      <c r="B46" s="100" t="s">
        <v>1392</v>
      </c>
      <c r="C46" s="99"/>
      <c r="D46" s="19"/>
      <c r="E46" s="19"/>
      <c r="F46" s="19"/>
      <c r="G46" s="571">
        <f>'RESUMO EBP'!G28</f>
        <v>1487043.7942199423</v>
      </c>
      <c r="H46" s="435"/>
    </row>
    <row r="47" spans="1:8" s="98" customFormat="1">
      <c r="A47" s="99" t="s">
        <v>3563</v>
      </c>
      <c r="B47" s="100" t="s">
        <v>3502</v>
      </c>
      <c r="C47" s="99"/>
      <c r="D47" s="19"/>
      <c r="E47" s="19"/>
      <c r="F47" s="19"/>
      <c r="G47" s="571">
        <f>'RESUMO EBP'!G29</f>
        <v>10182161.840141328</v>
      </c>
      <c r="H47" s="435"/>
    </row>
    <row r="48" spans="1:8" s="98" customFormat="1">
      <c r="A48" s="99"/>
      <c r="B48" s="437" t="s">
        <v>3148</v>
      </c>
      <c r="C48" s="438" t="s">
        <v>3219</v>
      </c>
      <c r="D48" s="246"/>
      <c r="E48" s="246"/>
      <c r="F48" s="383"/>
      <c r="G48" s="383"/>
      <c r="H48" s="750"/>
    </row>
    <row r="49" spans="1:10" s="98" customFormat="1">
      <c r="A49" s="99"/>
      <c r="B49" s="100"/>
      <c r="C49" s="181"/>
      <c r="D49" s="20"/>
      <c r="E49" s="20"/>
      <c r="F49" s="19"/>
      <c r="G49" s="19"/>
      <c r="H49" s="19"/>
    </row>
    <row r="50" spans="1:10" s="98" customFormat="1">
      <c r="A50" s="74" t="s">
        <v>27</v>
      </c>
      <c r="B50" s="101" t="s">
        <v>1393</v>
      </c>
      <c r="C50" s="74"/>
      <c r="D50" s="75"/>
      <c r="E50" s="75"/>
      <c r="F50" s="75" t="e">
        <f>#REF!</f>
        <v>#REF!</v>
      </c>
      <c r="G50" s="75">
        <f>G51+G53</f>
        <v>15950794.445035007</v>
      </c>
      <c r="H50" s="75">
        <f>H51+H53</f>
        <v>40161.713472517709</v>
      </c>
    </row>
    <row r="51" spans="1:10" s="98" customFormat="1">
      <c r="A51" s="413" t="s">
        <v>28</v>
      </c>
      <c r="B51" s="410" t="s">
        <v>1394</v>
      </c>
      <c r="C51" s="414"/>
      <c r="D51" s="415"/>
      <c r="E51" s="415"/>
      <c r="F51" s="415" t="e">
        <f>#REF!</f>
        <v>#REF!</v>
      </c>
      <c r="G51" s="574">
        <f>SUM(G52)</f>
        <v>3709919.0108643449</v>
      </c>
      <c r="H51" s="415">
        <f>SUM(H52)</f>
        <v>39272.47237251771</v>
      </c>
    </row>
    <row r="52" spans="1:10" s="98" customFormat="1">
      <c r="A52" s="99" t="s">
        <v>29</v>
      </c>
      <c r="B52" s="100" t="s">
        <v>1395</v>
      </c>
      <c r="C52" s="99"/>
      <c r="D52" s="20"/>
      <c r="E52" s="20"/>
      <c r="F52" s="20" t="e">
        <f>#REF!</f>
        <v>#REF!</v>
      </c>
      <c r="G52" s="493">
        <f>'RESUMO EBP'!G31</f>
        <v>3709919.0108643449</v>
      </c>
      <c r="H52" s="435">
        <f>[2]RESUMO!$G$25</f>
        <v>39272.47237251771</v>
      </c>
    </row>
    <row r="53" spans="1:10" s="98" customFormat="1">
      <c r="A53" s="413" t="s">
        <v>30</v>
      </c>
      <c r="B53" s="410" t="s">
        <v>1546</v>
      </c>
      <c r="C53" s="414"/>
      <c r="D53" s="415"/>
      <c r="E53" s="415"/>
      <c r="F53" s="415" t="e">
        <f>#REF!</f>
        <v>#REF!</v>
      </c>
      <c r="G53" s="415">
        <f>SUM(G54:G56)</f>
        <v>12240875.434170661</v>
      </c>
      <c r="H53" s="415">
        <f>SUM(H54:H56)</f>
        <v>889.24109999999996</v>
      </c>
      <c r="J53" s="382"/>
    </row>
    <row r="54" spans="1:10" s="98" customFormat="1">
      <c r="A54" s="99" t="s">
        <v>31</v>
      </c>
      <c r="B54" s="100" t="s">
        <v>1397</v>
      </c>
      <c r="C54" s="99"/>
      <c r="D54" s="20"/>
      <c r="E54" s="20"/>
      <c r="F54" s="20" t="e">
        <f>#REF!</f>
        <v>#REF!</v>
      </c>
      <c r="G54" s="493">
        <f>'RESUMO EBP'!G33</f>
        <v>10654537.784824457</v>
      </c>
      <c r="H54" s="435">
        <v>0</v>
      </c>
    </row>
    <row r="55" spans="1:10" s="98" customFormat="1">
      <c r="A55" s="99" t="s">
        <v>32</v>
      </c>
      <c r="B55" s="100" t="s">
        <v>3506</v>
      </c>
      <c r="C55" s="99"/>
      <c r="D55" s="20"/>
      <c r="E55" s="20"/>
      <c r="F55" s="20" t="e">
        <f>#REF!</f>
        <v>#REF!</v>
      </c>
      <c r="G55" s="493">
        <f>'RESUMO EBP'!G34</f>
        <v>1586337.6493462047</v>
      </c>
      <c r="H55" s="435">
        <f>[2]RESUMO!$G$26</f>
        <v>889.24109999999996</v>
      </c>
    </row>
    <row r="56" spans="1:10" s="98" customFormat="1">
      <c r="A56" s="99"/>
      <c r="B56" s="437" t="s">
        <v>3148</v>
      </c>
      <c r="C56" s="438" t="s">
        <v>3219</v>
      </c>
      <c r="D56" s="246"/>
      <c r="E56" s="246"/>
      <c r="F56" s="383"/>
      <c r="G56" s="383"/>
      <c r="H56" s="435"/>
    </row>
    <row r="57" spans="1:10" s="98" customFormat="1">
      <c r="A57" s="99"/>
      <c r="B57" s="100"/>
      <c r="C57" s="99"/>
      <c r="D57" s="20"/>
      <c r="E57" s="20"/>
      <c r="F57" s="19"/>
      <c r="G57" s="19"/>
      <c r="H57" s="19"/>
    </row>
    <row r="58" spans="1:10" s="98" customFormat="1">
      <c r="A58" s="74" t="s">
        <v>34</v>
      </c>
      <c r="B58" s="101" t="s">
        <v>1399</v>
      </c>
      <c r="C58" s="74"/>
      <c r="D58" s="75"/>
      <c r="E58" s="72"/>
      <c r="F58" s="75" t="e">
        <f>#REF!</f>
        <v>#REF!</v>
      </c>
      <c r="G58" s="75">
        <f>G59+G61+G62</f>
        <v>41290025.552699417</v>
      </c>
      <c r="H58" s="75">
        <f>H59+H61+H62+H67</f>
        <v>2807499.9259206252</v>
      </c>
    </row>
    <row r="59" spans="1:10" s="98" customFormat="1">
      <c r="A59" s="413" t="s">
        <v>35</v>
      </c>
      <c r="B59" s="410" t="s">
        <v>1400</v>
      </c>
      <c r="C59" s="414"/>
      <c r="D59" s="415"/>
      <c r="E59" s="415"/>
      <c r="F59" s="415" t="e">
        <f>#REF!</f>
        <v>#REF!</v>
      </c>
      <c r="G59" s="574">
        <f>SUM(G60)</f>
        <v>9119905.2194131427</v>
      </c>
      <c r="H59" s="489">
        <f>H60</f>
        <v>419399.07113130484</v>
      </c>
    </row>
    <row r="60" spans="1:10" s="98" customFormat="1">
      <c r="A60" s="99" t="s">
        <v>36</v>
      </c>
      <c r="B60" s="100" t="s">
        <v>3510</v>
      </c>
      <c r="C60" s="99"/>
      <c r="D60" s="19"/>
      <c r="E60" s="19"/>
      <c r="F60" s="19" t="e">
        <f>#REF!</f>
        <v>#REF!</v>
      </c>
      <c r="G60" s="19">
        <f>'RESUMO EBP'!G36</f>
        <v>9119905.2194131427</v>
      </c>
      <c r="H60" s="19">
        <f>[2]RESUMO!$G$28</f>
        <v>419399.07113130484</v>
      </c>
    </row>
    <row r="61" spans="1:10" s="98" customFormat="1">
      <c r="A61" s="413" t="s">
        <v>37</v>
      </c>
      <c r="B61" s="410" t="s">
        <v>3513</v>
      </c>
      <c r="C61" s="414"/>
      <c r="D61" s="415"/>
      <c r="E61" s="415"/>
      <c r="F61" s="415" t="e">
        <f>#REF!</f>
        <v>#REF!</v>
      </c>
      <c r="G61" s="489">
        <f>'RESUMO EBP'!G37</f>
        <v>3988339.1190416301</v>
      </c>
      <c r="H61" s="489">
        <f>[2]RESUMO!$G$29</f>
        <v>1463257.0059359327</v>
      </c>
    </row>
    <row r="62" spans="1:10" s="98" customFormat="1">
      <c r="A62" s="413" t="s">
        <v>38</v>
      </c>
      <c r="B62" s="410" t="s">
        <v>3565</v>
      </c>
      <c r="C62" s="414"/>
      <c r="D62" s="415"/>
      <c r="E62" s="415"/>
      <c r="F62" s="415" t="e">
        <f>#REF!</f>
        <v>#REF!</v>
      </c>
      <c r="G62" s="574">
        <f>SUM(G63:G66)</f>
        <v>28181781.214244649</v>
      </c>
      <c r="H62" s="415">
        <f>[2]RESUMO!$G$30</f>
        <v>924843.84885338775</v>
      </c>
    </row>
    <row r="63" spans="1:10" s="98" customFormat="1">
      <c r="A63" s="99" t="s">
        <v>39</v>
      </c>
      <c r="B63" s="100" t="s">
        <v>1391</v>
      </c>
      <c r="C63" s="754"/>
      <c r="D63" s="751"/>
      <c r="E63" s="751"/>
      <c r="F63" s="751"/>
      <c r="G63" s="19">
        <f>'RESUMO EBP'!G39</f>
        <v>12149945.697407898</v>
      </c>
      <c r="H63" s="19"/>
    </row>
    <row r="64" spans="1:10" s="98" customFormat="1">
      <c r="A64" s="99" t="s">
        <v>40</v>
      </c>
      <c r="B64" s="100" t="s">
        <v>3816</v>
      </c>
      <c r="C64" s="754"/>
      <c r="D64" s="751"/>
      <c r="E64" s="751"/>
      <c r="F64" s="751"/>
      <c r="G64" s="19">
        <f>'RESUMO EBP'!G40</f>
        <v>878479.89873616106</v>
      </c>
      <c r="H64" s="19"/>
    </row>
    <row r="65" spans="1:8" s="98" customFormat="1">
      <c r="A65" s="99" t="s">
        <v>41</v>
      </c>
      <c r="B65" s="100" t="s">
        <v>3817</v>
      </c>
      <c r="C65" s="754"/>
      <c r="D65" s="751"/>
      <c r="E65" s="751"/>
      <c r="F65" s="751"/>
      <c r="G65" s="19">
        <f>'RESUMO EBP'!G41</f>
        <v>10182161.840141328</v>
      </c>
      <c r="H65" s="19"/>
    </row>
    <row r="66" spans="1:8" s="98" customFormat="1">
      <c r="A66" s="99" t="s">
        <v>42</v>
      </c>
      <c r="B66" s="100" t="s">
        <v>3569</v>
      </c>
      <c r="C66" s="754"/>
      <c r="D66" s="751"/>
      <c r="E66" s="751"/>
      <c r="F66" s="751"/>
      <c r="G66" s="19">
        <f>'RESUMO EBP'!G42</f>
        <v>4971193.777959263</v>
      </c>
      <c r="H66" s="19"/>
    </row>
    <row r="67" spans="1:8" s="98" customFormat="1">
      <c r="A67" s="99"/>
      <c r="B67" s="437" t="s">
        <v>3148</v>
      </c>
      <c r="C67" s="438" t="s">
        <v>3219</v>
      </c>
      <c r="D67" s="246"/>
      <c r="E67" s="246"/>
      <c r="F67" s="383"/>
      <c r="G67" s="383"/>
      <c r="H67" s="19"/>
    </row>
    <row r="68" spans="1:8" s="98" customFormat="1">
      <c r="A68" s="99"/>
      <c r="B68" s="100"/>
      <c r="C68" s="99"/>
      <c r="D68" s="20"/>
      <c r="E68" s="20"/>
      <c r="F68" s="19"/>
      <c r="G68" s="19"/>
      <c r="H68" s="19"/>
    </row>
    <row r="69" spans="1:8" s="98" customFormat="1">
      <c r="A69" s="74" t="s">
        <v>44</v>
      </c>
      <c r="B69" s="101" t="s">
        <v>1406</v>
      </c>
      <c r="C69" s="74"/>
      <c r="D69" s="75"/>
      <c r="E69" s="75"/>
      <c r="F69" s="75" t="e">
        <f>#REF!</f>
        <v>#REF!</v>
      </c>
      <c r="G69" s="75">
        <f>G70+G71</f>
        <v>18344926.695747867</v>
      </c>
      <c r="H69" s="75">
        <f>H70+H71+H74</f>
        <v>26698.377880650001</v>
      </c>
    </row>
    <row r="70" spans="1:8" s="98" customFormat="1">
      <c r="A70" s="91" t="s">
        <v>45</v>
      </c>
      <c r="B70" s="102" t="s">
        <v>1407</v>
      </c>
      <c r="C70" s="85"/>
      <c r="D70" s="64"/>
      <c r="E70" s="64"/>
      <c r="F70" s="64" t="e">
        <f>#REF!</f>
        <v>#REF!</v>
      </c>
      <c r="G70" s="584">
        <f>'RESUMO EBP'!G44</f>
        <v>4023682.1922454233</v>
      </c>
      <c r="H70" s="64">
        <f>[2]RESUMO!$G$32</f>
        <v>26698.377880650001</v>
      </c>
    </row>
    <row r="71" spans="1:8" s="98" customFormat="1">
      <c r="A71" s="91" t="s">
        <v>46</v>
      </c>
      <c r="B71" s="103" t="s">
        <v>3565</v>
      </c>
      <c r="C71" s="85"/>
      <c r="D71" s="64"/>
      <c r="E71" s="64"/>
      <c r="F71" s="64" t="e">
        <f>#REF!</f>
        <v>#REF!</v>
      </c>
      <c r="G71" s="64">
        <f>SUM(G72:G73)</f>
        <v>14321244.503502443</v>
      </c>
      <c r="H71" s="64">
        <f>SUM(H72:H74)</f>
        <v>0</v>
      </c>
    </row>
    <row r="72" spans="1:8" s="98" customFormat="1">
      <c r="A72" s="81" t="s">
        <v>47</v>
      </c>
      <c r="B72" s="508" t="s">
        <v>1397</v>
      </c>
      <c r="C72" s="81"/>
      <c r="D72" s="83"/>
      <c r="E72" s="83"/>
      <c r="F72" s="83" t="e">
        <f>#REF!</f>
        <v>#REF!</v>
      </c>
      <c r="G72" s="493">
        <f>'RESUMO EBP'!G45</f>
        <v>12730313.597934453</v>
      </c>
      <c r="H72" s="491">
        <v>0</v>
      </c>
    </row>
    <row r="73" spans="1:8" s="98" customFormat="1">
      <c r="A73" s="81" t="s">
        <v>48</v>
      </c>
      <c r="B73" s="100" t="s">
        <v>3506</v>
      </c>
      <c r="C73" s="81"/>
      <c r="D73" s="83"/>
      <c r="E73" s="83"/>
      <c r="F73" s="83" t="e">
        <f>#REF!</f>
        <v>#REF!</v>
      </c>
      <c r="G73" s="493">
        <f>'RESUMO EBP'!G46</f>
        <v>1590930.9055679915</v>
      </c>
      <c r="H73" s="491">
        <v>0</v>
      </c>
    </row>
    <row r="74" spans="1:8" s="98" customFormat="1">
      <c r="A74" s="99"/>
      <c r="B74" s="437" t="s">
        <v>3148</v>
      </c>
      <c r="C74" s="438" t="s">
        <v>3219</v>
      </c>
      <c r="D74" s="246"/>
      <c r="E74" s="246"/>
      <c r="F74" s="383"/>
      <c r="G74" s="383"/>
      <c r="H74" s="750"/>
    </row>
    <row r="75" spans="1:8" s="98" customFormat="1">
      <c r="A75" s="99"/>
      <c r="B75" s="100"/>
      <c r="C75" s="99"/>
      <c r="D75" s="20"/>
      <c r="E75" s="20"/>
      <c r="F75" s="19"/>
      <c r="G75" s="19"/>
      <c r="H75" s="435"/>
    </row>
    <row r="76" spans="1:8" s="98" customFormat="1">
      <c r="A76" s="74" t="s">
        <v>50</v>
      </c>
      <c r="B76" s="101" t="s">
        <v>1408</v>
      </c>
      <c r="C76" s="74"/>
      <c r="D76" s="75"/>
      <c r="E76" s="75"/>
      <c r="F76" s="75" t="e">
        <f>#REF!</f>
        <v>#REF!</v>
      </c>
      <c r="G76" s="75">
        <f>SUM(G77:G78)</f>
        <v>630279.64072120958</v>
      </c>
      <c r="H76" s="910">
        <f>SUM(H77:H79)</f>
        <v>630279.64072120958</v>
      </c>
    </row>
    <row r="77" spans="1:8" s="98" customFormat="1">
      <c r="A77" s="91" t="s">
        <v>51</v>
      </c>
      <c r="B77" s="102" t="s">
        <v>1407</v>
      </c>
      <c r="C77" s="85"/>
      <c r="D77" s="64"/>
      <c r="E77" s="64"/>
      <c r="F77" s="64" t="e">
        <f>#REF!</f>
        <v>#REF!</v>
      </c>
      <c r="G77" s="574">
        <f>H77</f>
        <v>341562.97842651518</v>
      </c>
      <c r="H77" s="63">
        <f>[2]RESUMO!$G$35</f>
        <v>341562.97842651518</v>
      </c>
    </row>
    <row r="78" spans="1:8" s="98" customFormat="1">
      <c r="A78" s="91" t="s">
        <v>52</v>
      </c>
      <c r="B78" s="103" t="s">
        <v>3565</v>
      </c>
      <c r="C78" s="85"/>
      <c r="D78" s="63"/>
      <c r="E78" s="63">
        <v>0</v>
      </c>
      <c r="F78" s="63" t="e">
        <f>#REF!</f>
        <v>#REF!</v>
      </c>
      <c r="G78" s="574">
        <f>H78</f>
        <v>288716.6622946944</v>
      </c>
      <c r="H78" s="63">
        <f>[2]RESUMO!$G$36</f>
        <v>288716.6622946944</v>
      </c>
    </row>
    <row r="79" spans="1:8" s="98" customFormat="1">
      <c r="A79" s="99"/>
      <c r="B79" s="437" t="s">
        <v>3148</v>
      </c>
      <c r="C79" s="438" t="s">
        <v>3219</v>
      </c>
      <c r="D79" s="246"/>
      <c r="E79" s="246"/>
      <c r="F79" s="383"/>
      <c r="G79" s="383"/>
      <c r="H79" s="383"/>
    </row>
    <row r="80" spans="1:8" s="98" customFormat="1">
      <c r="A80" s="99"/>
      <c r="B80" s="100"/>
      <c r="C80" s="181"/>
      <c r="D80" s="20"/>
      <c r="E80" s="20"/>
      <c r="F80" s="19"/>
      <c r="G80" s="19"/>
      <c r="H80" s="19"/>
    </row>
    <row r="81" spans="1:8" s="98" customFormat="1">
      <c r="A81" s="74" t="s">
        <v>53</v>
      </c>
      <c r="B81" s="101" t="s">
        <v>1410</v>
      </c>
      <c r="C81" s="74"/>
      <c r="D81" s="75"/>
      <c r="E81" s="75"/>
      <c r="F81" s="75" t="e">
        <f>#REF!</f>
        <v>#REF!</v>
      </c>
      <c r="G81" s="75">
        <f>G82+G87+G90+G95+G97+G100+G103+G106</f>
        <v>90222619.551440552</v>
      </c>
      <c r="H81" s="75">
        <f>H82+H87+H90+H95+H97+H100+H103+H106+H109</f>
        <v>7678649.6847896744</v>
      </c>
    </row>
    <row r="82" spans="1:8" s="98" customFormat="1">
      <c r="A82" s="91" t="s">
        <v>54</v>
      </c>
      <c r="B82" s="102" t="s">
        <v>1411</v>
      </c>
      <c r="C82" s="91"/>
      <c r="D82" s="63"/>
      <c r="E82" s="63"/>
      <c r="F82" s="63" t="e">
        <f>#REF!</f>
        <v>#REF!</v>
      </c>
      <c r="G82" s="574">
        <f>SUM(G83:G86)</f>
        <v>69912779.307021394</v>
      </c>
      <c r="H82" s="63">
        <f>SUM(H83:H86)</f>
        <v>488405.53546429914</v>
      </c>
    </row>
    <row r="83" spans="1:8" s="98" customFormat="1">
      <c r="A83" s="81" t="s">
        <v>55</v>
      </c>
      <c r="B83" s="508" t="s">
        <v>1412</v>
      </c>
      <c r="C83" s="81"/>
      <c r="D83" s="82"/>
      <c r="E83" s="82"/>
      <c r="F83" s="82" t="e">
        <f>#REF!</f>
        <v>#REF!</v>
      </c>
      <c r="G83" s="494">
        <f>'RESUMO CANAIS'!G15</f>
        <v>68077671.141938135</v>
      </c>
      <c r="H83" s="83">
        <f>[2]RESUMO!$G$39</f>
        <v>488405.53546429914</v>
      </c>
    </row>
    <row r="84" spans="1:8" s="98" customFormat="1">
      <c r="A84" s="81" t="s">
        <v>75</v>
      </c>
      <c r="B84" s="508" t="s">
        <v>1413</v>
      </c>
      <c r="C84" s="81"/>
      <c r="D84" s="82"/>
      <c r="E84" s="82"/>
      <c r="F84" s="82" t="e">
        <f>#REF!</f>
        <v>#REF!</v>
      </c>
      <c r="G84" s="494">
        <f>'RESUMO CANAIS'!G16</f>
        <v>234604.3432515497</v>
      </c>
      <c r="H84" s="82"/>
    </row>
    <row r="85" spans="1:8" s="98" customFormat="1">
      <c r="A85" s="81" t="s">
        <v>80</v>
      </c>
      <c r="B85" s="508" t="s">
        <v>1414</v>
      </c>
      <c r="C85" s="81"/>
      <c r="D85" s="82"/>
      <c r="E85" s="83"/>
      <c r="F85" s="82" t="e">
        <f>#REF!</f>
        <v>#REF!</v>
      </c>
      <c r="G85" s="494">
        <f>'RESUMO CANAIS'!G17</f>
        <v>1508894.2838234776</v>
      </c>
      <c r="H85" s="82"/>
    </row>
    <row r="86" spans="1:8" s="98" customFormat="1">
      <c r="A86" s="93" t="s">
        <v>90</v>
      </c>
      <c r="B86" s="509" t="s">
        <v>1415</v>
      </c>
      <c r="C86" s="93"/>
      <c r="D86" s="82"/>
      <c r="E86" s="83"/>
      <c r="F86" s="82" t="e">
        <f>#REF!</f>
        <v>#REF!</v>
      </c>
      <c r="G86" s="494">
        <f>'RESUMO CANAIS'!G18</f>
        <v>91609.538008224379</v>
      </c>
      <c r="H86" s="82"/>
    </row>
    <row r="87" spans="1:8" s="98" customFormat="1">
      <c r="A87" s="91" t="s">
        <v>98</v>
      </c>
      <c r="B87" s="102" t="s">
        <v>1417</v>
      </c>
      <c r="C87" s="91"/>
      <c r="D87" s="64"/>
      <c r="E87" s="64"/>
      <c r="F87" s="64" t="e">
        <f>#REF!</f>
        <v>#REF!</v>
      </c>
      <c r="G87" s="64">
        <f>SUM(G88:G89)</f>
        <v>3009101.840131646</v>
      </c>
      <c r="H87" s="64">
        <f>SUM(H88:H89)</f>
        <v>261593.66743822768</v>
      </c>
    </row>
    <row r="88" spans="1:8" s="98" customFormat="1">
      <c r="A88" s="81" t="s">
        <v>99</v>
      </c>
      <c r="B88" s="784" t="s">
        <v>1394</v>
      </c>
      <c r="C88" s="754"/>
      <c r="D88" s="435"/>
      <c r="E88" s="491"/>
      <c r="F88" s="435" t="e">
        <f>#REF!</f>
        <v>#REF!</v>
      </c>
      <c r="G88" s="494">
        <f>'RESUMO CANAIS'!G20</f>
        <v>1581719.9722807154</v>
      </c>
      <c r="H88" s="82">
        <f>[2]RESUMO!$G$41</f>
        <v>230622.50093621167</v>
      </c>
    </row>
    <row r="89" spans="1:8" s="98" customFormat="1">
      <c r="A89" s="81" t="s">
        <v>121</v>
      </c>
      <c r="B89" s="784" t="s">
        <v>3565</v>
      </c>
      <c r="C89" s="754"/>
      <c r="D89" s="435"/>
      <c r="E89" s="491"/>
      <c r="F89" s="435" t="e">
        <f>#REF!</f>
        <v>#REF!</v>
      </c>
      <c r="G89" s="494">
        <f>'RESUMO CANAIS'!G21</f>
        <v>1427381.8678509309</v>
      </c>
      <c r="H89" s="82">
        <f>[2]RESUMO!$G$42</f>
        <v>30971.166502016</v>
      </c>
    </row>
    <row r="90" spans="1:8" s="98" customFormat="1">
      <c r="A90" s="91" t="s">
        <v>127</v>
      </c>
      <c r="B90" s="102" t="s">
        <v>1419</v>
      </c>
      <c r="C90" s="91"/>
      <c r="D90" s="63"/>
      <c r="E90" s="63"/>
      <c r="F90" s="63" t="e">
        <f>#REF!</f>
        <v>#REF!</v>
      </c>
      <c r="G90" s="63">
        <f>SUM(G91:G94)</f>
        <v>7055422.1291441852</v>
      </c>
      <c r="H90" s="64">
        <f>SUM(H91:H94)</f>
        <v>526758.55330752512</v>
      </c>
    </row>
    <row r="91" spans="1:8" s="98" customFormat="1">
      <c r="A91" s="81" t="s">
        <v>128</v>
      </c>
      <c r="B91" s="784" t="s">
        <v>1394</v>
      </c>
      <c r="C91" s="754"/>
      <c r="D91" s="435"/>
      <c r="E91" s="491"/>
      <c r="F91" s="435" t="e">
        <f>#REF!</f>
        <v>#REF!</v>
      </c>
      <c r="G91" s="494">
        <f>'RESUMO CANAIS'!G23</f>
        <v>1767432.9369452605</v>
      </c>
      <c r="H91" s="82">
        <f>[2]RESUMO!$G$44</f>
        <v>205681.84506296791</v>
      </c>
    </row>
    <row r="92" spans="1:8" s="98" customFormat="1">
      <c r="A92" s="81" t="s">
        <v>160</v>
      </c>
      <c r="B92" s="784" t="s">
        <v>1546</v>
      </c>
      <c r="C92" s="754"/>
      <c r="D92" s="435"/>
      <c r="E92" s="491"/>
      <c r="F92" s="435" t="e">
        <f>#REF!</f>
        <v>#REF!</v>
      </c>
      <c r="G92" s="494">
        <f>'RESUMO CANAIS'!G24</f>
        <v>2496835.5806962047</v>
      </c>
      <c r="H92" s="82">
        <f>[2]RESUMO!$G$45</f>
        <v>152073.11204247555</v>
      </c>
    </row>
    <row r="93" spans="1:8" s="98" customFormat="1">
      <c r="A93" s="81" t="s">
        <v>171</v>
      </c>
      <c r="B93" s="766" t="s">
        <v>1423</v>
      </c>
      <c r="C93" s="754"/>
      <c r="D93" s="435"/>
      <c r="E93" s="491"/>
      <c r="F93" s="435" t="e">
        <f>#REF!</f>
        <v>#REF!</v>
      </c>
      <c r="G93" s="494">
        <f>'RESUMO CANAIS'!G25</f>
        <v>1568499.4115098109</v>
      </c>
      <c r="H93" s="82">
        <f>[2]RESUMO!$G$46</f>
        <v>169003.59620208168</v>
      </c>
    </row>
    <row r="94" spans="1:8" s="98" customFormat="1">
      <c r="A94" s="81" t="s">
        <v>182</v>
      </c>
      <c r="B94" s="784" t="s">
        <v>3565</v>
      </c>
      <c r="C94" s="754"/>
      <c r="D94" s="435"/>
      <c r="E94" s="491"/>
      <c r="F94" s="435" t="e">
        <f>#REF!</f>
        <v>#REF!</v>
      </c>
      <c r="G94" s="494">
        <f>'RESUMO CANAIS'!G26</f>
        <v>1222654.1999929089</v>
      </c>
      <c r="H94" s="82"/>
    </row>
    <row r="95" spans="1:8" s="98" customFormat="1">
      <c r="A95" s="91" t="s">
        <v>186</v>
      </c>
      <c r="B95" s="102" t="s">
        <v>3809</v>
      </c>
      <c r="C95" s="91"/>
      <c r="D95" s="63"/>
      <c r="E95" s="63"/>
      <c r="F95" s="63" t="e">
        <f>#REF!</f>
        <v>#REF!</v>
      </c>
      <c r="G95" s="574">
        <f>SUM(G96)</f>
        <v>2751453.1104051447</v>
      </c>
      <c r="H95" s="63">
        <f>H96</f>
        <v>86248.823535802352</v>
      </c>
    </row>
    <row r="96" spans="1:8" s="98" customFormat="1">
      <c r="A96" s="81" t="s">
        <v>187</v>
      </c>
      <c r="B96" s="784" t="s">
        <v>1412</v>
      </c>
      <c r="C96" s="754"/>
      <c r="D96" s="491"/>
      <c r="E96" s="491"/>
      <c r="F96" s="491" t="e">
        <f>#REF!</f>
        <v>#REF!</v>
      </c>
      <c r="G96" s="493">
        <f>'RESUMO CANAIS'!G28</f>
        <v>2751453.1104051447</v>
      </c>
      <c r="H96" s="82">
        <f>[2]RESUMO!$G$48</f>
        <v>86248.823535802352</v>
      </c>
    </row>
    <row r="97" spans="1:9" s="98" customFormat="1">
      <c r="A97" s="91" t="s">
        <v>206</v>
      </c>
      <c r="B97" s="102" t="s">
        <v>1426</v>
      </c>
      <c r="C97" s="91"/>
      <c r="D97" s="63"/>
      <c r="E97" s="63"/>
      <c r="F97" s="63" t="e">
        <f>#REF!</f>
        <v>#REF!</v>
      </c>
      <c r="G97" s="63">
        <f>SUM(G98:G99)</f>
        <v>918305.42101441999</v>
      </c>
      <c r="H97" s="63">
        <f>SUM(H98:H99)</f>
        <v>316185.37708428735</v>
      </c>
    </row>
    <row r="98" spans="1:9" s="98" customFormat="1">
      <c r="A98" s="81" t="s">
        <v>207</v>
      </c>
      <c r="B98" s="784" t="s">
        <v>1394</v>
      </c>
      <c r="C98" s="754"/>
      <c r="D98" s="435"/>
      <c r="E98" s="435"/>
      <c r="F98" s="491" t="e">
        <f>#REF!</f>
        <v>#REF!</v>
      </c>
      <c r="G98" s="494">
        <f>'RESUMO CANAIS'!G30</f>
        <v>324756.49546844879</v>
      </c>
      <c r="H98" s="435">
        <f>[2]RESUMO!$G$50</f>
        <v>98189.819964978524</v>
      </c>
    </row>
    <row r="99" spans="1:9" s="98" customFormat="1">
      <c r="A99" s="81" t="s">
        <v>222</v>
      </c>
      <c r="B99" s="784" t="s">
        <v>3565</v>
      </c>
      <c r="C99" s="785"/>
      <c r="D99" s="435"/>
      <c r="E99" s="435"/>
      <c r="F99" s="435" t="e">
        <f>#REF!</f>
        <v>#REF!</v>
      </c>
      <c r="G99" s="494">
        <f>'RESUMO CANAIS'!G31</f>
        <v>593548.92554597114</v>
      </c>
      <c r="H99" s="435">
        <f>[2]RESUMO!$G$51</f>
        <v>217995.5571193088</v>
      </c>
    </row>
    <row r="100" spans="1:9" s="98" customFormat="1">
      <c r="A100" s="91" t="s">
        <v>227</v>
      </c>
      <c r="B100" s="102" t="s">
        <v>3810</v>
      </c>
      <c r="C100" s="91"/>
      <c r="D100" s="63"/>
      <c r="E100" s="63"/>
      <c r="F100" s="63" t="e">
        <f>#REF!</f>
        <v>#REF!</v>
      </c>
      <c r="G100" s="63">
        <f>SUM(G101:G102)</f>
        <v>2790635.2573608742</v>
      </c>
      <c r="H100" s="63">
        <f>SUM(H101:H102)</f>
        <v>355535.33431321516</v>
      </c>
    </row>
    <row r="101" spans="1:9" s="98" customFormat="1">
      <c r="A101" s="81" t="s">
        <v>228</v>
      </c>
      <c r="B101" s="784" t="s">
        <v>1394</v>
      </c>
      <c r="C101" s="754"/>
      <c r="D101" s="435"/>
      <c r="E101" s="435"/>
      <c r="F101" s="491" t="e">
        <f>#REF!</f>
        <v>#REF!</v>
      </c>
      <c r="G101" s="494">
        <f>'RESUMO CANAIS'!G33</f>
        <v>1590077.4896486308</v>
      </c>
      <c r="H101" s="911">
        <f>[2]RESUMO!$G$53</f>
        <v>348136.58453517995</v>
      </c>
    </row>
    <row r="102" spans="1:9" s="98" customFormat="1">
      <c r="A102" s="81" t="s">
        <v>242</v>
      </c>
      <c r="B102" s="784" t="s">
        <v>3565</v>
      </c>
      <c r="C102" s="785"/>
      <c r="D102" s="435"/>
      <c r="E102" s="435"/>
      <c r="F102" s="435" t="e">
        <f>#REF!</f>
        <v>#REF!</v>
      </c>
      <c r="G102" s="494">
        <f>'RESUMO CANAIS'!G34</f>
        <v>1200557.7677122434</v>
      </c>
      <c r="H102" s="912">
        <f>[2]RESUMO!$G$54</f>
        <v>7398.7497780351996</v>
      </c>
    </row>
    <row r="103" spans="1:9" s="98" customFormat="1">
      <c r="A103" s="91" t="s">
        <v>255</v>
      </c>
      <c r="B103" s="102" t="s">
        <v>1429</v>
      </c>
      <c r="C103" s="91"/>
      <c r="D103" s="63"/>
      <c r="E103" s="63"/>
      <c r="F103" s="63" t="e">
        <f>#REF!</f>
        <v>#REF!</v>
      </c>
      <c r="G103" s="63">
        <f>SUM(G104:G105)</f>
        <v>3248713.9342296482</v>
      </c>
      <c r="H103" s="63">
        <f>SUM(H104:H105)</f>
        <v>1031900.8435864367</v>
      </c>
    </row>
    <row r="104" spans="1:9" s="98" customFormat="1">
      <c r="A104" s="81" t="s">
        <v>256</v>
      </c>
      <c r="B104" s="784" t="s">
        <v>1394</v>
      </c>
      <c r="C104" s="754"/>
      <c r="D104" s="435"/>
      <c r="E104" s="435"/>
      <c r="F104" s="491" t="e">
        <f>#REF!</f>
        <v>#REF!</v>
      </c>
      <c r="G104" s="494">
        <f>'RESUMO CANAIS'!G36</f>
        <v>1521345.2326784804</v>
      </c>
      <c r="H104" s="491">
        <f>[2]RESUMO!$G$56</f>
        <v>592762.91068893916</v>
      </c>
    </row>
    <row r="105" spans="1:9" s="98" customFormat="1">
      <c r="A105" s="81" t="s">
        <v>275</v>
      </c>
      <c r="B105" s="784" t="s">
        <v>1546</v>
      </c>
      <c r="C105" s="785"/>
      <c r="D105" s="435"/>
      <c r="E105" s="435">
        <v>0</v>
      </c>
      <c r="F105" s="435" t="e">
        <f>#REF!</f>
        <v>#REF!</v>
      </c>
      <c r="G105" s="494">
        <f>'RESUMO CANAIS'!G37</f>
        <v>1727368.7015511678</v>
      </c>
      <c r="H105" s="491">
        <f>[2]RESUMO!$G$57</f>
        <v>439137.93289749755</v>
      </c>
    </row>
    <row r="106" spans="1:9" s="120" customFormat="1">
      <c r="A106" s="91" t="s">
        <v>1540</v>
      </c>
      <c r="B106" s="102" t="s">
        <v>3819</v>
      </c>
      <c r="C106" s="91"/>
      <c r="D106" s="64"/>
      <c r="E106" s="64"/>
      <c r="F106" s="64" t="e">
        <f>#REF!</f>
        <v>#REF!</v>
      </c>
      <c r="G106" s="64">
        <f>SUM(G107:G108)</f>
        <v>536208.55213324563</v>
      </c>
      <c r="H106" s="63">
        <f>SUM(H107:H108)</f>
        <v>536208.55345988099</v>
      </c>
    </row>
    <row r="107" spans="1:9" s="98" customFormat="1">
      <c r="A107" s="81" t="s">
        <v>1542</v>
      </c>
      <c r="B107" s="510" t="s">
        <v>1407</v>
      </c>
      <c r="C107" s="94"/>
      <c r="D107" s="83"/>
      <c r="E107" s="83"/>
      <c r="F107" s="83" t="e">
        <f>#REF!</f>
        <v>#REF!</v>
      </c>
      <c r="G107" s="493">
        <f>'RESUMO CANAIS'!G39</f>
        <v>204213.41832607763</v>
      </c>
      <c r="H107" s="491">
        <f>[2]RESUMO!$G$59</f>
        <v>204213.419652713</v>
      </c>
      <c r="I107" s="245" t="s">
        <v>3820</v>
      </c>
    </row>
    <row r="108" spans="1:9" s="98" customFormat="1">
      <c r="A108" s="81" t="s">
        <v>1543</v>
      </c>
      <c r="B108" s="510" t="s">
        <v>1546</v>
      </c>
      <c r="C108" s="94"/>
      <c r="D108" s="83"/>
      <c r="E108" s="83">
        <v>96455.05</v>
      </c>
      <c r="F108" s="83" t="e">
        <f>#REF!</f>
        <v>#REF!</v>
      </c>
      <c r="G108" s="493">
        <f>'RESUMO CANAIS'!G40</f>
        <v>331995.13380716793</v>
      </c>
      <c r="H108" s="491">
        <f>[2]RESUMO!$G$60</f>
        <v>331995.13380716799</v>
      </c>
      <c r="I108" s="245" t="s">
        <v>3820</v>
      </c>
    </row>
    <row r="109" spans="1:9" s="98" customFormat="1">
      <c r="A109" s="91" t="s">
        <v>2807</v>
      </c>
      <c r="B109" s="437" t="s">
        <v>3148</v>
      </c>
      <c r="C109" s="438" t="s">
        <v>3219</v>
      </c>
      <c r="D109" s="246"/>
      <c r="E109" s="246"/>
      <c r="F109" s="383"/>
      <c r="G109" s="485">
        <f>RECUP.!$I$36+RECUP.!$I$53</f>
        <v>4075812.9966000002</v>
      </c>
      <c r="H109" s="750">
        <f>RECUP.!$I$36+RECUP.!$I$53</f>
        <v>4075812.9966000002</v>
      </c>
    </row>
    <row r="110" spans="1:9" s="98" customFormat="1">
      <c r="A110" s="99"/>
      <c r="B110" s="100"/>
      <c r="C110" s="21"/>
      <c r="D110" s="20"/>
      <c r="E110" s="20"/>
      <c r="F110" s="19"/>
      <c r="G110" s="19"/>
      <c r="H110" s="19"/>
    </row>
    <row r="111" spans="1:9" s="98" customFormat="1">
      <c r="A111" s="74" t="s">
        <v>3061</v>
      </c>
      <c r="B111" s="101" t="s">
        <v>3166</v>
      </c>
      <c r="C111" s="74"/>
      <c r="D111" s="75"/>
      <c r="E111" s="75"/>
      <c r="F111" s="75" t="e">
        <f>#REF!</f>
        <v>#REF!</v>
      </c>
      <c r="G111" s="75">
        <f>G112+G113+G120+G126+G127+G114</f>
        <v>60665693.329256825</v>
      </c>
      <c r="H111" s="75">
        <f>H112+H113+H114+H120+H126+H127+H128</f>
        <v>22311141.01754263</v>
      </c>
    </row>
    <row r="112" spans="1:9" s="98" customFormat="1">
      <c r="A112" s="91" t="s">
        <v>285</v>
      </c>
      <c r="B112" s="799" t="s">
        <v>1407</v>
      </c>
      <c r="C112" s="785"/>
      <c r="D112" s="800"/>
      <c r="E112" s="800"/>
      <c r="F112" s="800" t="e">
        <f>#REF!</f>
        <v>#REF!</v>
      </c>
      <c r="G112" s="584">
        <f>'RESUMO EBSs'!G14</f>
        <v>16426575.954139289</v>
      </c>
      <c r="H112" s="800">
        <f>[2]RESUMO!$G$68+[2]RESUMO!$G$69</f>
        <v>7905114.5596891418</v>
      </c>
    </row>
    <row r="113" spans="1:8" s="98" customFormat="1">
      <c r="A113" s="91" t="s">
        <v>585</v>
      </c>
      <c r="B113" s="799" t="s">
        <v>3468</v>
      </c>
      <c r="C113" s="785"/>
      <c r="D113" s="800"/>
      <c r="E113" s="800">
        <v>0</v>
      </c>
      <c r="F113" s="800" t="e">
        <f>#REF!</f>
        <v>#REF!</v>
      </c>
      <c r="G113" s="584">
        <f>'RESUMO EBSs'!G15</f>
        <v>41522462.60711056</v>
      </c>
      <c r="H113" s="800">
        <f>[2]RESUMO!$G$70</f>
        <v>9739201.0797500573</v>
      </c>
    </row>
    <row r="114" spans="1:8" s="98" customFormat="1">
      <c r="A114" s="91" t="s">
        <v>2857</v>
      </c>
      <c r="B114" s="753" t="s">
        <v>2858</v>
      </c>
      <c r="C114" s="752"/>
      <c r="D114" s="491"/>
      <c r="E114" s="491"/>
      <c r="F114" s="800" t="e">
        <f>#REF!</f>
        <v>#REF!</v>
      </c>
      <c r="G114" s="584">
        <f>SUM(G115:G119)</f>
        <v>434610.83203447366</v>
      </c>
      <c r="H114" s="800">
        <f>[2]RESUMO!$G$71</f>
        <v>434610.83203447377</v>
      </c>
    </row>
    <row r="115" spans="1:8" s="98" customFormat="1">
      <c r="A115" s="85" t="s">
        <v>2859</v>
      </c>
      <c r="B115" s="766" t="s">
        <v>2860</v>
      </c>
      <c r="C115" s="754"/>
      <c r="D115" s="491"/>
      <c r="E115" s="491"/>
      <c r="F115" s="491" t="e">
        <f>#REF!</f>
        <v>#REF!</v>
      </c>
      <c r="G115" s="493">
        <f>'RESUMO EBSs'!G17</f>
        <v>15535.260983869712</v>
      </c>
      <c r="H115" s="491">
        <v>0</v>
      </c>
    </row>
    <row r="116" spans="1:8" s="98" customFormat="1">
      <c r="A116" s="85" t="s">
        <v>2864</v>
      </c>
      <c r="B116" s="766" t="s">
        <v>2774</v>
      </c>
      <c r="C116" s="754"/>
      <c r="D116" s="491"/>
      <c r="E116" s="491"/>
      <c r="F116" s="491" t="e">
        <f>#REF!</f>
        <v>#REF!</v>
      </c>
      <c r="G116" s="493">
        <f>'RESUMO EBSs'!G18</f>
        <v>62444.285423943409</v>
      </c>
      <c r="H116" s="491">
        <v>0</v>
      </c>
    </row>
    <row r="117" spans="1:8" s="98" customFormat="1">
      <c r="A117" s="85" t="s">
        <v>2883</v>
      </c>
      <c r="B117" s="766" t="s">
        <v>2884</v>
      </c>
      <c r="C117" s="754"/>
      <c r="D117" s="491"/>
      <c r="E117" s="491"/>
      <c r="F117" s="491" t="e">
        <f>#REF!</f>
        <v>#REF!</v>
      </c>
      <c r="G117" s="493">
        <f>'RESUMO EBSs'!G19</f>
        <v>0</v>
      </c>
      <c r="H117" s="491">
        <v>0</v>
      </c>
    </row>
    <row r="118" spans="1:8" s="98" customFormat="1">
      <c r="A118" s="85" t="s">
        <v>2915</v>
      </c>
      <c r="B118" s="766" t="s">
        <v>2916</v>
      </c>
      <c r="C118" s="754"/>
      <c r="D118" s="491"/>
      <c r="E118" s="491"/>
      <c r="F118" s="491" t="e">
        <f>#REF!</f>
        <v>#REF!</v>
      </c>
      <c r="G118" s="493">
        <f>'RESUMO EBSs'!G20</f>
        <v>333017.91696526972</v>
      </c>
      <c r="H118" s="491">
        <v>0</v>
      </c>
    </row>
    <row r="119" spans="1:8" s="98" customFormat="1">
      <c r="A119" s="85" t="s">
        <v>2925</v>
      </c>
      <c r="B119" s="766" t="s">
        <v>2926</v>
      </c>
      <c r="C119" s="754"/>
      <c r="D119" s="491"/>
      <c r="E119" s="491"/>
      <c r="F119" s="491" t="e">
        <f>#REF!</f>
        <v>#REF!</v>
      </c>
      <c r="G119" s="493">
        <f>'RESUMO EBSs'!G21</f>
        <v>23613.368661390858</v>
      </c>
      <c r="H119" s="491">
        <v>0</v>
      </c>
    </row>
    <row r="120" spans="1:8" s="98" customFormat="1">
      <c r="A120" s="91" t="s">
        <v>2935</v>
      </c>
      <c r="B120" s="799" t="s">
        <v>2936</v>
      </c>
      <c r="C120" s="752"/>
      <c r="D120" s="491"/>
      <c r="E120" s="491"/>
      <c r="F120" s="800" t="e">
        <f>#REF!</f>
        <v>#REF!</v>
      </c>
      <c r="G120" s="584">
        <f>SUM(G121:G125)</f>
        <v>1555627.7412359933</v>
      </c>
      <c r="H120" s="800">
        <f>[2]RESUMO!$G$72</f>
        <v>1464535.1519282432</v>
      </c>
    </row>
    <row r="121" spans="1:8" s="98" customFormat="1">
      <c r="A121" s="85" t="s">
        <v>2937</v>
      </c>
      <c r="B121" s="766" t="s">
        <v>2860</v>
      </c>
      <c r="C121" s="754"/>
      <c r="D121" s="491"/>
      <c r="E121" s="491"/>
      <c r="F121" s="491" t="e">
        <f>#REF!</f>
        <v>#REF!</v>
      </c>
      <c r="G121" s="493">
        <f>'RESUMO EBSs'!G23</f>
        <v>12063.131845939199</v>
      </c>
      <c r="H121" s="491">
        <v>0</v>
      </c>
    </row>
    <row r="122" spans="1:8" s="98" customFormat="1">
      <c r="A122" s="85" t="s">
        <v>2941</v>
      </c>
      <c r="B122" s="766" t="s">
        <v>2774</v>
      </c>
      <c r="C122" s="754"/>
      <c r="D122" s="491"/>
      <c r="E122" s="491"/>
      <c r="F122" s="491" t="e">
        <f>#REF!</f>
        <v>#REF!</v>
      </c>
      <c r="G122" s="493">
        <f>'RESUMO EBSs'!G24</f>
        <v>69973.062409036778</v>
      </c>
      <c r="H122" s="491">
        <v>0</v>
      </c>
    </row>
    <row r="123" spans="1:8" s="98" customFormat="1">
      <c r="A123" s="85" t="s">
        <v>2954</v>
      </c>
      <c r="B123" s="766" t="s">
        <v>3601</v>
      </c>
      <c r="C123" s="754"/>
      <c r="D123" s="491"/>
      <c r="E123" s="491"/>
      <c r="F123" s="491" t="e">
        <f>#REF!</f>
        <v>#REF!</v>
      </c>
      <c r="G123" s="493">
        <f>'RESUMO EBSs'!G25</f>
        <v>0</v>
      </c>
      <c r="H123" s="491">
        <v>0</v>
      </c>
    </row>
    <row r="124" spans="1:8" s="98" customFormat="1">
      <c r="A124" s="85" t="s">
        <v>2979</v>
      </c>
      <c r="B124" s="766" t="s">
        <v>2916</v>
      </c>
      <c r="C124" s="754"/>
      <c r="D124" s="491"/>
      <c r="E124" s="491"/>
      <c r="F124" s="491" t="e">
        <f>#REF!</f>
        <v>#REF!</v>
      </c>
      <c r="G124" s="493">
        <f>'RESUMO EBSs'!G26</f>
        <v>1417402.1588479998</v>
      </c>
      <c r="H124" s="491">
        <v>0</v>
      </c>
    </row>
    <row r="125" spans="1:8" s="98" customFormat="1">
      <c r="A125" s="85" t="s">
        <v>2985</v>
      </c>
      <c r="B125" s="766" t="s">
        <v>2926</v>
      </c>
      <c r="C125" s="754"/>
      <c r="D125" s="491"/>
      <c r="E125" s="491"/>
      <c r="F125" s="491" t="e">
        <f>#REF!</f>
        <v>#REF!</v>
      </c>
      <c r="G125" s="493">
        <f>'RESUMO EBSs'!G27</f>
        <v>56189.388133017608</v>
      </c>
      <c r="H125" s="491">
        <v>0</v>
      </c>
    </row>
    <row r="126" spans="1:8" s="98" customFormat="1">
      <c r="A126" s="91" t="s">
        <v>2995</v>
      </c>
      <c r="B126" s="753" t="s">
        <v>2996</v>
      </c>
      <c r="C126" s="754"/>
      <c r="D126" s="491"/>
      <c r="E126" s="491"/>
      <c r="F126" s="800" t="e">
        <f>#REF!</f>
        <v>#REF!</v>
      </c>
      <c r="G126" s="584">
        <f>'RESUMO EBSs'!G28</f>
        <v>243477.05874356985</v>
      </c>
      <c r="H126" s="913">
        <f>[2]RESUMO!$G$73</f>
        <v>243477.05874356985</v>
      </c>
    </row>
    <row r="127" spans="1:8" s="98" customFormat="1">
      <c r="A127" s="91" t="s">
        <v>3020</v>
      </c>
      <c r="B127" s="753" t="s">
        <v>3021</v>
      </c>
      <c r="C127" s="754"/>
      <c r="D127" s="491"/>
      <c r="E127" s="491"/>
      <c r="F127" s="800" t="e">
        <f>#REF!</f>
        <v>#REF!</v>
      </c>
      <c r="G127" s="584">
        <f>'RESUMO EBSs'!G29</f>
        <v>482939.13599293446</v>
      </c>
      <c r="H127" s="913">
        <f>[2]RESUMO!$G$74</f>
        <v>477121.93579714571</v>
      </c>
    </row>
    <row r="128" spans="1:8" s="98" customFormat="1">
      <c r="A128" s="99"/>
      <c r="B128" s="437" t="s">
        <v>3148</v>
      </c>
      <c r="C128" s="438" t="s">
        <v>3219</v>
      </c>
      <c r="D128" s="246"/>
      <c r="E128" s="246"/>
      <c r="F128" s="383"/>
      <c r="G128" s="485">
        <f>RECUP.!I84</f>
        <v>2047080.3996000001</v>
      </c>
      <c r="H128" s="247">
        <f>G128</f>
        <v>2047080.3996000001</v>
      </c>
    </row>
    <row r="129" spans="1:8" s="98" customFormat="1">
      <c r="A129" s="99"/>
      <c r="B129" s="100"/>
      <c r="C129" s="99"/>
      <c r="D129" s="20"/>
      <c r="E129" s="20"/>
      <c r="F129" s="19"/>
      <c r="G129" s="19"/>
      <c r="H129" s="19"/>
    </row>
    <row r="130" spans="1:8" s="98" customFormat="1">
      <c r="A130" s="74" t="s">
        <v>916</v>
      </c>
      <c r="B130" s="101" t="s">
        <v>1433</v>
      </c>
      <c r="C130" s="74"/>
      <c r="D130" s="75"/>
      <c r="E130" s="75"/>
      <c r="F130" s="75" t="e">
        <f>#REF!</f>
        <v>#REF!</v>
      </c>
      <c r="G130" s="75">
        <f>G131+G132</f>
        <v>100256616.59596471</v>
      </c>
      <c r="H130" s="75">
        <f>H131+H132+H138</f>
        <v>3761962.1644491036</v>
      </c>
    </row>
    <row r="131" spans="1:8" s="98" customFormat="1">
      <c r="A131" s="91" t="s">
        <v>917</v>
      </c>
      <c r="B131" s="103" t="s">
        <v>1407</v>
      </c>
      <c r="C131" s="85"/>
      <c r="D131" s="64"/>
      <c r="E131" s="64"/>
      <c r="F131" s="64" t="e">
        <f>#REF!</f>
        <v>#REF!</v>
      </c>
      <c r="G131" s="584">
        <f>'RESUMO REDE'!G14</f>
        <v>14012587.662267417</v>
      </c>
      <c r="H131" s="64">
        <f>[2]RESUMO!$G$76</f>
        <v>2922745.0869413144</v>
      </c>
    </row>
    <row r="132" spans="1:8" s="120" customFormat="1">
      <c r="A132" s="91" t="s">
        <v>960</v>
      </c>
      <c r="B132" s="103" t="s">
        <v>3565</v>
      </c>
      <c r="C132" s="85"/>
      <c r="D132" s="64"/>
      <c r="E132" s="64"/>
      <c r="F132" s="64" t="e">
        <f>#REF!</f>
        <v>#REF!</v>
      </c>
      <c r="G132" s="584">
        <f>SUM(G133:G137)</f>
        <v>86244028.933697298</v>
      </c>
      <c r="H132" s="64">
        <f>SUM(H133:H137)</f>
        <v>402654.52450778958</v>
      </c>
    </row>
    <row r="133" spans="1:8" s="98" customFormat="1">
      <c r="A133" s="81" t="s">
        <v>961</v>
      </c>
      <c r="B133" s="510" t="s">
        <v>3362</v>
      </c>
      <c r="C133" s="81"/>
      <c r="D133" s="83"/>
      <c r="E133" s="83"/>
      <c r="F133" s="83" t="e">
        <f>#REF!</f>
        <v>#REF!</v>
      </c>
      <c r="G133" s="493">
        <f>'RESUMO REDE'!G16</f>
        <v>7966823.2432606574</v>
      </c>
      <c r="H133" s="491"/>
    </row>
    <row r="134" spans="1:8" s="98" customFormat="1">
      <c r="A134" s="81" t="s">
        <v>977</v>
      </c>
      <c r="B134" s="510" t="s">
        <v>3363</v>
      </c>
      <c r="C134" s="81"/>
      <c r="D134" s="83"/>
      <c r="E134" s="83"/>
      <c r="F134" s="83" t="e">
        <f>#REF!</f>
        <v>#REF!</v>
      </c>
      <c r="G134" s="493">
        <f>'RESUMO REDE'!G17</f>
        <v>2647753.9002703489</v>
      </c>
      <c r="H134" s="491"/>
    </row>
    <row r="135" spans="1:8" s="98" customFormat="1">
      <c r="A135" s="81" t="s">
        <v>992</v>
      </c>
      <c r="B135" s="510" t="s">
        <v>3364</v>
      </c>
      <c r="C135" s="81"/>
      <c r="D135" s="83"/>
      <c r="E135" s="83"/>
      <c r="F135" s="83" t="e">
        <f>#REF!</f>
        <v>#REF!</v>
      </c>
      <c r="G135" s="493">
        <f>'RESUMO REDE'!G18</f>
        <v>621226.64557957102</v>
      </c>
      <c r="H135" s="491"/>
    </row>
    <row r="136" spans="1:8" s="98" customFormat="1">
      <c r="A136" s="81" t="s">
        <v>1006</v>
      </c>
      <c r="B136" s="510" t="s">
        <v>1438</v>
      </c>
      <c r="C136" s="81"/>
      <c r="D136" s="83"/>
      <c r="E136" s="83"/>
      <c r="F136" s="83" t="e">
        <f>#REF!</f>
        <v>#REF!</v>
      </c>
      <c r="G136" s="493">
        <f>'RESUMO REDE'!G19</f>
        <v>72510315.67007421</v>
      </c>
      <c r="H136" s="491">
        <f>[2]RESUMO!$G$77</f>
        <v>402654.52450778958</v>
      </c>
    </row>
    <row r="137" spans="1:8" s="98" customFormat="1">
      <c r="A137" s="81" t="s">
        <v>1152</v>
      </c>
      <c r="B137" s="510" t="s">
        <v>3467</v>
      </c>
      <c r="C137" s="81"/>
      <c r="D137" s="83"/>
      <c r="E137" s="83"/>
      <c r="F137" s="83" t="e">
        <f>#REF!</f>
        <v>#REF!</v>
      </c>
      <c r="G137" s="493">
        <f>'RESUMO REDE'!G20</f>
        <v>2497909.4745125244</v>
      </c>
      <c r="H137" s="435"/>
    </row>
    <row r="138" spans="1:8" s="98" customFormat="1">
      <c r="A138" s="81" t="s">
        <v>3372</v>
      </c>
      <c r="B138" s="437" t="s">
        <v>3148</v>
      </c>
      <c r="C138" s="438" t="s">
        <v>3219</v>
      </c>
      <c r="D138" s="246"/>
      <c r="E138" s="246"/>
      <c r="F138" s="383"/>
      <c r="G138" s="485">
        <f>RECUP.!I64</f>
        <v>436562.55300000001</v>
      </c>
      <c r="H138" s="247">
        <f>G138</f>
        <v>436562.55300000001</v>
      </c>
    </row>
    <row r="139" spans="1:8" s="98" customFormat="1">
      <c r="A139" s="99"/>
      <c r="B139" s="100"/>
      <c r="C139" s="183"/>
      <c r="D139" s="20"/>
      <c r="E139" s="20"/>
      <c r="F139" s="19"/>
      <c r="G139" s="19"/>
      <c r="H139" s="19"/>
    </row>
    <row r="140" spans="1:8" s="98" customFormat="1">
      <c r="A140" s="74" t="s">
        <v>1199</v>
      </c>
      <c r="B140" s="101" t="s">
        <v>1442</v>
      </c>
      <c r="C140" s="75"/>
      <c r="D140" s="75"/>
      <c r="E140" s="75"/>
      <c r="F140" s="75" t="e">
        <f>#REF!</f>
        <v>#REF!</v>
      </c>
      <c r="G140" s="75">
        <f>G141+G144+G146</f>
        <v>1062987.428900813</v>
      </c>
      <c r="H140" s="75">
        <f>H141+H144+H146</f>
        <v>191195.29832969996</v>
      </c>
    </row>
    <row r="141" spans="1:8" s="98" customFormat="1">
      <c r="A141" s="91" t="s">
        <v>1200</v>
      </c>
      <c r="B141" s="116" t="s">
        <v>3365</v>
      </c>
      <c r="C141" s="62"/>
      <c r="D141" s="62"/>
      <c r="E141" s="62"/>
      <c r="F141" s="62" t="e">
        <f>#REF!</f>
        <v>#REF!</v>
      </c>
      <c r="G141" s="64">
        <f>SUM(G142:G143)</f>
        <v>872611.50879032572</v>
      </c>
      <c r="H141" s="62">
        <f>SUM(H142:H143)</f>
        <v>191195.29832969996</v>
      </c>
    </row>
    <row r="142" spans="1:8" s="98" customFormat="1">
      <c r="A142" s="513"/>
      <c r="B142" s="510" t="s">
        <v>1407</v>
      </c>
      <c r="C142" s="83"/>
      <c r="D142" s="83"/>
      <c r="E142" s="83"/>
      <c r="F142" s="83" t="e">
        <f>#REF!</f>
        <v>#REF!</v>
      </c>
      <c r="G142" s="493">
        <f>'RESUMO REDE BAIXA PRESSÃO'!G15</f>
        <v>872611.50879032572</v>
      </c>
      <c r="H142" s="850">
        <f>[2]RESUMO!$G$62</f>
        <v>191195.29832969996</v>
      </c>
    </row>
    <row r="143" spans="1:8" s="98" customFormat="1">
      <c r="A143" s="513"/>
      <c r="B143" s="510" t="s">
        <v>1546</v>
      </c>
      <c r="C143" s="83"/>
      <c r="D143" s="83"/>
      <c r="E143" s="83">
        <v>6401.4313453614677</v>
      </c>
      <c r="F143" s="83" t="e">
        <f>#REF!</f>
        <v>#REF!</v>
      </c>
      <c r="G143" s="83"/>
      <c r="H143" s="435"/>
    </row>
    <row r="144" spans="1:8" s="98" customFormat="1">
      <c r="A144" s="91" t="s">
        <v>1201</v>
      </c>
      <c r="B144" s="102" t="s">
        <v>3366</v>
      </c>
      <c r="C144" s="85"/>
      <c r="D144" s="63"/>
      <c r="E144" s="63"/>
      <c r="F144" s="63" t="e">
        <f>#REF!</f>
        <v>#REF!</v>
      </c>
      <c r="G144" s="64">
        <f>SUM(G145)</f>
        <v>45423.660285335391</v>
      </c>
      <c r="H144" s="63">
        <f>H145</f>
        <v>0</v>
      </c>
    </row>
    <row r="145" spans="1:17" s="98" customFormat="1">
      <c r="A145" s="81"/>
      <c r="B145" s="508" t="s">
        <v>1407</v>
      </c>
      <c r="C145" s="81"/>
      <c r="D145" s="83"/>
      <c r="E145" s="83"/>
      <c r="F145" s="83" t="e">
        <f>#REF!</f>
        <v>#REF!</v>
      </c>
      <c r="G145" s="494">
        <f>'RESUMO REDE BAIXA PRESSÃO'!G16</f>
        <v>45423.660285335391</v>
      </c>
      <c r="H145" s="83">
        <v>0</v>
      </c>
    </row>
    <row r="146" spans="1:17" s="98" customFormat="1">
      <c r="A146" s="91" t="s">
        <v>1202</v>
      </c>
      <c r="B146" s="103" t="s">
        <v>3565</v>
      </c>
      <c r="C146" s="85"/>
      <c r="D146" s="64"/>
      <c r="E146" s="64"/>
      <c r="F146" s="64" t="e">
        <f>#REF!</f>
        <v>#REF!</v>
      </c>
      <c r="G146" s="64">
        <f>'RESUMO REDE BAIXA PRESSÃO'!G18</f>
        <v>144952.25982515197</v>
      </c>
      <c r="H146" s="64">
        <v>0</v>
      </c>
    </row>
    <row r="147" spans="1:17" s="98" customFormat="1">
      <c r="A147" s="99"/>
      <c r="B147" s="100"/>
      <c r="C147" s="99"/>
      <c r="D147" s="20"/>
      <c r="E147" s="20"/>
      <c r="F147" s="19"/>
      <c r="G147" s="19"/>
      <c r="H147" s="19"/>
    </row>
    <row r="148" spans="1:17" s="98" customFormat="1">
      <c r="A148" s="407" t="s">
        <v>1203</v>
      </c>
      <c r="B148" s="101" t="s">
        <v>1444</v>
      </c>
      <c r="C148" s="74"/>
      <c r="D148" s="75"/>
      <c r="E148" s="75"/>
      <c r="F148" s="75" t="e">
        <f>F149</f>
        <v>#REF!</v>
      </c>
      <c r="G148" s="75">
        <f>G149</f>
        <v>30726431.839889351</v>
      </c>
      <c r="H148" s="75">
        <f>H149</f>
        <v>30726431.839889351</v>
      </c>
    </row>
    <row r="149" spans="1:17" s="120" customFormat="1">
      <c r="A149" s="91" t="s">
        <v>1204</v>
      </c>
      <c r="B149" s="102" t="s">
        <v>1400</v>
      </c>
      <c r="C149" s="85"/>
      <c r="D149" s="64"/>
      <c r="E149" s="64"/>
      <c r="F149" s="64" t="e">
        <f>SUM(F150:F150)</f>
        <v>#REF!</v>
      </c>
      <c r="G149" s="64">
        <f>SUM(G150:G150)</f>
        <v>30726431.839889351</v>
      </c>
      <c r="H149" s="64">
        <f>SUM(H150:H150)</f>
        <v>30726431.839889351</v>
      </c>
    </row>
    <row r="150" spans="1:17" s="98" customFormat="1">
      <c r="A150" s="81"/>
      <c r="B150" s="100" t="s">
        <v>1576</v>
      </c>
      <c r="C150" s="81"/>
      <c r="D150" s="83"/>
      <c r="E150" s="83"/>
      <c r="F150" s="83" t="e">
        <f>#REF!</f>
        <v>#REF!</v>
      </c>
      <c r="G150" s="493">
        <f>DESMATAMENTO!H26</f>
        <v>30726431.839889351</v>
      </c>
      <c r="H150" s="914">
        <f>'[2]RESUMO GERAL'!$C$13</f>
        <v>30726431.839889351</v>
      </c>
      <c r="J150" s="120"/>
      <c r="K150" s="120"/>
      <c r="L150" s="120"/>
      <c r="M150" s="120"/>
      <c r="N150" s="120"/>
      <c r="O150" s="120"/>
      <c r="P150" s="120"/>
      <c r="Q150" s="120"/>
    </row>
    <row r="151" spans="1:17" s="98" customFormat="1">
      <c r="A151" s="99"/>
      <c r="B151" s="100"/>
      <c r="C151" s="99"/>
      <c r="D151" s="20"/>
      <c r="E151" s="20"/>
      <c r="F151" s="19"/>
      <c r="G151" s="19"/>
      <c r="H151" s="19"/>
      <c r="J151" s="120"/>
      <c r="K151" s="120"/>
      <c r="L151" s="120"/>
      <c r="M151" s="120"/>
      <c r="N151" s="120"/>
      <c r="O151" s="120"/>
      <c r="P151" s="120"/>
      <c r="Q151" s="120"/>
    </row>
    <row r="152" spans="1:17" s="98" customFormat="1">
      <c r="A152" s="74" t="s">
        <v>1205</v>
      </c>
      <c r="B152" s="101" t="s">
        <v>3228</v>
      </c>
      <c r="C152" s="74"/>
      <c r="D152" s="75"/>
      <c r="E152" s="75"/>
      <c r="F152" s="75" t="e">
        <f>#REF!</f>
        <v>#REF!</v>
      </c>
      <c r="G152" s="75">
        <f>G153+G154</f>
        <v>65126930.552697897</v>
      </c>
      <c r="H152" s="75">
        <f>H153+H154</f>
        <v>65126930.552697897</v>
      </c>
      <c r="J152" s="120"/>
      <c r="K152" s="120"/>
      <c r="L152" s="120"/>
      <c r="M152" s="120"/>
      <c r="N152" s="120"/>
      <c r="O152" s="120"/>
      <c r="P152" s="120"/>
      <c r="Q152" s="120"/>
    </row>
    <row r="153" spans="1:17" s="98" customFormat="1">
      <c r="A153" s="91" t="s">
        <v>1206</v>
      </c>
      <c r="B153" s="103" t="s">
        <v>1407</v>
      </c>
      <c r="C153" s="85"/>
      <c r="D153" s="64"/>
      <c r="E153" s="64"/>
      <c r="F153" s="64" t="e">
        <f>#REF!</f>
        <v>#REF!</v>
      </c>
      <c r="G153" s="584">
        <f>'RESUMO ON FARM'!G14</f>
        <v>13370309.292821672</v>
      </c>
      <c r="H153" s="64">
        <f>G153</f>
        <v>13370309.292821672</v>
      </c>
      <c r="J153" s="120"/>
      <c r="K153" s="120"/>
      <c r="L153" s="120"/>
      <c r="M153" s="120"/>
      <c r="N153" s="120"/>
      <c r="O153" s="120"/>
      <c r="P153" s="120"/>
      <c r="Q153" s="120"/>
    </row>
    <row r="154" spans="1:17" s="98" customFormat="1">
      <c r="A154" s="91" t="s">
        <v>1215</v>
      </c>
      <c r="B154" s="103" t="s">
        <v>1546</v>
      </c>
      <c r="C154" s="85"/>
      <c r="D154" s="64"/>
      <c r="E154" s="64"/>
      <c r="F154" s="64" t="e">
        <f>#REF!</f>
        <v>#REF!</v>
      </c>
      <c r="G154" s="64">
        <f>SUM(G155:G166)</f>
        <v>51756621.259876229</v>
      </c>
      <c r="H154" s="64">
        <f>SUM(H155:H166)</f>
        <v>51756621.259876229</v>
      </c>
      <c r="J154" s="120"/>
      <c r="K154" s="120"/>
      <c r="L154" s="120"/>
      <c r="M154" s="120"/>
      <c r="N154" s="120"/>
      <c r="O154" s="120"/>
      <c r="P154" s="120"/>
      <c r="Q154" s="120"/>
    </row>
    <row r="155" spans="1:17" s="98" customFormat="1">
      <c r="A155" s="81"/>
      <c r="B155" s="510" t="s">
        <v>1445</v>
      </c>
      <c r="C155" s="510"/>
      <c r="D155" s="83"/>
      <c r="E155" s="82"/>
      <c r="F155" s="83" t="e">
        <f>#REF!</f>
        <v>#REF!</v>
      </c>
      <c r="G155" s="493">
        <f>'RESUMO ON FARM'!G16</f>
        <v>15122265.250473969</v>
      </c>
      <c r="H155" s="83">
        <f>G155</f>
        <v>15122265.250473969</v>
      </c>
      <c r="J155" s="120"/>
      <c r="K155" s="120"/>
      <c r="L155" s="120"/>
      <c r="M155" s="120"/>
      <c r="N155" s="120"/>
      <c r="O155" s="120"/>
      <c r="P155" s="120"/>
      <c r="Q155" s="120"/>
    </row>
    <row r="156" spans="1:17" s="98" customFormat="1">
      <c r="A156" s="81"/>
      <c r="B156" s="508" t="s">
        <v>1446</v>
      </c>
      <c r="C156" s="510"/>
      <c r="D156" s="83"/>
      <c r="E156" s="82"/>
      <c r="F156" s="83" t="e">
        <f>#REF!</f>
        <v>#REF!</v>
      </c>
      <c r="G156" s="493">
        <f>'RESUMO ON FARM'!G17</f>
        <v>0</v>
      </c>
      <c r="H156" s="83">
        <f t="shared" ref="H156:H166" si="0">G156</f>
        <v>0</v>
      </c>
      <c r="J156" s="120"/>
      <c r="K156" s="120"/>
      <c r="L156" s="120"/>
      <c r="M156" s="120"/>
      <c r="N156" s="120"/>
      <c r="O156" s="120"/>
      <c r="P156" s="120"/>
      <c r="Q156" s="120"/>
    </row>
    <row r="157" spans="1:17" s="98" customFormat="1">
      <c r="A157" s="81"/>
      <c r="B157" s="508" t="s">
        <v>1447</v>
      </c>
      <c r="C157" s="510"/>
      <c r="D157" s="83"/>
      <c r="E157" s="82"/>
      <c r="F157" s="83" t="e">
        <f>#REF!</f>
        <v>#REF!</v>
      </c>
      <c r="G157" s="493">
        <f>'RESUMO ON FARM'!G18</f>
        <v>8203206.7370531028</v>
      </c>
      <c r="H157" s="83">
        <f t="shared" si="0"/>
        <v>8203206.7370531028</v>
      </c>
      <c r="J157" s="120"/>
      <c r="K157" s="120"/>
      <c r="L157" s="120"/>
      <c r="M157" s="120"/>
      <c r="N157" s="120"/>
      <c r="O157" s="120"/>
      <c r="P157" s="120"/>
      <c r="Q157" s="120"/>
    </row>
    <row r="158" spans="1:17" s="98" customFormat="1">
      <c r="A158" s="81"/>
      <c r="B158" s="508" t="s">
        <v>1448</v>
      </c>
      <c r="C158" s="510"/>
      <c r="D158" s="83"/>
      <c r="E158" s="82"/>
      <c r="F158" s="83" t="e">
        <f>#REF!</f>
        <v>#REF!</v>
      </c>
      <c r="G158" s="493">
        <f>'RESUMO ON FARM'!G19</f>
        <v>289000.10830679035</v>
      </c>
      <c r="H158" s="83">
        <f t="shared" si="0"/>
        <v>289000.10830679035</v>
      </c>
      <c r="J158" s="120"/>
      <c r="K158" s="120"/>
      <c r="L158" s="120"/>
      <c r="M158" s="120"/>
      <c r="N158" s="120"/>
      <c r="O158" s="120"/>
      <c r="P158" s="120"/>
      <c r="Q158" s="120"/>
    </row>
    <row r="159" spans="1:17" s="98" customFormat="1">
      <c r="A159" s="81"/>
      <c r="B159" s="508" t="s">
        <v>1449</v>
      </c>
      <c r="C159" s="510"/>
      <c r="D159" s="82"/>
      <c r="E159" s="83"/>
      <c r="F159" s="82" t="e">
        <f>#REF!</f>
        <v>#REF!</v>
      </c>
      <c r="G159" s="493">
        <f>'RESUMO ON FARM'!G20</f>
        <v>34126.004944844797</v>
      </c>
      <c r="H159" s="83">
        <f t="shared" si="0"/>
        <v>34126.004944844797</v>
      </c>
      <c r="J159" s="120"/>
      <c r="K159" s="120"/>
      <c r="L159" s="120"/>
      <c r="M159" s="120"/>
      <c r="N159" s="120"/>
      <c r="O159" s="120"/>
      <c r="P159" s="120"/>
      <c r="Q159" s="120"/>
    </row>
    <row r="160" spans="1:17" s="98" customFormat="1">
      <c r="A160" s="81"/>
      <c r="B160" s="508" t="s">
        <v>1450</v>
      </c>
      <c r="C160" s="510"/>
      <c r="D160" s="82"/>
      <c r="E160" s="83"/>
      <c r="F160" s="82" t="e">
        <f>#REF!</f>
        <v>#REF!</v>
      </c>
      <c r="G160" s="493">
        <f>'RESUMO ON FARM'!G21</f>
        <v>1413884.9156618367</v>
      </c>
      <c r="H160" s="83">
        <f t="shared" si="0"/>
        <v>1413884.9156618367</v>
      </c>
      <c r="J160" s="120"/>
      <c r="K160" s="120"/>
      <c r="L160" s="120"/>
      <c r="M160" s="120"/>
      <c r="N160" s="120"/>
      <c r="O160" s="120"/>
      <c r="P160" s="120"/>
      <c r="Q160" s="120"/>
    </row>
    <row r="161" spans="1:17" s="98" customFormat="1">
      <c r="A161" s="81"/>
      <c r="B161" s="508" t="s">
        <v>1451</v>
      </c>
      <c r="C161" s="510"/>
      <c r="D161" s="82"/>
      <c r="E161" s="83"/>
      <c r="F161" s="82" t="e">
        <f>#REF!</f>
        <v>#REF!</v>
      </c>
      <c r="G161" s="493">
        <f>'RESUMO ON FARM'!G22</f>
        <v>660051.31458722567</v>
      </c>
      <c r="H161" s="83">
        <f t="shared" si="0"/>
        <v>660051.31458722567</v>
      </c>
      <c r="J161" s="120"/>
      <c r="K161" s="120"/>
      <c r="L161" s="120"/>
      <c r="M161" s="120"/>
      <c r="N161" s="120"/>
      <c r="O161" s="120"/>
      <c r="P161" s="120"/>
      <c r="Q161" s="120"/>
    </row>
    <row r="162" spans="1:17" s="98" customFormat="1">
      <c r="A162" s="81"/>
      <c r="B162" s="508" t="s">
        <v>1452</v>
      </c>
      <c r="C162" s="510"/>
      <c r="D162" s="82"/>
      <c r="E162" s="83"/>
      <c r="F162" s="82" t="e">
        <f>#REF!</f>
        <v>#REF!</v>
      </c>
      <c r="G162" s="493">
        <f>'RESUMO ON FARM'!G23</f>
        <v>5351313.9773039231</v>
      </c>
      <c r="H162" s="83">
        <f t="shared" si="0"/>
        <v>5351313.9773039231</v>
      </c>
      <c r="J162" s="120"/>
      <c r="K162" s="120"/>
      <c r="L162" s="120"/>
      <c r="M162" s="120"/>
      <c r="N162" s="120"/>
      <c r="O162" s="120"/>
      <c r="P162" s="120"/>
      <c r="Q162" s="120"/>
    </row>
    <row r="163" spans="1:17" s="98" customFormat="1" ht="31.5">
      <c r="A163" s="81"/>
      <c r="B163" s="508" t="s">
        <v>1453</v>
      </c>
      <c r="C163" s="510"/>
      <c r="D163" s="82"/>
      <c r="E163" s="83"/>
      <c r="F163" s="82" t="e">
        <f>#REF!</f>
        <v>#REF!</v>
      </c>
      <c r="G163" s="493">
        <f>'RESUMO ON FARM'!G24</f>
        <v>5108787.5532295676</v>
      </c>
      <c r="H163" s="83">
        <f t="shared" si="0"/>
        <v>5108787.5532295676</v>
      </c>
      <c r="J163" s="120"/>
      <c r="K163" s="120"/>
      <c r="L163" s="120"/>
      <c r="M163" s="120"/>
      <c r="N163" s="120"/>
      <c r="O163" s="120"/>
      <c r="P163" s="120"/>
      <c r="Q163" s="120"/>
    </row>
    <row r="164" spans="1:17" s="98" customFormat="1" ht="31.5">
      <c r="A164" s="81"/>
      <c r="B164" s="508" t="s">
        <v>1454</v>
      </c>
      <c r="C164" s="510"/>
      <c r="D164" s="82"/>
      <c r="E164" s="83"/>
      <c r="F164" s="82" t="e">
        <f>#REF!</f>
        <v>#REF!</v>
      </c>
      <c r="G164" s="493">
        <f>'RESUMO ON FARM'!G25</f>
        <v>15267687.40768311</v>
      </c>
      <c r="H164" s="83">
        <f t="shared" si="0"/>
        <v>15267687.40768311</v>
      </c>
    </row>
    <row r="165" spans="1:17" s="98" customFormat="1">
      <c r="A165" s="81"/>
      <c r="B165" s="508" t="s">
        <v>1455</v>
      </c>
      <c r="C165" s="510"/>
      <c r="D165" s="82"/>
      <c r="E165" s="83"/>
      <c r="F165" s="82" t="e">
        <f>#REF!</f>
        <v>#REF!</v>
      </c>
      <c r="G165" s="493">
        <f>'RESUMO ON FARM'!G26</f>
        <v>127763.14366865918</v>
      </c>
      <c r="H165" s="83">
        <f t="shared" si="0"/>
        <v>127763.14366865918</v>
      </c>
    </row>
    <row r="166" spans="1:17" s="98" customFormat="1">
      <c r="A166" s="81"/>
      <c r="B166" s="508" t="s">
        <v>1456</v>
      </c>
      <c r="C166" s="510"/>
      <c r="D166" s="82"/>
      <c r="E166" s="83"/>
      <c r="F166" s="82" t="e">
        <f>#REF!</f>
        <v>#REF!</v>
      </c>
      <c r="G166" s="493">
        <f>'RESUMO ON FARM'!G27</f>
        <v>178534.84696319999</v>
      </c>
      <c r="H166" s="83">
        <f t="shared" si="0"/>
        <v>178534.84696319999</v>
      </c>
    </row>
    <row r="167" spans="1:17" s="98" customFormat="1">
      <c r="A167" s="99"/>
      <c r="B167" s="100"/>
      <c r="C167" s="183"/>
      <c r="D167" s="20"/>
      <c r="E167" s="20"/>
      <c r="F167" s="19"/>
      <c r="G167" s="19"/>
      <c r="H167" s="19"/>
    </row>
    <row r="168" spans="1:17" s="98" customFormat="1">
      <c r="A168" s="74" t="s">
        <v>1379</v>
      </c>
      <c r="B168" s="101" t="s">
        <v>1457</v>
      </c>
      <c r="C168" s="74"/>
      <c r="D168" s="75"/>
      <c r="E168" s="75"/>
      <c r="F168" s="75" t="e">
        <f>#REF!</f>
        <v>#REF!</v>
      </c>
      <c r="G168" s="574">
        <f>SUM(G169:G170)</f>
        <v>11410546.450620295</v>
      </c>
      <c r="H168" s="75">
        <f>SUM(H169:H171)</f>
        <v>2649421.6387969898</v>
      </c>
    </row>
    <row r="169" spans="1:17" s="98" customFormat="1">
      <c r="A169" s="85" t="s">
        <v>1380</v>
      </c>
      <c r="B169" s="824" t="s">
        <v>1458</v>
      </c>
      <c r="C169" s="825"/>
      <c r="D169" s="826"/>
      <c r="E169" s="826"/>
      <c r="F169" s="826" t="e">
        <f>#REF!</f>
        <v>#REF!</v>
      </c>
      <c r="G169" s="826">
        <f>'RESUMO DRENAGEM'!G14</f>
        <v>4111788.2767932564</v>
      </c>
      <c r="H169" s="62">
        <f>[2]RESUMO!$G$80</f>
        <v>969699.27282156958</v>
      </c>
    </row>
    <row r="170" spans="1:17" s="98" customFormat="1">
      <c r="A170" s="85" t="s">
        <v>1381</v>
      </c>
      <c r="B170" s="824" t="s">
        <v>1459</v>
      </c>
      <c r="C170" s="825"/>
      <c r="D170" s="826"/>
      <c r="E170" s="826">
        <v>0</v>
      </c>
      <c r="F170" s="826" t="e">
        <f>#REF!</f>
        <v>#REF!</v>
      </c>
      <c r="G170" s="826">
        <f>'RESUMO DRENAGEM'!G15</f>
        <v>7298758.1738270391</v>
      </c>
      <c r="H170" s="62">
        <f>[2]RESUMO!$G$81</f>
        <v>257739.62497542001</v>
      </c>
    </row>
    <row r="171" spans="1:17" s="98" customFormat="1">
      <c r="A171" s="522"/>
      <c r="B171" s="437" t="s">
        <v>3148</v>
      </c>
      <c r="C171" s="438" t="s">
        <v>3219</v>
      </c>
      <c r="D171" s="246"/>
      <c r="E171" s="246"/>
      <c r="F171" s="383"/>
      <c r="G171" s="485">
        <f>RECUP.!I72</f>
        <v>1421982.7409999999</v>
      </c>
      <c r="H171" s="383">
        <f>G171</f>
        <v>1421982.7409999999</v>
      </c>
    </row>
    <row r="172" spans="1:17" s="98" customFormat="1">
      <c r="A172" s="99"/>
      <c r="B172" s="100"/>
      <c r="C172" s="99"/>
      <c r="D172" s="20"/>
      <c r="E172" s="20"/>
      <c r="F172" s="19"/>
      <c r="G172" s="19"/>
      <c r="H172" s="19"/>
    </row>
    <row r="173" spans="1:17" s="98" customFormat="1">
      <c r="A173" s="74" t="s">
        <v>1382</v>
      </c>
      <c r="B173" s="101" t="s">
        <v>1460</v>
      </c>
      <c r="C173" s="74"/>
      <c r="D173" s="75"/>
      <c r="E173" s="75"/>
      <c r="F173" s="75" t="e">
        <f>#REF!</f>
        <v>#REF!</v>
      </c>
      <c r="G173" s="574">
        <f>SUM(G174)</f>
        <v>3909619.6234998936</v>
      </c>
      <c r="H173" s="75">
        <f>SUM(H174:H175)</f>
        <v>884716.14496651117</v>
      </c>
    </row>
    <row r="174" spans="1:17" s="98" customFormat="1">
      <c r="A174" s="85" t="s">
        <v>1383</v>
      </c>
      <c r="B174" s="824" t="s">
        <v>1400</v>
      </c>
      <c r="C174" s="825"/>
      <c r="D174" s="826"/>
      <c r="E174" s="826"/>
      <c r="F174" s="826" t="e">
        <f>#REF!</f>
        <v>#REF!</v>
      </c>
      <c r="G174" s="826">
        <f>'RESUMO SISTEMA VIÁRIO'!G13</f>
        <v>3909619.6234998936</v>
      </c>
      <c r="H174" s="62">
        <f>[2]RESUMO!$G$83</f>
        <v>153890.87836651117</v>
      </c>
    </row>
    <row r="175" spans="1:17" s="98" customFormat="1">
      <c r="A175" s="522"/>
      <c r="B175" s="437" t="s">
        <v>3148</v>
      </c>
      <c r="C175" s="438" t="s">
        <v>3219</v>
      </c>
      <c r="D175" s="246"/>
      <c r="E175" s="246"/>
      <c r="F175" s="383"/>
      <c r="G175" s="485">
        <f>RECUP.!I68</f>
        <v>730825.26659999997</v>
      </c>
      <c r="H175" s="383">
        <f>RECUP.!I68</f>
        <v>730825.26659999997</v>
      </c>
    </row>
    <row r="176" spans="1:17" s="98" customFormat="1">
      <c r="A176" s="99"/>
      <c r="B176" s="100"/>
      <c r="C176" s="99"/>
      <c r="D176" s="20"/>
      <c r="E176" s="20"/>
      <c r="F176" s="19"/>
      <c r="G176" s="19"/>
      <c r="H176" s="19"/>
    </row>
    <row r="177" spans="1:8" s="98" customFormat="1">
      <c r="A177" s="74" t="s">
        <v>1384</v>
      </c>
      <c r="B177" s="101" t="s">
        <v>1461</v>
      </c>
      <c r="C177" s="74"/>
      <c r="D177" s="75"/>
      <c r="E177" s="75"/>
      <c r="F177" s="216" t="e">
        <f>#REF!</f>
        <v>#REF!</v>
      </c>
      <c r="G177" s="75">
        <v>74401.459999999992</v>
      </c>
      <c r="H177" s="75">
        <f>[2]RESUMO!$G$84</f>
        <v>21199.589607060025</v>
      </c>
    </row>
    <row r="178" spans="1:8" s="98" customFormat="1">
      <c r="A178" s="99"/>
      <c r="B178" s="100"/>
      <c r="C178" s="99"/>
      <c r="D178" s="20"/>
      <c r="E178" s="20"/>
      <c r="F178" s="19"/>
      <c r="G178" s="19"/>
      <c r="H178" s="19"/>
    </row>
    <row r="179" spans="1:8" s="98" customFormat="1">
      <c r="A179" s="74" t="s">
        <v>1385</v>
      </c>
      <c r="B179" s="101" t="s">
        <v>1463</v>
      </c>
      <c r="C179" s="74"/>
      <c r="D179" s="75"/>
      <c r="E179" s="75"/>
      <c r="F179" s="75" t="e">
        <f>#REF!</f>
        <v>#REF!</v>
      </c>
      <c r="G179" s="75">
        <f>SUM(G180)</f>
        <v>0</v>
      </c>
      <c r="H179" s="75">
        <f>H180</f>
        <v>0</v>
      </c>
    </row>
    <row r="180" spans="1:8" s="98" customFormat="1">
      <c r="A180" s="85" t="s">
        <v>1386</v>
      </c>
      <c r="B180" s="116" t="s">
        <v>1464</v>
      </c>
      <c r="C180" s="85"/>
      <c r="D180" s="54"/>
      <c r="E180" s="62">
        <v>0</v>
      </c>
      <c r="F180" s="54" t="e">
        <f>#REF!</f>
        <v>#REF!</v>
      </c>
      <c r="G180" s="54">
        <v>0</v>
      </c>
      <c r="H180" s="54">
        <v>0</v>
      </c>
    </row>
    <row r="181" spans="1:8" s="98" customFormat="1">
      <c r="A181" s="99"/>
      <c r="B181" s="100"/>
      <c r="C181" s="99"/>
      <c r="D181" s="20"/>
      <c r="E181" s="20"/>
      <c r="F181" s="19"/>
      <c r="G181" s="19"/>
      <c r="H181" s="19"/>
    </row>
    <row r="182" spans="1:8" s="98" customFormat="1">
      <c r="A182" s="74" t="s">
        <v>1387</v>
      </c>
      <c r="B182" s="101" t="s">
        <v>1465</v>
      </c>
      <c r="C182" s="74"/>
      <c r="D182" s="75"/>
      <c r="E182" s="75"/>
      <c r="F182" s="75" t="e">
        <f>#REF!</f>
        <v>#REF!</v>
      </c>
      <c r="G182" s="213">
        <v>0</v>
      </c>
      <c r="H182" s="213">
        <f>G182</f>
        <v>0</v>
      </c>
    </row>
    <row r="183" spans="1:8" s="98" customFormat="1">
      <c r="A183" s="99"/>
      <c r="B183" s="100"/>
      <c r="C183" s="99"/>
      <c r="D183" s="20"/>
      <c r="E183" s="20"/>
      <c r="F183" s="19"/>
      <c r="G183" s="19"/>
      <c r="H183" s="19"/>
    </row>
    <row r="184" spans="1:8" s="98" customFormat="1">
      <c r="A184" s="74" t="s">
        <v>1544</v>
      </c>
      <c r="B184" s="101" t="s">
        <v>3234</v>
      </c>
      <c r="C184" s="74"/>
      <c r="D184" s="75"/>
      <c r="E184" s="75"/>
      <c r="F184" s="75" t="e">
        <f>#REF!</f>
        <v>#REF!</v>
      </c>
      <c r="G184" s="75">
        <f>SUM(G185:G186)</f>
        <v>10869129.7806735</v>
      </c>
      <c r="H184" s="75">
        <f>SUM(H185:H186)</f>
        <v>10869129.7806735</v>
      </c>
    </row>
    <row r="185" spans="1:8">
      <c r="A185" s="99" t="s">
        <v>1545</v>
      </c>
      <c r="B185" s="100" t="s">
        <v>3416</v>
      </c>
      <c r="C185" s="99"/>
      <c r="D185" s="20"/>
      <c r="E185" s="20"/>
      <c r="F185" s="19"/>
      <c r="G185" s="494">
        <f>H185</f>
        <v>7255252.2815955002</v>
      </c>
      <c r="H185" s="494">
        <f>[2]RESUMO!$G$92</f>
        <v>7255252.2815955002</v>
      </c>
    </row>
    <row r="186" spans="1:8" s="98" customFormat="1">
      <c r="A186" s="99" t="s">
        <v>1547</v>
      </c>
      <c r="B186" s="100" t="s">
        <v>3417</v>
      </c>
      <c r="C186" s="99"/>
      <c r="D186" s="20"/>
      <c r="E186" s="20"/>
      <c r="F186" s="19"/>
      <c r="G186" s="494">
        <f>H186</f>
        <v>3613877.499078</v>
      </c>
      <c r="H186" s="494">
        <f>[2]RESUMO!$G$93</f>
        <v>3613877.499078</v>
      </c>
    </row>
    <row r="187" spans="1:8" s="98" customFormat="1">
      <c r="A187" s="99"/>
      <c r="B187" s="100"/>
      <c r="C187" s="99"/>
      <c r="D187" s="20"/>
      <c r="E187" s="20"/>
      <c r="F187" s="19"/>
      <c r="G187" s="19"/>
      <c r="H187" s="19"/>
    </row>
    <row r="188" spans="1:8" s="98" customFormat="1">
      <c r="A188" s="74" t="s">
        <v>3049</v>
      </c>
      <c r="B188" s="101" t="s">
        <v>3235</v>
      </c>
      <c r="C188" s="74"/>
      <c r="D188" s="75"/>
      <c r="E188" s="75"/>
      <c r="F188" s="75" t="e">
        <f>#REF!</f>
        <v>#REF!</v>
      </c>
      <c r="G188" s="75">
        <f>SUM(G189:G190)</f>
        <v>2271842.1845200001</v>
      </c>
      <c r="H188" s="75">
        <f>SUM(H189:H190)</f>
        <v>2271842.1845200001</v>
      </c>
    </row>
    <row r="189" spans="1:8">
      <c r="A189" s="99" t="s">
        <v>1548</v>
      </c>
      <c r="B189" s="100" t="s">
        <v>3416</v>
      </c>
      <c r="C189" s="99"/>
      <c r="D189" s="20"/>
      <c r="E189" s="20"/>
      <c r="F189" s="19"/>
      <c r="G189" s="494">
        <f t="shared" ref="G189:G190" si="1">H189</f>
        <v>2060097.9555600001</v>
      </c>
      <c r="H189" s="494">
        <f>[2]RESUMO!$G$89</f>
        <v>2060097.9555600001</v>
      </c>
    </row>
    <row r="190" spans="1:8" s="98" customFormat="1">
      <c r="A190" s="99" t="s">
        <v>1549</v>
      </c>
      <c r="B190" s="100" t="s">
        <v>3417</v>
      </c>
      <c r="C190" s="99"/>
      <c r="D190" s="20"/>
      <c r="E190" s="20"/>
      <c r="F190" s="19"/>
      <c r="G190" s="494">
        <f t="shared" si="1"/>
        <v>211744.22896000001</v>
      </c>
      <c r="H190" s="494">
        <f>[2]RESUMO!$G$90</f>
        <v>211744.22896000001</v>
      </c>
    </row>
    <row r="191" spans="1:8" s="98" customFormat="1">
      <c r="A191" s="181"/>
      <c r="B191" s="100"/>
      <c r="C191" s="181"/>
      <c r="D191" s="20"/>
      <c r="E191" s="20"/>
      <c r="F191" s="19"/>
      <c r="G191" s="19"/>
      <c r="H191" s="19"/>
    </row>
    <row r="192" spans="1:8" s="98" customFormat="1" ht="31.5">
      <c r="A192" s="74" t="s">
        <v>1553</v>
      </c>
      <c r="B192" s="101" t="s">
        <v>3236</v>
      </c>
      <c r="C192" s="74"/>
      <c r="D192" s="75"/>
      <c r="E192" s="75"/>
      <c r="F192" s="75" t="e">
        <f>#REF!</f>
        <v>#REF!</v>
      </c>
      <c r="G192" s="75">
        <f>SUM(G193:G194)</f>
        <v>5649109.8717897246</v>
      </c>
      <c r="H192" s="75">
        <f>SUM(H193:H194)</f>
        <v>5649109.8717897246</v>
      </c>
    </row>
    <row r="193" spans="1:8">
      <c r="A193" s="99" t="s">
        <v>1554</v>
      </c>
      <c r="B193" s="100" t="s">
        <v>3416</v>
      </c>
      <c r="C193" s="99"/>
      <c r="D193" s="20"/>
      <c r="E193" s="20"/>
      <c r="F193" s="19"/>
      <c r="G193" s="494">
        <f t="shared" ref="G193:G194" si="2">H193</f>
        <v>1962766.6926890824</v>
      </c>
      <c r="H193" s="494">
        <f>[2]RESUMO!$G$98</f>
        <v>1962766.6926890824</v>
      </c>
    </row>
    <row r="194" spans="1:8" s="98" customFormat="1">
      <c r="A194" s="99" t="s">
        <v>1555</v>
      </c>
      <c r="B194" s="100" t="s">
        <v>3417</v>
      </c>
      <c r="C194" s="99"/>
      <c r="D194" s="20"/>
      <c r="E194" s="20"/>
      <c r="F194" s="19"/>
      <c r="G194" s="494">
        <f t="shared" si="2"/>
        <v>3686343.179100642</v>
      </c>
      <c r="H194" s="494">
        <f>[2]RESUMO!$G$99</f>
        <v>3686343.179100642</v>
      </c>
    </row>
    <row r="195" spans="1:8" s="98" customFormat="1">
      <c r="A195" s="181"/>
      <c r="B195" s="100"/>
      <c r="C195" s="99"/>
      <c r="D195" s="20"/>
      <c r="E195" s="20"/>
      <c r="F195" s="19"/>
      <c r="G195" s="19"/>
      <c r="H195" s="19"/>
    </row>
    <row r="196" spans="1:8" s="98" customFormat="1" ht="31.5">
      <c r="A196" s="74" t="s">
        <v>1550</v>
      </c>
      <c r="B196" s="101" t="s">
        <v>3237</v>
      </c>
      <c r="C196" s="74"/>
      <c r="D196" s="75"/>
      <c r="E196" s="75"/>
      <c r="F196" s="75" t="e">
        <f>#REF!</f>
        <v>#REF!</v>
      </c>
      <c r="G196" s="75">
        <f>SUM(G197:G198)</f>
        <v>2237359.1702051763</v>
      </c>
      <c r="H196" s="75">
        <f>SUM(H197:H198)</f>
        <v>2237359.1702051763</v>
      </c>
    </row>
    <row r="197" spans="1:8">
      <c r="A197" s="99" t="s">
        <v>1551</v>
      </c>
      <c r="B197" s="100" t="s">
        <v>3416</v>
      </c>
      <c r="C197" s="99"/>
      <c r="D197" s="20"/>
      <c r="E197" s="20"/>
      <c r="F197" s="19"/>
      <c r="G197" s="494">
        <f t="shared" ref="G197:G198" si="3">H197</f>
        <v>777363.89599905885</v>
      </c>
      <c r="H197" s="494">
        <f>[2]RESUMO!$G$101</f>
        <v>777363.89599905885</v>
      </c>
    </row>
    <row r="198" spans="1:8" s="98" customFormat="1">
      <c r="A198" s="99" t="s">
        <v>1552</v>
      </c>
      <c r="B198" s="100" t="s">
        <v>3417</v>
      </c>
      <c r="C198" s="99"/>
      <c r="D198" s="20"/>
      <c r="E198" s="20"/>
      <c r="F198" s="19"/>
      <c r="G198" s="494">
        <f t="shared" si="3"/>
        <v>1459995.2742061175</v>
      </c>
      <c r="H198" s="494">
        <f>[2]RESUMO!$G$102</f>
        <v>1459995.2742061175</v>
      </c>
    </row>
    <row r="199" spans="1:8" s="98" customFormat="1">
      <c r="A199" s="181"/>
      <c r="B199" s="100"/>
      <c r="C199" s="181"/>
      <c r="D199" s="20"/>
      <c r="E199" s="20"/>
      <c r="F199" s="19"/>
      <c r="G199" s="19"/>
      <c r="H199" s="19"/>
    </row>
    <row r="200" spans="1:8" s="98" customFormat="1">
      <c r="A200" s="74" t="s">
        <v>3045</v>
      </c>
      <c r="B200" s="101" t="s">
        <v>3840</v>
      </c>
      <c r="C200" s="74"/>
      <c r="D200" s="75"/>
      <c r="E200" s="75"/>
      <c r="F200" s="75" t="e">
        <f>#REF!</f>
        <v>#REF!</v>
      </c>
      <c r="G200" s="75">
        <f>SUM(G201:G202)</f>
        <v>2285164.587508</v>
      </c>
      <c r="H200" s="75">
        <f>SUM(H201:H202)</f>
        <v>2285164.587508</v>
      </c>
    </row>
    <row r="201" spans="1:8">
      <c r="A201" s="99" t="s">
        <v>3046</v>
      </c>
      <c r="B201" s="100" t="s">
        <v>3416</v>
      </c>
      <c r="C201" s="99"/>
      <c r="D201" s="20"/>
      <c r="E201" s="20"/>
      <c r="F201" s="19"/>
      <c r="G201" s="494">
        <f t="shared" ref="G201:G202" si="4">H201</f>
        <v>2179072.196004</v>
      </c>
      <c r="H201" s="494">
        <f>[2]RESUMO!$G$95</f>
        <v>2179072.196004</v>
      </c>
    </row>
    <row r="202" spans="1:8" s="98" customFormat="1">
      <c r="A202" s="99" t="s">
        <v>3047</v>
      </c>
      <c r="B202" s="100" t="s">
        <v>3417</v>
      </c>
      <c r="C202" s="99"/>
      <c r="D202" s="20"/>
      <c r="E202" s="20"/>
      <c r="F202" s="19"/>
      <c r="G202" s="494">
        <f t="shared" si="4"/>
        <v>106092.39150400001</v>
      </c>
      <c r="H202" s="494">
        <f>[2]RESUMO!$G$96</f>
        <v>106092.39150400001</v>
      </c>
    </row>
    <row r="203" spans="1:8" s="98" customFormat="1">
      <c r="A203" s="408"/>
      <c r="B203" s="100"/>
      <c r="C203" s="99"/>
      <c r="D203" s="20"/>
      <c r="E203" s="20"/>
      <c r="F203" s="19"/>
      <c r="G203" s="19"/>
      <c r="H203" s="19"/>
    </row>
    <row r="204" spans="1:8" s="98" customFormat="1">
      <c r="A204" s="74" t="s">
        <v>3063</v>
      </c>
      <c r="B204" s="101" t="s">
        <v>3214</v>
      </c>
      <c r="C204" s="74"/>
      <c r="D204" s="75"/>
      <c r="E204" s="75"/>
      <c r="F204" s="75"/>
      <c r="G204" s="75">
        <f>SUM(G205:G207)</f>
        <v>5416795.6103203846</v>
      </c>
      <c r="H204" s="75">
        <f>SUM(H205:H208)</f>
        <v>606680.06880000001</v>
      </c>
    </row>
    <row r="205" spans="1:8" s="98" customFormat="1">
      <c r="A205" s="409"/>
      <c r="B205" s="385" t="s">
        <v>3215</v>
      </c>
      <c r="C205" s="218"/>
      <c r="D205" s="219"/>
      <c r="E205" s="219"/>
      <c r="F205" s="220"/>
      <c r="G205" s="585">
        <f>AUX.!K36</f>
        <v>4836424.6520717721</v>
      </c>
      <c r="H205" s="350">
        <v>0</v>
      </c>
    </row>
    <row r="206" spans="1:8" s="98" customFormat="1">
      <c r="A206" s="409"/>
      <c r="B206" s="385" t="s">
        <v>3114</v>
      </c>
      <c r="C206" s="218"/>
      <c r="D206" s="219"/>
      <c r="E206" s="219"/>
      <c r="F206" s="220"/>
      <c r="G206" s="585">
        <f>AUX.!K37</f>
        <v>483642.46520717721</v>
      </c>
      <c r="H206" s="350">
        <v>0</v>
      </c>
    </row>
    <row r="207" spans="1:8" s="98" customFormat="1">
      <c r="A207" s="409"/>
      <c r="B207" s="385" t="s">
        <v>3119</v>
      </c>
      <c r="C207" s="218"/>
      <c r="D207" s="219"/>
      <c r="E207" s="219"/>
      <c r="F207" s="220"/>
      <c r="G207" s="585">
        <f>AUX.!K38</f>
        <v>96728.493041435446</v>
      </c>
      <c r="H207" s="350">
        <v>0</v>
      </c>
    </row>
    <row r="208" spans="1:8" s="98" customFormat="1">
      <c r="A208" s="524"/>
      <c r="B208" s="437" t="s">
        <v>3148</v>
      </c>
      <c r="C208" s="438" t="s">
        <v>3219</v>
      </c>
      <c r="D208" s="219"/>
      <c r="E208" s="219"/>
      <c r="F208" s="220"/>
      <c r="G208" s="586">
        <f>RECUP.!I32</f>
        <v>606680.06880000001</v>
      </c>
      <c r="H208" s="492">
        <f>G208</f>
        <v>606680.06880000001</v>
      </c>
    </row>
    <row r="209" spans="1:13" s="98" customFormat="1">
      <c r="A209" s="409"/>
      <c r="B209" s="217"/>
      <c r="C209" s="218"/>
      <c r="D209" s="219"/>
      <c r="E209" s="219"/>
      <c r="F209" s="220"/>
      <c r="G209" s="220"/>
      <c r="H209" s="220"/>
    </row>
    <row r="210" spans="1:13" s="98" customFormat="1">
      <c r="A210" s="74" t="s">
        <v>3064</v>
      </c>
      <c r="B210" s="101" t="s">
        <v>3217</v>
      </c>
      <c r="C210" s="74"/>
      <c r="D210" s="75"/>
      <c r="E210" s="75"/>
      <c r="F210" s="75"/>
      <c r="G210" s="75">
        <f>SUM(G211:G214)</f>
        <v>15522900.56520051</v>
      </c>
      <c r="H210" s="75">
        <f>SUM(H211:H215)</f>
        <v>474175.62588129146</v>
      </c>
    </row>
    <row r="211" spans="1:13" s="98" customFormat="1">
      <c r="A211" s="409"/>
      <c r="B211" s="385" t="s">
        <v>3216</v>
      </c>
      <c r="C211" s="218"/>
      <c r="D211" s="219"/>
      <c r="E211" s="219"/>
      <c r="F211" s="220"/>
      <c r="G211" s="585">
        <f>AUX.!K42</f>
        <v>14960581.543382594</v>
      </c>
      <c r="H211" s="350">
        <v>0</v>
      </c>
    </row>
    <row r="212" spans="1:13" s="98" customFormat="1">
      <c r="A212" s="409"/>
      <c r="B212" s="385" t="s">
        <v>3132</v>
      </c>
      <c r="C212" s="218"/>
      <c r="D212" s="219"/>
      <c r="E212" s="219"/>
      <c r="F212" s="220"/>
      <c r="G212" s="585">
        <f>AUX.!K43</f>
        <v>259306.94582592597</v>
      </c>
      <c r="H212" s="350">
        <v>0</v>
      </c>
    </row>
    <row r="213" spans="1:13" s="98" customFormat="1">
      <c r="A213" s="409"/>
      <c r="B213" s="385" t="s">
        <v>3134</v>
      </c>
      <c r="C213" s="218"/>
      <c r="D213" s="219"/>
      <c r="E213" s="219"/>
      <c r="F213" s="220"/>
      <c r="G213" s="585">
        <f>AUX.!K44</f>
        <v>252510.06332665842</v>
      </c>
      <c r="H213" s="350">
        <v>0</v>
      </c>
    </row>
    <row r="214" spans="1:13" s="98" customFormat="1">
      <c r="A214" s="409"/>
      <c r="B214" s="385" t="s">
        <v>3135</v>
      </c>
      <c r="C214" s="218"/>
      <c r="D214" s="219"/>
      <c r="E214" s="219"/>
      <c r="F214" s="220"/>
      <c r="G214" s="585">
        <f>AUX.!K45</f>
        <v>50502.012665331684</v>
      </c>
      <c r="H214" s="350">
        <v>0</v>
      </c>
    </row>
    <row r="215" spans="1:13" s="98" customFormat="1">
      <c r="A215" s="409"/>
      <c r="B215" s="437" t="s">
        <v>3148</v>
      </c>
      <c r="C215" s="438" t="s">
        <v>3219</v>
      </c>
      <c r="D215" s="219"/>
      <c r="E215" s="219"/>
      <c r="F215" s="220"/>
      <c r="G215" s="586">
        <f>RECUP.!I78</f>
        <v>474175.62588129146</v>
      </c>
      <c r="H215" s="492">
        <f>G215</f>
        <v>474175.62588129146</v>
      </c>
    </row>
    <row r="216" spans="1:13" s="98" customFormat="1">
      <c r="A216" s="409"/>
      <c r="B216" s="217"/>
      <c r="C216" s="218"/>
      <c r="D216" s="219"/>
      <c r="E216" s="219"/>
      <c r="F216" s="220"/>
      <c r="G216" s="220"/>
      <c r="H216" s="220"/>
    </row>
    <row r="217" spans="1:13" s="98" customFormat="1">
      <c r="A217" s="74" t="s">
        <v>3065</v>
      </c>
      <c r="B217" s="101" t="s">
        <v>3821</v>
      </c>
      <c r="C217" s="74"/>
      <c r="D217" s="75"/>
      <c r="E217" s="75"/>
      <c r="F217" s="75"/>
      <c r="G217" s="75">
        <f>SUM(G218:G220)</f>
        <v>8884226.5137052517</v>
      </c>
      <c r="H217" s="75">
        <f>SUM(H218:H221)</f>
        <v>9009698.9385776781</v>
      </c>
    </row>
    <row r="218" spans="1:13" s="98" customFormat="1">
      <c r="A218" s="409"/>
      <c r="B218" s="385" t="s">
        <v>3060</v>
      </c>
      <c r="C218" s="218"/>
      <c r="D218" s="219"/>
      <c r="E218" s="219"/>
      <c r="F218" s="220"/>
      <c r="G218" s="585">
        <f>'RESUMO TOMADAS'!G14</f>
        <v>1006840.1931666333</v>
      </c>
      <c r="H218" s="350">
        <f>[2]RESUMO!$G$64</f>
        <v>1006840.1931666333</v>
      </c>
    </row>
    <row r="219" spans="1:13" s="98" customFormat="1">
      <c r="A219" s="409"/>
      <c r="B219" s="385" t="s">
        <v>3114</v>
      </c>
      <c r="C219" s="218"/>
      <c r="D219" s="219"/>
      <c r="E219" s="219"/>
      <c r="F219" s="220"/>
      <c r="G219" s="585">
        <f>'RESUMO TOMADAS'!G15</f>
        <v>6836077.0368122794</v>
      </c>
      <c r="H219" s="350">
        <f>[2]RESUMO!$G$65</f>
        <v>6836077.0368122794</v>
      </c>
    </row>
    <row r="220" spans="1:13" s="98" customFormat="1">
      <c r="A220" s="409"/>
      <c r="B220" s="385" t="s">
        <v>3177</v>
      </c>
      <c r="C220" s="218"/>
      <c r="D220" s="219"/>
      <c r="E220" s="219"/>
      <c r="F220" s="220"/>
      <c r="G220" s="585">
        <f>'RESUMO TOMADAS'!G16</f>
        <v>1041309.2837263396</v>
      </c>
      <c r="H220" s="350">
        <f>[2]RESUMO!$G$66</f>
        <v>1041309.2837263396</v>
      </c>
    </row>
    <row r="221" spans="1:13" s="98" customFormat="1">
      <c r="A221" s="409"/>
      <c r="B221" s="437" t="s">
        <v>3148</v>
      </c>
      <c r="C221" s="438" t="s">
        <v>3219</v>
      </c>
      <c r="D221" s="219"/>
      <c r="E221" s="219"/>
      <c r="F221" s="220"/>
      <c r="G221" s="586">
        <f>RECUP.!I79</f>
        <v>125472.42487242584</v>
      </c>
      <c r="H221" s="492">
        <f>G221</f>
        <v>125472.42487242584</v>
      </c>
    </row>
    <row r="222" spans="1:13" s="98" customFormat="1">
      <c r="A222" s="409"/>
      <c r="B222" s="217"/>
      <c r="C222" s="218"/>
      <c r="D222" s="219"/>
      <c r="E222" s="219"/>
      <c r="F222" s="220"/>
      <c r="G222" s="220"/>
      <c r="H222" s="220"/>
    </row>
    <row r="223" spans="1:13" s="98" customFormat="1">
      <c r="A223" s="74" t="s">
        <v>3118</v>
      </c>
      <c r="B223" s="101" t="s">
        <v>3128</v>
      </c>
      <c r="C223" s="74"/>
      <c r="D223" s="75"/>
      <c r="E223" s="75"/>
      <c r="F223" s="75"/>
      <c r="G223" s="75">
        <f>SUM(G224:G226)</f>
        <v>85966584.754908741</v>
      </c>
      <c r="H223" s="75">
        <f>SUM(H224:H226)</f>
        <v>85966584.754908741</v>
      </c>
    </row>
    <row r="224" spans="1:13" customFormat="1">
      <c r="A224" s="256"/>
      <c r="B224" s="217" t="s">
        <v>3124</v>
      </c>
      <c r="C224" s="256"/>
      <c r="D224" s="258"/>
      <c r="E224" s="259"/>
      <c r="F224" s="260"/>
      <c r="G224" s="350">
        <f>AUX.!K50</f>
        <v>81105636.854908735</v>
      </c>
      <c r="H224" s="350">
        <f>AUX.!K50</f>
        <v>81105636.854908735</v>
      </c>
      <c r="I224" s="98"/>
      <c r="J224" s="98"/>
      <c r="K224" s="98"/>
      <c r="L224" s="98"/>
      <c r="M224" s="98"/>
    </row>
    <row r="225" spans="1:13" customFormat="1">
      <c r="A225" s="256"/>
      <c r="B225" s="217" t="s">
        <v>3125</v>
      </c>
      <c r="C225" s="256"/>
      <c r="D225" s="257"/>
      <c r="E225" s="256"/>
      <c r="F225" s="257"/>
      <c r="G225" s="351">
        <f>H225</f>
        <v>4860947.9000000004</v>
      </c>
      <c r="H225" s="351">
        <f>'[2]RESUMO GERAL'!$C$15</f>
        <v>4860947.9000000004</v>
      </c>
      <c r="I225" s="98"/>
      <c r="J225" s="98"/>
      <c r="K225" s="98"/>
      <c r="L225" s="98"/>
      <c r="M225" s="98"/>
    </row>
    <row r="226" spans="1:13" customFormat="1">
      <c r="A226" s="256"/>
      <c r="B226" s="217" t="s">
        <v>3126</v>
      </c>
      <c r="C226" s="256"/>
      <c r="D226" s="261"/>
      <c r="E226" s="259"/>
      <c r="F226" s="260"/>
      <c r="G226" s="624"/>
      <c r="H226" s="514"/>
      <c r="I226" s="98"/>
      <c r="J226" s="98"/>
      <c r="K226" s="98"/>
      <c r="L226" s="98"/>
      <c r="M226" s="98"/>
    </row>
    <row r="227" spans="1:13" s="98" customFormat="1">
      <c r="A227" s="409"/>
      <c r="B227" s="217"/>
      <c r="C227" s="218"/>
      <c r="D227" s="219"/>
      <c r="E227" s="219"/>
      <c r="F227" s="220"/>
      <c r="G227" s="220"/>
      <c r="H227" s="220"/>
    </row>
    <row r="228" spans="1:13" s="98" customFormat="1">
      <c r="A228" s="74" t="s">
        <v>3183</v>
      </c>
      <c r="B228" s="101" t="s">
        <v>3184</v>
      </c>
      <c r="C228" s="74"/>
      <c r="D228" s="75"/>
      <c r="E228" s="75"/>
      <c r="F228" s="75" t="e">
        <f>SUM(F229:F232)</f>
        <v>#REF!</v>
      </c>
      <c r="G228" s="75">
        <f>SUM(G229:G234)</f>
        <v>20565079.459455431</v>
      </c>
      <c r="H228" s="75">
        <f>SUM(H229:H234)</f>
        <v>20565079.459455431</v>
      </c>
    </row>
    <row r="229" spans="1:13" customFormat="1">
      <c r="A229" s="256" t="s">
        <v>15</v>
      </c>
      <c r="B229" s="217" t="s">
        <v>3697</v>
      </c>
      <c r="C229" s="348"/>
      <c r="D229" s="344" t="e">
        <f>#REF!</f>
        <v>#REF!</v>
      </c>
      <c r="E229" s="220" t="e">
        <f>#REF!</f>
        <v>#REF!</v>
      </c>
      <c r="F229" s="220" t="e">
        <f>#REF!</f>
        <v>#REF!</v>
      </c>
      <c r="G229" s="849">
        <f>H229</f>
        <v>1189449.9938334946</v>
      </c>
      <c r="H229" s="350">
        <f>[2]RESUMO!$G14</f>
        <v>1189449.9938334946</v>
      </c>
      <c r="I229" s="98"/>
      <c r="J229" s="98"/>
      <c r="K229" s="98"/>
      <c r="L229" s="98"/>
      <c r="M229" s="98"/>
    </row>
    <row r="230" spans="1:13" customFormat="1">
      <c r="A230" s="256" t="s">
        <v>16</v>
      </c>
      <c r="B230" s="217" t="s">
        <v>3698</v>
      </c>
      <c r="C230" s="256"/>
      <c r="D230" s="345" t="e">
        <f>#REF!</f>
        <v>#REF!</v>
      </c>
      <c r="E230" s="220" t="e">
        <f>#REF!</f>
        <v>#REF!</v>
      </c>
      <c r="F230" s="220" t="e">
        <f>#REF!</f>
        <v>#REF!</v>
      </c>
      <c r="G230" s="849">
        <f t="shared" ref="G230:G234" si="5">H230</f>
        <v>509764.28307149769</v>
      </c>
      <c r="H230" s="350">
        <f>[2]RESUMO!$G15</f>
        <v>509764.28307149769</v>
      </c>
      <c r="I230" s="98"/>
      <c r="J230" s="98"/>
      <c r="K230" s="98"/>
      <c r="L230" s="98"/>
      <c r="M230" s="98"/>
    </row>
    <row r="231" spans="1:13" customFormat="1">
      <c r="A231" s="256" t="s">
        <v>17</v>
      </c>
      <c r="B231" s="217" t="s">
        <v>3699</v>
      </c>
      <c r="C231" s="256"/>
      <c r="D231" s="346" t="e">
        <f>#REF!</f>
        <v>#REF!</v>
      </c>
      <c r="E231" s="220" t="e">
        <f>#REF!</f>
        <v>#REF!</v>
      </c>
      <c r="F231" s="220" t="e">
        <f>#REF!</f>
        <v>#REF!</v>
      </c>
      <c r="G231" s="849">
        <f t="shared" si="5"/>
        <v>1699214.2769049923</v>
      </c>
      <c r="H231" s="350">
        <f>[2]RESUMO!$G16</f>
        <v>1699214.2769049923</v>
      </c>
      <c r="I231" s="98"/>
      <c r="J231" s="98"/>
      <c r="K231" s="98"/>
      <c r="L231" s="98"/>
      <c r="M231" s="98"/>
    </row>
    <row r="232" spans="1:13" s="98" customFormat="1">
      <c r="A232" s="256" t="s">
        <v>18</v>
      </c>
      <c r="B232" s="217" t="s">
        <v>3700</v>
      </c>
      <c r="C232" s="218"/>
      <c r="D232" s="347" t="e">
        <f>#REF!</f>
        <v>#REF!</v>
      </c>
      <c r="E232" s="220" t="e">
        <f>#REF!</f>
        <v>#REF!</v>
      </c>
      <c r="F232" s="220" t="e">
        <f>#REF!</f>
        <v>#REF!</v>
      </c>
      <c r="G232" s="849">
        <f t="shared" si="5"/>
        <v>15467436.628740454</v>
      </c>
      <c r="H232" s="350">
        <f>[2]RESUMO!$G17</f>
        <v>15467436.628740454</v>
      </c>
    </row>
    <row r="233" spans="1:13" s="98" customFormat="1">
      <c r="A233" s="256" t="s">
        <v>3218</v>
      </c>
      <c r="B233" s="217" t="s">
        <v>3701</v>
      </c>
      <c r="C233" s="218"/>
      <c r="D233" s="347"/>
      <c r="E233" s="220"/>
      <c r="F233" s="220"/>
      <c r="G233" s="849">
        <f t="shared" si="5"/>
        <v>1189449.9938334946</v>
      </c>
      <c r="H233" s="350">
        <f>[2]RESUMO!$G18</f>
        <v>1189449.9938334946</v>
      </c>
    </row>
    <row r="234" spans="1:13" s="98" customFormat="1">
      <c r="A234" s="256" t="s">
        <v>3703</v>
      </c>
      <c r="B234" s="217" t="s">
        <v>3702</v>
      </c>
      <c r="C234" s="218"/>
      <c r="D234" s="219"/>
      <c r="E234" s="219"/>
      <c r="F234" s="220"/>
      <c r="G234" s="849">
        <f t="shared" si="5"/>
        <v>509764.28307149769</v>
      </c>
      <c r="H234" s="350">
        <f>[2]RESUMO!$G19</f>
        <v>509764.28307149769</v>
      </c>
    </row>
    <row r="235" spans="1:13" s="98" customFormat="1">
      <c r="A235" s="409"/>
      <c r="B235" s="217"/>
      <c r="C235" s="218"/>
      <c r="D235" s="219"/>
      <c r="E235" s="219"/>
      <c r="F235" s="220"/>
      <c r="G235" s="220"/>
      <c r="H235" s="220"/>
    </row>
    <row r="236" spans="1:13" s="98" customFormat="1">
      <c r="A236" s="74">
        <v>29</v>
      </c>
      <c r="B236" s="101" t="s">
        <v>3814</v>
      </c>
      <c r="C236" s="74"/>
      <c r="D236" s="75"/>
      <c r="E236" s="75"/>
      <c r="F236" s="75"/>
      <c r="G236" s="75">
        <f>SUM(G237:G240)</f>
        <v>31479363.298860144</v>
      </c>
      <c r="H236" s="75">
        <f>SUM(H237:H240)</f>
        <v>31479363.298860144</v>
      </c>
    </row>
    <row r="237" spans="1:13" s="98" customFormat="1">
      <c r="A237" s="409"/>
      <c r="B237" s="901" t="s">
        <v>3224</v>
      </c>
      <c r="C237" s="218"/>
      <c r="D237" s="219"/>
      <c r="E237" s="219"/>
      <c r="F237" s="220"/>
      <c r="G237" s="585">
        <f>AUX.!$K$54</f>
        <v>4778118.3174596066</v>
      </c>
      <c r="H237" s="350">
        <f>G237</f>
        <v>4778118.3174596066</v>
      </c>
    </row>
    <row r="238" spans="1:13" s="98" customFormat="1">
      <c r="A238" s="409"/>
      <c r="B238" s="901" t="s">
        <v>3231</v>
      </c>
      <c r="C238" s="218"/>
      <c r="D238" s="219"/>
      <c r="E238" s="219"/>
      <c r="F238" s="220"/>
      <c r="G238" s="585">
        <f>AUX.!$K$55</f>
        <v>9122909.6651625447</v>
      </c>
      <c r="H238" s="350">
        <f>G238</f>
        <v>9122909.6651625447</v>
      </c>
    </row>
    <row r="239" spans="1:13" s="98" customFormat="1">
      <c r="A239" s="409"/>
      <c r="B239" s="901" t="s">
        <v>3233</v>
      </c>
      <c r="C239" s="218"/>
      <c r="D239" s="219"/>
      <c r="E239" s="219"/>
      <c r="F239" s="220"/>
      <c r="G239" s="585">
        <f>AUX.!$K$56</f>
        <v>13901167.13766137</v>
      </c>
      <c r="H239" s="350">
        <f>G239</f>
        <v>13901167.13766137</v>
      </c>
    </row>
    <row r="240" spans="1:13" s="98" customFormat="1">
      <c r="A240" s="409"/>
      <c r="B240" s="901" t="s">
        <v>3832</v>
      </c>
      <c r="C240" s="218"/>
      <c r="D240" s="219"/>
      <c r="E240" s="219"/>
      <c r="F240" s="220"/>
      <c r="G240" s="585">
        <f>AUX.!$K$57</f>
        <v>3677168.1785766236</v>
      </c>
      <c r="H240" s="220">
        <f>G240</f>
        <v>3677168.1785766236</v>
      </c>
    </row>
    <row r="241" spans="1:61" s="98" customFormat="1" ht="16.5" thickBot="1">
      <c r="A241" s="409"/>
      <c r="B241" s="262"/>
      <c r="C241" s="263"/>
      <c r="D241" s="264"/>
      <c r="E241" s="264"/>
      <c r="F241" s="265"/>
      <c r="G241" s="265"/>
      <c r="H241" s="265"/>
    </row>
    <row r="242" spans="1:61" s="98" customFormat="1" ht="19.5" thickBot="1">
      <c r="A242" s="1110" t="s">
        <v>3312</v>
      </c>
      <c r="B242" s="1110"/>
      <c r="C242" s="1110"/>
      <c r="D242" s="127"/>
      <c r="E242" s="127"/>
      <c r="F242" s="127" t="e">
        <f>F23+F27+F39+F50+F58+F69+F76+F81+F111+F130+F140+F148+F152+F168+F173+F177+F179+F182+F184+F188+F192+F196+F200+F204+F210+F217+F223+F228</f>
        <v>#REF!</v>
      </c>
      <c r="G242" s="127">
        <f>G23+G27+G39+G50+G58+G69+G76+G81+G111+G130+G140+G148+G152+G168+G173+G177+G179+G182+G184+G188+G192+G196+G200+G204+G210+G217+G223+G228+G236</f>
        <v>721879221.0588218</v>
      </c>
      <c r="H242" s="378">
        <f>H23+H27+H39+H50+H58+H69+H76+H81+H111+H130+H140+H148+H152+H168+H173+H177+H179+H182+H184+H188+H192+H196+H200+H204+H210+H217+H223+H228+H236</f>
        <v>311130934.07802391</v>
      </c>
      <c r="J242" s="98">
        <v>325104155.20589632</v>
      </c>
      <c r="K242" s="382">
        <f>H242-J242</f>
        <v>-13973221.127872407</v>
      </c>
    </row>
    <row r="243" spans="1:61" s="98" customFormat="1" ht="19.5" thickBot="1">
      <c r="A243" s="1110" t="s">
        <v>3308</v>
      </c>
      <c r="B243" s="1110"/>
      <c r="C243" s="1110" t="s">
        <v>3299</v>
      </c>
      <c r="D243" s="127"/>
      <c r="E243" s="127"/>
      <c r="F243" s="127"/>
      <c r="G243" s="516">
        <f>G25+G32+G37+G109+G138+G171+G175+G208+G215+G221+G128</f>
        <v>12711833.479753718</v>
      </c>
      <c r="H243" s="923" t="s">
        <v>3848</v>
      </c>
    </row>
    <row r="244" spans="1:61" ht="19.5" thickBot="1">
      <c r="A244" s="1110" t="s">
        <v>3301</v>
      </c>
      <c r="B244" s="1110"/>
      <c r="C244" s="1110"/>
      <c r="D244" s="127"/>
      <c r="E244" s="127"/>
      <c r="F244" s="127"/>
      <c r="G244" s="127">
        <f>G242+G243</f>
        <v>734591054.53857553</v>
      </c>
      <c r="I244" s="98"/>
      <c r="J244" s="332">
        <v>325070716.4860239</v>
      </c>
      <c r="K244" s="98"/>
      <c r="L244" s="98"/>
      <c r="M244" s="98"/>
    </row>
    <row r="245" spans="1:61" ht="18.75">
      <c r="C245" s="202"/>
      <c r="D245" s="129"/>
      <c r="E245" s="349" t="s">
        <v>3185</v>
      </c>
      <c r="F245" s="129" t="e">
        <f>#REF!-'RESUMO GERAL'!F242</f>
        <v>#REF!</v>
      </c>
      <c r="G245" s="249">
        <v>6016.7550000000001</v>
      </c>
      <c r="H245" s="250" t="s">
        <v>3109</v>
      </c>
      <c r="I245" s="98"/>
      <c r="J245" s="98"/>
      <c r="K245" s="98"/>
      <c r="L245" s="98"/>
      <c r="M245" s="98"/>
    </row>
    <row r="246" spans="1:61">
      <c r="G246" s="249">
        <f>G244/G245</f>
        <v>122090.90357486311</v>
      </c>
      <c r="H246" s="250" t="s">
        <v>3110</v>
      </c>
    </row>
    <row r="247" spans="1:61" ht="12.75">
      <c r="B247" s="79"/>
      <c r="C247" s="79"/>
      <c r="D247" s="79"/>
      <c r="E247" s="79"/>
      <c r="F247" s="79"/>
      <c r="G247" s="79"/>
      <c r="H247" s="79"/>
    </row>
    <row r="248" spans="1:61">
      <c r="B248" s="926" t="s">
        <v>3852</v>
      </c>
      <c r="C248" s="927">
        <v>7.0000000000000001E-3</v>
      </c>
      <c r="D248" s="928"/>
      <c r="E248" s="928"/>
      <c r="F248" s="928"/>
      <c r="G248" s="929">
        <f>C248*($H$242-$H$228)</f>
        <v>2033960.9823299793</v>
      </c>
      <c r="H248" s="79"/>
      <c r="I248" s="203"/>
      <c r="J248" s="203"/>
      <c r="K248" s="203"/>
      <c r="L248" s="203"/>
      <c r="M248" s="203"/>
      <c r="N248" s="203"/>
    </row>
    <row r="249" spans="1:61" ht="12.75">
      <c r="B249" s="930" t="s">
        <v>3853</v>
      </c>
      <c r="C249" s="931">
        <v>3.0000000000000001E-3</v>
      </c>
      <c r="D249" s="932"/>
      <c r="E249" s="932"/>
      <c r="F249" s="932"/>
      <c r="G249" s="933">
        <f t="shared" ref="G249:G250" si="6">C249*($H$242-$H$228)</f>
        <v>871697.56385570543</v>
      </c>
      <c r="H249" s="79"/>
      <c r="J249" s="212"/>
    </row>
    <row r="250" spans="1:61" s="166" customFormat="1">
      <c r="A250" s="79"/>
      <c r="B250" s="934" t="s">
        <v>3854</v>
      </c>
      <c r="C250" s="931">
        <v>0.01</v>
      </c>
      <c r="D250" s="932"/>
      <c r="E250" s="932"/>
      <c r="F250" s="932"/>
      <c r="G250" s="933">
        <f t="shared" si="6"/>
        <v>2905658.5461856849</v>
      </c>
      <c r="H250" s="79"/>
      <c r="I250" s="98"/>
      <c r="J250" s="98"/>
      <c r="K250" s="98"/>
      <c r="L250" s="98"/>
      <c r="M250" s="98"/>
      <c r="N250" s="98"/>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row>
    <row r="251" spans="1:61" s="166" customFormat="1" ht="12.75">
      <c r="A251" s="79"/>
      <c r="B251" s="934" t="s">
        <v>3855</v>
      </c>
      <c r="C251" s="935">
        <f>6*12</f>
        <v>72</v>
      </c>
      <c r="D251" s="932"/>
      <c r="E251" s="932"/>
      <c r="F251" s="932"/>
      <c r="G251" s="936">
        <f>(60000*2.5)*C251</f>
        <v>10800000</v>
      </c>
      <c r="H251" s="79"/>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row>
    <row r="252" spans="1:61" s="166" customFormat="1" ht="12.75">
      <c r="A252" s="79"/>
      <c r="B252" s="930" t="s">
        <v>3850</v>
      </c>
      <c r="C252" s="931">
        <v>7.0000000000000001E-3</v>
      </c>
      <c r="D252" s="932"/>
      <c r="E252" s="932"/>
      <c r="F252" s="932"/>
      <c r="G252" s="933">
        <f t="shared" ref="G252:G253" si="7">C252*($H$242-$H$228)</f>
        <v>2033960.9823299793</v>
      </c>
      <c r="H252" s="79"/>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row>
    <row r="253" spans="1:61" s="166" customFormat="1" ht="12.75">
      <c r="A253" s="79"/>
      <c r="B253" s="937" t="s">
        <v>3851</v>
      </c>
      <c r="C253" s="938">
        <v>3.0000000000000001E-3</v>
      </c>
      <c r="D253" s="939"/>
      <c r="E253" s="939"/>
      <c r="F253" s="939"/>
      <c r="G253" s="940">
        <f t="shared" si="7"/>
        <v>871697.56385570543</v>
      </c>
      <c r="H253" s="79"/>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row>
    <row r="254" spans="1:61" s="166" customFormat="1" ht="12.75">
      <c r="A254" s="79"/>
      <c r="B254" s="941"/>
      <c r="C254" s="942" t="s">
        <v>2756</v>
      </c>
      <c r="D254" s="942"/>
      <c r="E254" s="942"/>
      <c r="F254" s="942"/>
      <c r="G254" s="943">
        <f>SUM(G248:G253)</f>
        <v>19516975.638557054</v>
      </c>
      <c r="H254" s="79"/>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row>
    <row r="255" spans="1:61" s="166" customFormat="1" ht="12.75">
      <c r="A255" s="79"/>
      <c r="B255" s="79"/>
      <c r="C255" s="79"/>
      <c r="D255" s="79"/>
      <c r="E255" s="79"/>
      <c r="F255" s="79"/>
      <c r="G255" s="79"/>
      <c r="H255" s="79"/>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row>
    <row r="256" spans="1:61" s="166" customFormat="1">
      <c r="A256" s="79"/>
      <c r="B256" s="49"/>
      <c r="C256" s="141"/>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row>
    <row r="257" spans="1:61" s="166" customFormat="1" ht="15.75" customHeight="1">
      <c r="A257" s="79"/>
      <c r="B257" s="1109" t="s">
        <v>3373</v>
      </c>
      <c r="C257" s="1109"/>
      <c r="D257" s="1109"/>
      <c r="E257" s="1109"/>
      <c r="F257" s="1109"/>
      <c r="G257" s="1109"/>
      <c r="H257" s="533">
        <f>(H23+H27+H39+H50+H58+H69+H76+H81+H111+H130+H140+H168+H173+H177+H184+H188+H192+H196+H200+H204+H210+H217+H228)-G243</f>
        <v>85119790.151914075</v>
      </c>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row>
    <row r="258" spans="1:61" s="166" customFormat="1" ht="15.75" customHeight="1">
      <c r="A258" s="79"/>
      <c r="B258" s="1109" t="s">
        <v>3374</v>
      </c>
      <c r="C258" s="1109"/>
      <c r="D258" s="1109"/>
      <c r="E258" s="1109"/>
      <c r="F258" s="1109"/>
      <c r="G258" s="1109"/>
      <c r="H258" s="533">
        <f>H25+H32+H37+H109+H138+H171+H175+H208+H215+H221+H128</f>
        <v>12711833.479753718</v>
      </c>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row>
    <row r="259" spans="1:61" s="166" customFormat="1" ht="15.75" customHeight="1">
      <c r="A259" s="79"/>
      <c r="B259" s="1109" t="s">
        <v>3375</v>
      </c>
      <c r="C259" s="1109"/>
      <c r="D259" s="1109"/>
      <c r="E259" s="1109"/>
      <c r="F259" s="1109"/>
      <c r="G259" s="1109"/>
      <c r="H259" s="534">
        <f>H148</f>
        <v>30726431.839889351</v>
      </c>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row>
    <row r="260" spans="1:61" s="166" customFormat="1" ht="15.75" customHeight="1">
      <c r="A260" s="79"/>
      <c r="B260" s="1109" t="s">
        <v>3376</v>
      </c>
      <c r="C260" s="1109"/>
      <c r="D260" s="1109"/>
      <c r="E260" s="1109"/>
      <c r="F260" s="1109"/>
      <c r="G260" s="1109"/>
      <c r="H260" s="534">
        <f>H224</f>
        <v>81105636.854908735</v>
      </c>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row>
    <row r="261" spans="1:61" s="166" customFormat="1" ht="15.75" customHeight="1">
      <c r="A261" s="79"/>
      <c r="B261" s="1109" t="s">
        <v>3377</v>
      </c>
      <c r="C261" s="1109"/>
      <c r="D261" s="1109"/>
      <c r="E261" s="1109"/>
      <c r="F261" s="1109"/>
      <c r="G261" s="1109"/>
      <c r="H261" s="534">
        <f>H225</f>
        <v>4860947.9000000004</v>
      </c>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row>
    <row r="262" spans="1:61" s="166" customFormat="1" ht="15.75" customHeight="1">
      <c r="A262" s="79"/>
      <c r="B262" s="1109" t="s">
        <v>3378</v>
      </c>
      <c r="C262" s="1109"/>
      <c r="D262" s="1109"/>
      <c r="E262" s="1109"/>
      <c r="F262" s="1109"/>
      <c r="G262" s="1109"/>
      <c r="H262" s="533">
        <f>H236+H152</f>
        <v>96606293.851558045</v>
      </c>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row>
    <row r="263" spans="1:61" s="166" customFormat="1">
      <c r="A263" s="79"/>
      <c r="B263" s="49"/>
      <c r="C263" s="141"/>
      <c r="D263" s="50"/>
      <c r="E263" s="50"/>
      <c r="F263" s="50"/>
      <c r="G263" s="50"/>
      <c r="H263" s="538">
        <f>SUM(H257:H262)</f>
        <v>311130934.07802391</v>
      </c>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row>
    <row r="264" spans="1:61" s="166" customFormat="1">
      <c r="A264" s="79"/>
      <c r="B264" s="49"/>
      <c r="C264" s="141"/>
      <c r="D264" s="50"/>
      <c r="E264" s="50"/>
      <c r="F264" s="50"/>
      <c r="G264" s="536" t="s">
        <v>3379</v>
      </c>
      <c r="H264" s="537">
        <f>H226</f>
        <v>0</v>
      </c>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row>
    <row r="265" spans="1:61" s="166" customFormat="1">
      <c r="A265" s="79"/>
      <c r="B265" s="49"/>
      <c r="C265" s="141"/>
      <c r="D265" s="50"/>
      <c r="E265" s="50"/>
      <c r="F265" s="50"/>
      <c r="G265" s="50"/>
      <c r="H265" s="535">
        <f>H263+H264</f>
        <v>311130934.07802391</v>
      </c>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row>
    <row r="266" spans="1:61" s="166" customFormat="1">
      <c r="A266" s="79"/>
      <c r="B266" s="49"/>
      <c r="C266" s="141"/>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row>
    <row r="267" spans="1:61" s="166" customFormat="1">
      <c r="A267" s="79"/>
      <c r="B267" s="49"/>
      <c r="C267" s="141"/>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row>
    <row r="268" spans="1:61" s="166" customFormat="1">
      <c r="A268" s="79"/>
      <c r="B268" s="49"/>
      <c r="C268" s="141"/>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row>
    <row r="269" spans="1:61" s="166" customFormat="1">
      <c r="A269" s="79"/>
      <c r="B269" s="49"/>
      <c r="C269" s="141"/>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row>
    <row r="270" spans="1:61" s="166" customFormat="1">
      <c r="A270" s="79"/>
      <c r="B270" s="49"/>
      <c r="C270" s="141"/>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row>
    <row r="271" spans="1:61" s="166" customFormat="1">
      <c r="A271" s="79"/>
      <c r="B271" s="49"/>
      <c r="C271" s="141"/>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row>
    <row r="272" spans="1:61" s="166" customFormat="1">
      <c r="A272" s="79"/>
      <c r="B272" s="49"/>
      <c r="C272" s="141"/>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row>
    <row r="273" spans="1:61" s="166" customFormat="1">
      <c r="A273" s="79"/>
      <c r="B273" s="49"/>
      <c r="C273" s="141"/>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row>
    <row r="274" spans="1:61" s="166" customFormat="1">
      <c r="A274" s="79"/>
      <c r="B274" s="49"/>
      <c r="C274" s="141"/>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row>
    <row r="275" spans="1:61" s="166" customFormat="1">
      <c r="A275" s="79"/>
      <c r="B275" s="49"/>
      <c r="C275" s="141"/>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row>
    <row r="276" spans="1:61" s="166" customFormat="1">
      <c r="A276" s="79"/>
      <c r="B276" s="49"/>
      <c r="C276" s="141"/>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row>
    <row r="277" spans="1:61" s="166" customFormat="1">
      <c r="A277" s="79"/>
      <c r="B277" s="49"/>
      <c r="C277" s="141"/>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row>
    <row r="278" spans="1:61" s="166" customFormat="1">
      <c r="A278" s="79"/>
      <c r="B278" s="49"/>
      <c r="C278" s="141"/>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row>
    <row r="279" spans="1:61" s="166" customFormat="1">
      <c r="A279" s="79"/>
      <c r="B279" s="49"/>
      <c r="C279" s="141"/>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row>
    <row r="280" spans="1:61" s="166" customFormat="1">
      <c r="A280" s="79"/>
      <c r="B280" s="49"/>
      <c r="C280" s="141"/>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row>
    <row r="281" spans="1:61" s="166" customFormat="1">
      <c r="A281" s="79"/>
      <c r="B281" s="49"/>
      <c r="C281" s="141"/>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row>
    <row r="282" spans="1:61" s="166" customFormat="1">
      <c r="A282" s="79"/>
      <c r="B282" s="49"/>
      <c r="C282" s="141"/>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row>
    <row r="284" spans="1:61" s="166" customFormat="1">
      <c r="A284" s="79"/>
      <c r="B284" s="49"/>
      <c r="C284" s="141"/>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row>
    <row r="285" spans="1:61" s="166" customFormat="1">
      <c r="A285" s="79"/>
      <c r="B285" s="49"/>
      <c r="C285" s="141"/>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row>
    <row r="286" spans="1:61" s="166" customFormat="1">
      <c r="A286" s="79"/>
      <c r="B286" s="49"/>
      <c r="C286" s="141"/>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row>
    <row r="287" spans="1:61" s="166" customFormat="1">
      <c r="A287" s="79"/>
      <c r="B287" s="49"/>
      <c r="C287" s="141"/>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row>
    <row r="288" spans="1:61" s="166" customFormat="1">
      <c r="A288" s="79"/>
      <c r="B288" s="49"/>
      <c r="C288" s="141"/>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row>
    <row r="289" spans="1:61" s="166" customFormat="1">
      <c r="A289" s="79"/>
      <c r="B289" s="49"/>
      <c r="C289" s="141"/>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row>
    <row r="290" spans="1:61" s="166" customFormat="1">
      <c r="A290" s="79"/>
      <c r="B290" s="49"/>
      <c r="C290" s="141"/>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row>
    <row r="291" spans="1:61" s="166" customFormat="1">
      <c r="A291" s="79"/>
      <c r="B291" s="49"/>
      <c r="C291" s="141"/>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row>
    <row r="292" spans="1:61" s="166" customFormat="1">
      <c r="A292" s="79"/>
      <c r="B292" s="49"/>
      <c r="C292" s="141"/>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row>
    <row r="293" spans="1:61" s="166" customFormat="1">
      <c r="A293" s="79"/>
      <c r="B293" s="49"/>
      <c r="C293" s="141"/>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row>
    <row r="294" spans="1:61" s="166" customFormat="1">
      <c r="A294" s="79"/>
      <c r="B294" s="49"/>
      <c r="C294" s="141"/>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row>
    <row r="295" spans="1:61" s="166" customFormat="1">
      <c r="A295" s="79"/>
      <c r="B295" s="49"/>
      <c r="C295" s="141"/>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row>
    <row r="296" spans="1:61" s="166" customFormat="1">
      <c r="A296" s="79"/>
      <c r="B296" s="49"/>
      <c r="C296" s="141"/>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row>
    <row r="297" spans="1:61" s="166" customFormat="1">
      <c r="A297" s="79"/>
      <c r="B297" s="49"/>
      <c r="C297" s="141"/>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row>
    <row r="298" spans="1:61" s="166" customFormat="1">
      <c r="A298" s="79"/>
      <c r="B298" s="49"/>
      <c r="C298" s="141"/>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row>
    <row r="299" spans="1:61" s="166" customFormat="1">
      <c r="A299" s="79"/>
      <c r="B299" s="49"/>
      <c r="C299" s="141"/>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row>
    <row r="300" spans="1:61" s="166" customFormat="1">
      <c r="A300" s="79"/>
      <c r="B300" s="49"/>
      <c r="C300" s="141"/>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row>
  </sheetData>
  <mergeCells count="19">
    <mergeCell ref="H21:H22"/>
    <mergeCell ref="B21:B22"/>
    <mergeCell ref="A21:A22"/>
    <mergeCell ref="C21:C22"/>
    <mergeCell ref="A4:H4"/>
    <mergeCell ref="A5:H5"/>
    <mergeCell ref="A6:H6"/>
    <mergeCell ref="A8:H8"/>
    <mergeCell ref="A243:C243"/>
    <mergeCell ref="A244:C244"/>
    <mergeCell ref="A242:C242"/>
    <mergeCell ref="G21:G22"/>
    <mergeCell ref="D21:F21"/>
    <mergeCell ref="B262:G262"/>
    <mergeCell ref="B257:G257"/>
    <mergeCell ref="B258:G258"/>
    <mergeCell ref="B259:G259"/>
    <mergeCell ref="B260:G260"/>
    <mergeCell ref="B261:G261"/>
  </mergeCells>
  <phoneticPr fontId="46" type="noConversion"/>
  <pageMargins left="0.51181102362204722" right="0.51181102362204722" top="0.78740157480314965" bottom="0.78740157480314965" header="0.31496062992125984" footer="0.31496062992125984"/>
  <pageSetup paperSize="9" scale="33" fitToHeight="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7"/>
  <sheetViews>
    <sheetView showGridLines="0" topLeftCell="A34" zoomScale="90" zoomScaleNormal="90" workbookViewId="0">
      <selection activeCell="H42" sqref="H42:H50"/>
    </sheetView>
  </sheetViews>
  <sheetFormatPr defaultRowHeight="15"/>
  <cols>
    <col min="2" max="2" width="16" style="1" customWidth="1"/>
    <col min="3" max="3" width="53.28515625" style="1" customWidth="1"/>
    <col min="4" max="4" width="15.28515625" customWidth="1"/>
    <col min="5" max="5" width="9.140625" style="77"/>
    <col min="6" max="6" width="11.85546875" customWidth="1"/>
    <col min="7" max="7" width="13.140625" customWidth="1"/>
    <col min="8" max="8" width="16.140625" customWidth="1"/>
    <col min="9" max="9" width="12.28515625" customWidth="1"/>
    <col min="10" max="10" width="9.7109375" customWidth="1"/>
    <col min="15" max="15" width="9.140625" style="239"/>
    <col min="258" max="258" width="16" customWidth="1"/>
    <col min="259" max="259" width="53.28515625" customWidth="1"/>
    <col min="260" max="260" width="15.28515625" customWidth="1"/>
    <col min="262" max="262" width="10.28515625" bestFit="1" customWidth="1"/>
    <col min="263" max="263" width="13.140625" customWidth="1"/>
    <col min="264" max="264" width="16.140625" customWidth="1"/>
    <col min="265" max="265" width="9.42578125" customWidth="1"/>
    <col min="514" max="514" width="16" customWidth="1"/>
    <col min="515" max="515" width="53.28515625" customWidth="1"/>
    <col min="516" max="516" width="15.28515625" customWidth="1"/>
    <col min="518" max="518" width="10.28515625" bestFit="1" customWidth="1"/>
    <col min="519" max="519" width="13.140625" customWidth="1"/>
    <col min="520" max="520" width="16.140625" customWidth="1"/>
    <col min="521" max="521" width="9.42578125" customWidth="1"/>
    <col min="770" max="770" width="16" customWidth="1"/>
    <col min="771" max="771" width="53.28515625" customWidth="1"/>
    <col min="772" max="772" width="15.28515625" customWidth="1"/>
    <col min="774" max="774" width="10.28515625" bestFit="1" customWidth="1"/>
    <col min="775" max="775" width="13.140625" customWidth="1"/>
    <col min="776" max="776" width="16.140625" customWidth="1"/>
    <col min="777" max="777" width="9.42578125" customWidth="1"/>
    <col min="1026" max="1026" width="16" customWidth="1"/>
    <col min="1027" max="1027" width="53.28515625" customWidth="1"/>
    <col min="1028" max="1028" width="15.28515625" customWidth="1"/>
    <col min="1030" max="1030" width="10.28515625" bestFit="1" customWidth="1"/>
    <col min="1031" max="1031" width="13.140625" customWidth="1"/>
    <col min="1032" max="1032" width="16.140625" customWidth="1"/>
    <col min="1033" max="1033" width="9.42578125" customWidth="1"/>
    <col min="1282" max="1282" width="16" customWidth="1"/>
    <col min="1283" max="1283" width="53.28515625" customWidth="1"/>
    <col min="1284" max="1284" width="15.28515625" customWidth="1"/>
    <col min="1286" max="1286" width="10.28515625" bestFit="1" customWidth="1"/>
    <col min="1287" max="1287" width="13.140625" customWidth="1"/>
    <col min="1288" max="1288" width="16.140625" customWidth="1"/>
    <col min="1289" max="1289" width="9.42578125" customWidth="1"/>
    <col min="1538" max="1538" width="16" customWidth="1"/>
    <col min="1539" max="1539" width="53.28515625" customWidth="1"/>
    <col min="1540" max="1540" width="15.28515625" customWidth="1"/>
    <col min="1542" max="1542" width="10.28515625" bestFit="1" customWidth="1"/>
    <col min="1543" max="1543" width="13.140625" customWidth="1"/>
    <col min="1544" max="1544" width="16.140625" customWidth="1"/>
    <col min="1545" max="1545" width="9.42578125" customWidth="1"/>
    <col min="1794" max="1794" width="16" customWidth="1"/>
    <col min="1795" max="1795" width="53.28515625" customWidth="1"/>
    <col min="1796" max="1796" width="15.28515625" customWidth="1"/>
    <col min="1798" max="1798" width="10.28515625" bestFit="1" customWidth="1"/>
    <col min="1799" max="1799" width="13.140625" customWidth="1"/>
    <col min="1800" max="1800" width="16.140625" customWidth="1"/>
    <col min="1801" max="1801" width="9.42578125" customWidth="1"/>
    <col min="2050" max="2050" width="16" customWidth="1"/>
    <col min="2051" max="2051" width="53.28515625" customWidth="1"/>
    <col min="2052" max="2052" width="15.28515625" customWidth="1"/>
    <col min="2054" max="2054" width="10.28515625" bestFit="1" customWidth="1"/>
    <col min="2055" max="2055" width="13.140625" customWidth="1"/>
    <col min="2056" max="2056" width="16.140625" customWidth="1"/>
    <col min="2057" max="2057" width="9.42578125" customWidth="1"/>
    <col min="2306" max="2306" width="16" customWidth="1"/>
    <col min="2307" max="2307" width="53.28515625" customWidth="1"/>
    <col min="2308" max="2308" width="15.28515625" customWidth="1"/>
    <col min="2310" max="2310" width="10.28515625" bestFit="1" customWidth="1"/>
    <col min="2311" max="2311" width="13.140625" customWidth="1"/>
    <col min="2312" max="2312" width="16.140625" customWidth="1"/>
    <col min="2313" max="2313" width="9.42578125" customWidth="1"/>
    <col min="2562" max="2562" width="16" customWidth="1"/>
    <col min="2563" max="2563" width="53.28515625" customWidth="1"/>
    <col min="2564" max="2564" width="15.28515625" customWidth="1"/>
    <col min="2566" max="2566" width="10.28515625" bestFit="1" customWidth="1"/>
    <col min="2567" max="2567" width="13.140625" customWidth="1"/>
    <col min="2568" max="2568" width="16.140625" customWidth="1"/>
    <col min="2569" max="2569" width="9.42578125" customWidth="1"/>
    <col min="2818" max="2818" width="16" customWidth="1"/>
    <col min="2819" max="2819" width="53.28515625" customWidth="1"/>
    <col min="2820" max="2820" width="15.28515625" customWidth="1"/>
    <col min="2822" max="2822" width="10.28515625" bestFit="1" customWidth="1"/>
    <col min="2823" max="2823" width="13.140625" customWidth="1"/>
    <col min="2824" max="2824" width="16.140625" customWidth="1"/>
    <col min="2825" max="2825" width="9.42578125" customWidth="1"/>
    <col min="3074" max="3074" width="16" customWidth="1"/>
    <col min="3075" max="3075" width="53.28515625" customWidth="1"/>
    <col min="3076" max="3076" width="15.28515625" customWidth="1"/>
    <col min="3078" max="3078" width="10.28515625" bestFit="1" customWidth="1"/>
    <col min="3079" max="3079" width="13.140625" customWidth="1"/>
    <col min="3080" max="3080" width="16.140625" customWidth="1"/>
    <col min="3081" max="3081" width="9.42578125" customWidth="1"/>
    <col min="3330" max="3330" width="16" customWidth="1"/>
    <col min="3331" max="3331" width="53.28515625" customWidth="1"/>
    <col min="3332" max="3332" width="15.28515625" customWidth="1"/>
    <col min="3334" max="3334" width="10.28515625" bestFit="1" customWidth="1"/>
    <col min="3335" max="3335" width="13.140625" customWidth="1"/>
    <col min="3336" max="3336" width="16.140625" customWidth="1"/>
    <col min="3337" max="3337" width="9.42578125" customWidth="1"/>
    <col min="3586" max="3586" width="16" customWidth="1"/>
    <col min="3587" max="3587" width="53.28515625" customWidth="1"/>
    <col min="3588" max="3588" width="15.28515625" customWidth="1"/>
    <col min="3590" max="3590" width="10.28515625" bestFit="1" customWidth="1"/>
    <col min="3591" max="3591" width="13.140625" customWidth="1"/>
    <col min="3592" max="3592" width="16.140625" customWidth="1"/>
    <col min="3593" max="3593" width="9.42578125" customWidth="1"/>
    <col min="3842" max="3842" width="16" customWidth="1"/>
    <col min="3843" max="3843" width="53.28515625" customWidth="1"/>
    <col min="3844" max="3844" width="15.28515625" customWidth="1"/>
    <col min="3846" max="3846" width="10.28515625" bestFit="1" customWidth="1"/>
    <col min="3847" max="3847" width="13.140625" customWidth="1"/>
    <col min="3848" max="3848" width="16.140625" customWidth="1"/>
    <col min="3849" max="3849" width="9.42578125" customWidth="1"/>
    <col min="4098" max="4098" width="16" customWidth="1"/>
    <col min="4099" max="4099" width="53.28515625" customWidth="1"/>
    <col min="4100" max="4100" width="15.28515625" customWidth="1"/>
    <col min="4102" max="4102" width="10.28515625" bestFit="1" customWidth="1"/>
    <col min="4103" max="4103" width="13.140625" customWidth="1"/>
    <col min="4104" max="4104" width="16.140625" customWidth="1"/>
    <col min="4105" max="4105" width="9.42578125" customWidth="1"/>
    <col min="4354" max="4354" width="16" customWidth="1"/>
    <col min="4355" max="4355" width="53.28515625" customWidth="1"/>
    <col min="4356" max="4356" width="15.28515625" customWidth="1"/>
    <col min="4358" max="4358" width="10.28515625" bestFit="1" customWidth="1"/>
    <col min="4359" max="4359" width="13.140625" customWidth="1"/>
    <col min="4360" max="4360" width="16.140625" customWidth="1"/>
    <col min="4361" max="4361" width="9.42578125" customWidth="1"/>
    <col min="4610" max="4610" width="16" customWidth="1"/>
    <col min="4611" max="4611" width="53.28515625" customWidth="1"/>
    <col min="4612" max="4612" width="15.28515625" customWidth="1"/>
    <col min="4614" max="4614" width="10.28515625" bestFit="1" customWidth="1"/>
    <col min="4615" max="4615" width="13.140625" customWidth="1"/>
    <col min="4616" max="4616" width="16.140625" customWidth="1"/>
    <col min="4617" max="4617" width="9.42578125" customWidth="1"/>
    <col min="4866" max="4866" width="16" customWidth="1"/>
    <col min="4867" max="4867" width="53.28515625" customWidth="1"/>
    <col min="4868" max="4868" width="15.28515625" customWidth="1"/>
    <col min="4870" max="4870" width="10.28515625" bestFit="1" customWidth="1"/>
    <col min="4871" max="4871" width="13.140625" customWidth="1"/>
    <col min="4872" max="4872" width="16.140625" customWidth="1"/>
    <col min="4873" max="4873" width="9.42578125" customWidth="1"/>
    <col min="5122" max="5122" width="16" customWidth="1"/>
    <col min="5123" max="5123" width="53.28515625" customWidth="1"/>
    <col min="5124" max="5124" width="15.28515625" customWidth="1"/>
    <col min="5126" max="5126" width="10.28515625" bestFit="1" customWidth="1"/>
    <col min="5127" max="5127" width="13.140625" customWidth="1"/>
    <col min="5128" max="5128" width="16.140625" customWidth="1"/>
    <col min="5129" max="5129" width="9.42578125" customWidth="1"/>
    <col min="5378" max="5378" width="16" customWidth="1"/>
    <col min="5379" max="5379" width="53.28515625" customWidth="1"/>
    <col min="5380" max="5380" width="15.28515625" customWidth="1"/>
    <col min="5382" max="5382" width="10.28515625" bestFit="1" customWidth="1"/>
    <col min="5383" max="5383" width="13.140625" customWidth="1"/>
    <col min="5384" max="5384" width="16.140625" customWidth="1"/>
    <col min="5385" max="5385" width="9.42578125" customWidth="1"/>
    <col min="5634" max="5634" width="16" customWidth="1"/>
    <col min="5635" max="5635" width="53.28515625" customWidth="1"/>
    <col min="5636" max="5636" width="15.28515625" customWidth="1"/>
    <col min="5638" max="5638" width="10.28515625" bestFit="1" customWidth="1"/>
    <col min="5639" max="5639" width="13.140625" customWidth="1"/>
    <col min="5640" max="5640" width="16.140625" customWidth="1"/>
    <col min="5641" max="5641" width="9.42578125" customWidth="1"/>
    <col min="5890" max="5890" width="16" customWidth="1"/>
    <col min="5891" max="5891" width="53.28515625" customWidth="1"/>
    <col min="5892" max="5892" width="15.28515625" customWidth="1"/>
    <col min="5894" max="5894" width="10.28515625" bestFit="1" customWidth="1"/>
    <col min="5895" max="5895" width="13.140625" customWidth="1"/>
    <col min="5896" max="5896" width="16.140625" customWidth="1"/>
    <col min="5897" max="5897" width="9.42578125" customWidth="1"/>
    <col min="6146" max="6146" width="16" customWidth="1"/>
    <col min="6147" max="6147" width="53.28515625" customWidth="1"/>
    <col min="6148" max="6148" width="15.28515625" customWidth="1"/>
    <col min="6150" max="6150" width="10.28515625" bestFit="1" customWidth="1"/>
    <col min="6151" max="6151" width="13.140625" customWidth="1"/>
    <col min="6152" max="6152" width="16.140625" customWidth="1"/>
    <col min="6153" max="6153" width="9.42578125" customWidth="1"/>
    <col min="6402" max="6402" width="16" customWidth="1"/>
    <col min="6403" max="6403" width="53.28515625" customWidth="1"/>
    <col min="6404" max="6404" width="15.28515625" customWidth="1"/>
    <col min="6406" max="6406" width="10.28515625" bestFit="1" customWidth="1"/>
    <col min="6407" max="6407" width="13.140625" customWidth="1"/>
    <col min="6408" max="6408" width="16.140625" customWidth="1"/>
    <col min="6409" max="6409" width="9.42578125" customWidth="1"/>
    <col min="6658" max="6658" width="16" customWidth="1"/>
    <col min="6659" max="6659" width="53.28515625" customWidth="1"/>
    <col min="6660" max="6660" width="15.28515625" customWidth="1"/>
    <col min="6662" max="6662" width="10.28515625" bestFit="1" customWidth="1"/>
    <col min="6663" max="6663" width="13.140625" customWidth="1"/>
    <col min="6664" max="6664" width="16.140625" customWidth="1"/>
    <col min="6665" max="6665" width="9.42578125" customWidth="1"/>
    <col min="6914" max="6914" width="16" customWidth="1"/>
    <col min="6915" max="6915" width="53.28515625" customWidth="1"/>
    <col min="6916" max="6916" width="15.28515625" customWidth="1"/>
    <col min="6918" max="6918" width="10.28515625" bestFit="1" customWidth="1"/>
    <col min="6919" max="6919" width="13.140625" customWidth="1"/>
    <col min="6920" max="6920" width="16.140625" customWidth="1"/>
    <col min="6921" max="6921" width="9.42578125" customWidth="1"/>
    <col min="7170" max="7170" width="16" customWidth="1"/>
    <col min="7171" max="7171" width="53.28515625" customWidth="1"/>
    <col min="7172" max="7172" width="15.28515625" customWidth="1"/>
    <col min="7174" max="7174" width="10.28515625" bestFit="1" customWidth="1"/>
    <col min="7175" max="7175" width="13.140625" customWidth="1"/>
    <col min="7176" max="7176" width="16.140625" customWidth="1"/>
    <col min="7177" max="7177" width="9.42578125" customWidth="1"/>
    <col min="7426" max="7426" width="16" customWidth="1"/>
    <col min="7427" max="7427" width="53.28515625" customWidth="1"/>
    <col min="7428" max="7428" width="15.28515625" customWidth="1"/>
    <col min="7430" max="7430" width="10.28515625" bestFit="1" customWidth="1"/>
    <col min="7431" max="7431" width="13.140625" customWidth="1"/>
    <col min="7432" max="7432" width="16.140625" customWidth="1"/>
    <col min="7433" max="7433" width="9.42578125" customWidth="1"/>
    <col min="7682" max="7682" width="16" customWidth="1"/>
    <col min="7683" max="7683" width="53.28515625" customWidth="1"/>
    <col min="7684" max="7684" width="15.28515625" customWidth="1"/>
    <col min="7686" max="7686" width="10.28515625" bestFit="1" customWidth="1"/>
    <col min="7687" max="7687" width="13.140625" customWidth="1"/>
    <col min="7688" max="7688" width="16.140625" customWidth="1"/>
    <col min="7689" max="7689" width="9.42578125" customWidth="1"/>
    <col min="7938" max="7938" width="16" customWidth="1"/>
    <col min="7939" max="7939" width="53.28515625" customWidth="1"/>
    <col min="7940" max="7940" width="15.28515625" customWidth="1"/>
    <col min="7942" max="7942" width="10.28515625" bestFit="1" customWidth="1"/>
    <col min="7943" max="7943" width="13.140625" customWidth="1"/>
    <col min="7944" max="7944" width="16.140625" customWidth="1"/>
    <col min="7945" max="7945" width="9.42578125" customWidth="1"/>
    <col min="8194" max="8194" width="16" customWidth="1"/>
    <col min="8195" max="8195" width="53.28515625" customWidth="1"/>
    <col min="8196" max="8196" width="15.28515625" customWidth="1"/>
    <col min="8198" max="8198" width="10.28515625" bestFit="1" customWidth="1"/>
    <col min="8199" max="8199" width="13.140625" customWidth="1"/>
    <col min="8200" max="8200" width="16.140625" customWidth="1"/>
    <col min="8201" max="8201" width="9.42578125" customWidth="1"/>
    <col min="8450" max="8450" width="16" customWidth="1"/>
    <col min="8451" max="8451" width="53.28515625" customWidth="1"/>
    <col min="8452" max="8452" width="15.28515625" customWidth="1"/>
    <col min="8454" max="8454" width="10.28515625" bestFit="1" customWidth="1"/>
    <col min="8455" max="8455" width="13.140625" customWidth="1"/>
    <col min="8456" max="8456" width="16.140625" customWidth="1"/>
    <col min="8457" max="8457" width="9.42578125" customWidth="1"/>
    <col min="8706" max="8706" width="16" customWidth="1"/>
    <col min="8707" max="8707" width="53.28515625" customWidth="1"/>
    <col min="8708" max="8708" width="15.28515625" customWidth="1"/>
    <col min="8710" max="8710" width="10.28515625" bestFit="1" customWidth="1"/>
    <col min="8711" max="8711" width="13.140625" customWidth="1"/>
    <col min="8712" max="8712" width="16.140625" customWidth="1"/>
    <col min="8713" max="8713" width="9.42578125" customWidth="1"/>
    <col min="8962" max="8962" width="16" customWidth="1"/>
    <col min="8963" max="8963" width="53.28515625" customWidth="1"/>
    <col min="8964" max="8964" width="15.28515625" customWidth="1"/>
    <col min="8966" max="8966" width="10.28515625" bestFit="1" customWidth="1"/>
    <col min="8967" max="8967" width="13.140625" customWidth="1"/>
    <col min="8968" max="8968" width="16.140625" customWidth="1"/>
    <col min="8969" max="8969" width="9.42578125" customWidth="1"/>
    <col min="9218" max="9218" width="16" customWidth="1"/>
    <col min="9219" max="9219" width="53.28515625" customWidth="1"/>
    <col min="9220" max="9220" width="15.28515625" customWidth="1"/>
    <col min="9222" max="9222" width="10.28515625" bestFit="1" customWidth="1"/>
    <col min="9223" max="9223" width="13.140625" customWidth="1"/>
    <col min="9224" max="9224" width="16.140625" customWidth="1"/>
    <col min="9225" max="9225" width="9.42578125" customWidth="1"/>
    <col min="9474" max="9474" width="16" customWidth="1"/>
    <col min="9475" max="9475" width="53.28515625" customWidth="1"/>
    <col min="9476" max="9476" width="15.28515625" customWidth="1"/>
    <col min="9478" max="9478" width="10.28515625" bestFit="1" customWidth="1"/>
    <col min="9479" max="9479" width="13.140625" customWidth="1"/>
    <col min="9480" max="9480" width="16.140625" customWidth="1"/>
    <col min="9481" max="9481" width="9.42578125" customWidth="1"/>
    <col min="9730" max="9730" width="16" customWidth="1"/>
    <col min="9731" max="9731" width="53.28515625" customWidth="1"/>
    <col min="9732" max="9732" width="15.28515625" customWidth="1"/>
    <col min="9734" max="9734" width="10.28515625" bestFit="1" customWidth="1"/>
    <col min="9735" max="9735" width="13.140625" customWidth="1"/>
    <col min="9736" max="9736" width="16.140625" customWidth="1"/>
    <col min="9737" max="9737" width="9.42578125" customWidth="1"/>
    <col min="9986" max="9986" width="16" customWidth="1"/>
    <col min="9987" max="9987" width="53.28515625" customWidth="1"/>
    <col min="9988" max="9988" width="15.28515625" customWidth="1"/>
    <col min="9990" max="9990" width="10.28515625" bestFit="1" customWidth="1"/>
    <col min="9991" max="9991" width="13.140625" customWidth="1"/>
    <col min="9992" max="9992" width="16.140625" customWidth="1"/>
    <col min="9993" max="9993" width="9.42578125" customWidth="1"/>
    <col min="10242" max="10242" width="16" customWidth="1"/>
    <col min="10243" max="10243" width="53.28515625" customWidth="1"/>
    <col min="10244" max="10244" width="15.28515625" customWidth="1"/>
    <col min="10246" max="10246" width="10.28515625" bestFit="1" customWidth="1"/>
    <col min="10247" max="10247" width="13.140625" customWidth="1"/>
    <col min="10248" max="10248" width="16.140625" customWidth="1"/>
    <col min="10249" max="10249" width="9.42578125" customWidth="1"/>
    <col min="10498" max="10498" width="16" customWidth="1"/>
    <col min="10499" max="10499" width="53.28515625" customWidth="1"/>
    <col min="10500" max="10500" width="15.28515625" customWidth="1"/>
    <col min="10502" max="10502" width="10.28515625" bestFit="1" customWidth="1"/>
    <col min="10503" max="10503" width="13.140625" customWidth="1"/>
    <col min="10504" max="10504" width="16.140625" customWidth="1"/>
    <col min="10505" max="10505" width="9.42578125" customWidth="1"/>
    <col min="10754" max="10754" width="16" customWidth="1"/>
    <col min="10755" max="10755" width="53.28515625" customWidth="1"/>
    <col min="10756" max="10756" width="15.28515625" customWidth="1"/>
    <col min="10758" max="10758" width="10.28515625" bestFit="1" customWidth="1"/>
    <col min="10759" max="10759" width="13.140625" customWidth="1"/>
    <col min="10760" max="10760" width="16.140625" customWidth="1"/>
    <col min="10761" max="10761" width="9.42578125" customWidth="1"/>
    <col min="11010" max="11010" width="16" customWidth="1"/>
    <col min="11011" max="11011" width="53.28515625" customWidth="1"/>
    <col min="11012" max="11012" width="15.28515625" customWidth="1"/>
    <col min="11014" max="11014" width="10.28515625" bestFit="1" customWidth="1"/>
    <col min="11015" max="11015" width="13.140625" customWidth="1"/>
    <col min="11016" max="11016" width="16.140625" customWidth="1"/>
    <col min="11017" max="11017" width="9.42578125" customWidth="1"/>
    <col min="11266" max="11266" width="16" customWidth="1"/>
    <col min="11267" max="11267" width="53.28515625" customWidth="1"/>
    <col min="11268" max="11268" width="15.28515625" customWidth="1"/>
    <col min="11270" max="11270" width="10.28515625" bestFit="1" customWidth="1"/>
    <col min="11271" max="11271" width="13.140625" customWidth="1"/>
    <col min="11272" max="11272" width="16.140625" customWidth="1"/>
    <col min="11273" max="11273" width="9.42578125" customWidth="1"/>
    <col min="11522" max="11522" width="16" customWidth="1"/>
    <col min="11523" max="11523" width="53.28515625" customWidth="1"/>
    <col min="11524" max="11524" width="15.28515625" customWidth="1"/>
    <col min="11526" max="11526" width="10.28515625" bestFit="1" customWidth="1"/>
    <col min="11527" max="11527" width="13.140625" customWidth="1"/>
    <col min="11528" max="11528" width="16.140625" customWidth="1"/>
    <col min="11529" max="11529" width="9.42578125" customWidth="1"/>
    <col min="11778" max="11778" width="16" customWidth="1"/>
    <col min="11779" max="11779" width="53.28515625" customWidth="1"/>
    <col min="11780" max="11780" width="15.28515625" customWidth="1"/>
    <col min="11782" max="11782" width="10.28515625" bestFit="1" customWidth="1"/>
    <col min="11783" max="11783" width="13.140625" customWidth="1"/>
    <col min="11784" max="11784" width="16.140625" customWidth="1"/>
    <col min="11785" max="11785" width="9.42578125" customWidth="1"/>
    <col min="12034" max="12034" width="16" customWidth="1"/>
    <col min="12035" max="12035" width="53.28515625" customWidth="1"/>
    <col min="12036" max="12036" width="15.28515625" customWidth="1"/>
    <col min="12038" max="12038" width="10.28515625" bestFit="1" customWidth="1"/>
    <col min="12039" max="12039" width="13.140625" customWidth="1"/>
    <col min="12040" max="12040" width="16.140625" customWidth="1"/>
    <col min="12041" max="12041" width="9.42578125" customWidth="1"/>
    <col min="12290" max="12290" width="16" customWidth="1"/>
    <col min="12291" max="12291" width="53.28515625" customWidth="1"/>
    <col min="12292" max="12292" width="15.28515625" customWidth="1"/>
    <col min="12294" max="12294" width="10.28515625" bestFit="1" customWidth="1"/>
    <col min="12295" max="12295" width="13.140625" customWidth="1"/>
    <col min="12296" max="12296" width="16.140625" customWidth="1"/>
    <col min="12297" max="12297" width="9.42578125" customWidth="1"/>
    <col min="12546" max="12546" width="16" customWidth="1"/>
    <col min="12547" max="12547" width="53.28515625" customWidth="1"/>
    <col min="12548" max="12548" width="15.28515625" customWidth="1"/>
    <col min="12550" max="12550" width="10.28515625" bestFit="1" customWidth="1"/>
    <col min="12551" max="12551" width="13.140625" customWidth="1"/>
    <col min="12552" max="12552" width="16.140625" customWidth="1"/>
    <col min="12553" max="12553" width="9.42578125" customWidth="1"/>
    <col min="12802" max="12802" width="16" customWidth="1"/>
    <col min="12803" max="12803" width="53.28515625" customWidth="1"/>
    <col min="12804" max="12804" width="15.28515625" customWidth="1"/>
    <col min="12806" max="12806" width="10.28515625" bestFit="1" customWidth="1"/>
    <col min="12807" max="12807" width="13.140625" customWidth="1"/>
    <col min="12808" max="12808" width="16.140625" customWidth="1"/>
    <col min="12809" max="12809" width="9.42578125" customWidth="1"/>
    <col min="13058" max="13058" width="16" customWidth="1"/>
    <col min="13059" max="13059" width="53.28515625" customWidth="1"/>
    <col min="13060" max="13060" width="15.28515625" customWidth="1"/>
    <col min="13062" max="13062" width="10.28515625" bestFit="1" customWidth="1"/>
    <col min="13063" max="13063" width="13.140625" customWidth="1"/>
    <col min="13064" max="13064" width="16.140625" customWidth="1"/>
    <col min="13065" max="13065" width="9.42578125" customWidth="1"/>
    <col min="13314" max="13314" width="16" customWidth="1"/>
    <col min="13315" max="13315" width="53.28515625" customWidth="1"/>
    <col min="13316" max="13316" width="15.28515625" customWidth="1"/>
    <col min="13318" max="13318" width="10.28515625" bestFit="1" customWidth="1"/>
    <col min="13319" max="13319" width="13.140625" customWidth="1"/>
    <col min="13320" max="13320" width="16.140625" customWidth="1"/>
    <col min="13321" max="13321" width="9.42578125" customWidth="1"/>
    <col min="13570" max="13570" width="16" customWidth="1"/>
    <col min="13571" max="13571" width="53.28515625" customWidth="1"/>
    <col min="13572" max="13572" width="15.28515625" customWidth="1"/>
    <col min="13574" max="13574" width="10.28515625" bestFit="1" customWidth="1"/>
    <col min="13575" max="13575" width="13.140625" customWidth="1"/>
    <col min="13576" max="13576" width="16.140625" customWidth="1"/>
    <col min="13577" max="13577" width="9.42578125" customWidth="1"/>
    <col min="13826" max="13826" width="16" customWidth="1"/>
    <col min="13827" max="13827" width="53.28515625" customWidth="1"/>
    <col min="13828" max="13828" width="15.28515625" customWidth="1"/>
    <col min="13830" max="13830" width="10.28515625" bestFit="1" customWidth="1"/>
    <col min="13831" max="13831" width="13.140625" customWidth="1"/>
    <col min="13832" max="13832" width="16.140625" customWidth="1"/>
    <col min="13833" max="13833" width="9.42578125" customWidth="1"/>
    <col min="14082" max="14082" width="16" customWidth="1"/>
    <col min="14083" max="14083" width="53.28515625" customWidth="1"/>
    <col min="14084" max="14084" width="15.28515625" customWidth="1"/>
    <col min="14086" max="14086" width="10.28515625" bestFit="1" customWidth="1"/>
    <col min="14087" max="14087" width="13.140625" customWidth="1"/>
    <col min="14088" max="14088" width="16.140625" customWidth="1"/>
    <col min="14089" max="14089" width="9.42578125" customWidth="1"/>
    <col min="14338" max="14338" width="16" customWidth="1"/>
    <col min="14339" max="14339" width="53.28515625" customWidth="1"/>
    <col min="14340" max="14340" width="15.28515625" customWidth="1"/>
    <col min="14342" max="14342" width="10.28515625" bestFit="1" customWidth="1"/>
    <col min="14343" max="14343" width="13.140625" customWidth="1"/>
    <col min="14344" max="14344" width="16.140625" customWidth="1"/>
    <col min="14345" max="14345" width="9.42578125" customWidth="1"/>
    <col min="14594" max="14594" width="16" customWidth="1"/>
    <col min="14595" max="14595" width="53.28515625" customWidth="1"/>
    <col min="14596" max="14596" width="15.28515625" customWidth="1"/>
    <col min="14598" max="14598" width="10.28515625" bestFit="1" customWidth="1"/>
    <col min="14599" max="14599" width="13.140625" customWidth="1"/>
    <col min="14600" max="14600" width="16.140625" customWidth="1"/>
    <col min="14601" max="14601" width="9.42578125" customWidth="1"/>
    <col min="14850" max="14850" width="16" customWidth="1"/>
    <col min="14851" max="14851" width="53.28515625" customWidth="1"/>
    <col min="14852" max="14852" width="15.28515625" customWidth="1"/>
    <col min="14854" max="14854" width="10.28515625" bestFit="1" customWidth="1"/>
    <col min="14855" max="14855" width="13.140625" customWidth="1"/>
    <col min="14856" max="14856" width="16.140625" customWidth="1"/>
    <col min="14857" max="14857" width="9.42578125" customWidth="1"/>
    <col min="15106" max="15106" width="16" customWidth="1"/>
    <col min="15107" max="15107" width="53.28515625" customWidth="1"/>
    <col min="15108" max="15108" width="15.28515625" customWidth="1"/>
    <col min="15110" max="15110" width="10.28515625" bestFit="1" customWidth="1"/>
    <col min="15111" max="15111" width="13.140625" customWidth="1"/>
    <col min="15112" max="15112" width="16.140625" customWidth="1"/>
    <col min="15113" max="15113" width="9.42578125" customWidth="1"/>
    <col min="15362" max="15362" width="16" customWidth="1"/>
    <col min="15363" max="15363" width="53.28515625" customWidth="1"/>
    <col min="15364" max="15364" width="15.28515625" customWidth="1"/>
    <col min="15366" max="15366" width="10.28515625" bestFit="1" customWidth="1"/>
    <col min="15367" max="15367" width="13.140625" customWidth="1"/>
    <col min="15368" max="15368" width="16.140625" customWidth="1"/>
    <col min="15369" max="15369" width="9.42578125" customWidth="1"/>
    <col min="15618" max="15618" width="16" customWidth="1"/>
    <col min="15619" max="15619" width="53.28515625" customWidth="1"/>
    <col min="15620" max="15620" width="15.28515625" customWidth="1"/>
    <col min="15622" max="15622" width="10.28515625" bestFit="1" customWidth="1"/>
    <col min="15623" max="15623" width="13.140625" customWidth="1"/>
    <col min="15624" max="15624" width="16.140625" customWidth="1"/>
    <col min="15625" max="15625" width="9.42578125" customWidth="1"/>
    <col min="15874" max="15874" width="16" customWidth="1"/>
    <col min="15875" max="15875" width="53.28515625" customWidth="1"/>
    <col min="15876" max="15876" width="15.28515625" customWidth="1"/>
    <col min="15878" max="15878" width="10.28515625" bestFit="1" customWidth="1"/>
    <col min="15879" max="15879" width="13.140625" customWidth="1"/>
    <col min="15880" max="15880" width="16.140625" customWidth="1"/>
    <col min="15881" max="15881" width="9.42578125" customWidth="1"/>
    <col min="16130" max="16130" width="16" customWidth="1"/>
    <col min="16131" max="16131" width="53.28515625" customWidth="1"/>
    <col min="16132" max="16132" width="15.28515625" customWidth="1"/>
    <col min="16134" max="16134" width="10.28515625" bestFit="1" customWidth="1"/>
    <col min="16135" max="16135" width="13.140625" customWidth="1"/>
    <col min="16136" max="16136" width="16.140625" customWidth="1"/>
    <col min="16137" max="16137" width="9.42578125" customWidth="1"/>
  </cols>
  <sheetData>
    <row r="1" spans="1:15" s="1" customFormat="1" ht="20.100000000000001" customHeight="1">
      <c r="B1"/>
      <c r="D1" s="487"/>
      <c r="E1" s="24"/>
      <c r="O1" s="525"/>
    </row>
    <row r="2" spans="1:15" s="1" customFormat="1" ht="24.95" customHeight="1">
      <c r="B2" s="268"/>
      <c r="C2" s="268" t="s">
        <v>3136</v>
      </c>
      <c r="E2" s="24"/>
      <c r="O2" s="525"/>
    </row>
    <row r="3" spans="1:15" s="1" customFormat="1" ht="20.100000000000001" customHeight="1">
      <c r="B3" s="1126" t="s">
        <v>3310</v>
      </c>
      <c r="C3" s="1126"/>
      <c r="D3" s="1126"/>
      <c r="E3" s="506"/>
      <c r="G3" s="269" t="s">
        <v>3137</v>
      </c>
      <c r="J3" s="1118" t="s">
        <v>3189</v>
      </c>
      <c r="K3" s="1119"/>
      <c r="O3" s="525"/>
    </row>
    <row r="4" spans="1:15" s="1" customFormat="1" ht="13.5" customHeight="1">
      <c r="B4" s="1120" t="s">
        <v>3138</v>
      </c>
      <c r="C4" s="1120" t="s">
        <v>3139</v>
      </c>
      <c r="D4" s="1121" t="s">
        <v>3140</v>
      </c>
      <c r="E4" s="1121" t="s">
        <v>3141</v>
      </c>
      <c r="F4" s="1121" t="s">
        <v>3142</v>
      </c>
      <c r="G4" s="1121" t="s">
        <v>3143</v>
      </c>
      <c r="H4" s="1121" t="s">
        <v>3182</v>
      </c>
      <c r="J4" s="1122" t="s">
        <v>3141</v>
      </c>
      <c r="K4" s="1124" t="s">
        <v>3144</v>
      </c>
      <c r="L4" s="1124" t="s">
        <v>3145</v>
      </c>
      <c r="M4" s="1127" t="s">
        <v>3146</v>
      </c>
      <c r="O4" s="525"/>
    </row>
    <row r="5" spans="1:15" s="1" customFormat="1">
      <c r="B5" s="1120"/>
      <c r="C5" s="1120"/>
      <c r="D5" s="1121"/>
      <c r="E5" s="1121"/>
      <c r="F5" s="1121"/>
      <c r="G5" s="1121"/>
      <c r="H5" s="1121"/>
      <c r="J5" s="1123"/>
      <c r="K5" s="1125"/>
      <c r="L5" s="1125"/>
      <c r="M5" s="1128"/>
      <c r="O5" s="525"/>
    </row>
    <row r="6" spans="1:15" s="278" customFormat="1" ht="15" customHeight="1">
      <c r="A6" s="24" t="s">
        <v>3173</v>
      </c>
      <c r="B6" s="1129" t="s">
        <v>3163</v>
      </c>
      <c r="C6" s="271" t="s">
        <v>3147</v>
      </c>
      <c r="D6" s="370">
        <f>'RESUMO GERAL'!G156+'RESUMO GERAL'!G157+'RESUMO GERAL'!G158+'RESUMO GERAL'!G163+'RESUMO GERAL'!G164+'RESUMO GERAL'!G239</f>
        <v>42769848.943933941</v>
      </c>
      <c r="E6" s="329">
        <f>J6</f>
        <v>5</v>
      </c>
      <c r="F6" s="272">
        <f>M6</f>
        <v>1.0499999999999999E-2</v>
      </c>
      <c r="G6" s="273">
        <f t="shared" ref="G6:G41" si="0">D6*F6</f>
        <v>449083.41391130636</v>
      </c>
      <c r="H6" s="274">
        <f>D6</f>
        <v>42769848.943933941</v>
      </c>
      <c r="I6" s="275"/>
      <c r="J6" s="353">
        <v>5</v>
      </c>
      <c r="K6" s="276">
        <v>1.4999999999999999E-2</v>
      </c>
      <c r="L6" s="352">
        <v>0.3</v>
      </c>
      <c r="M6" s="277">
        <f t="shared" ref="M6:M41" si="1">K6*(1-$L$6)</f>
        <v>1.0499999999999999E-2</v>
      </c>
      <c r="O6" s="526" t="s">
        <v>3323</v>
      </c>
    </row>
    <row r="7" spans="1:15" s="270" customFormat="1" ht="15" customHeight="1">
      <c r="A7" s="24" t="s">
        <v>3173</v>
      </c>
      <c r="B7" s="1130"/>
      <c r="C7" s="279" t="s">
        <v>3164</v>
      </c>
      <c r="D7" s="280">
        <f>'RESUMO GERAL'!G155+'RESUMO GERAL'!G159+'RESUMO GERAL'!G160+'RESUMO GERAL'!G161+'RESUMO GERAL'!G162+'RESUMO GERAL'!G165+'RESUMO GERAL'!G166+'RESUMO GERAL'!G238+0.8*'RESUMO GERAL'!G240</f>
        <v>34952583.661627501</v>
      </c>
      <c r="E7" s="281">
        <f t="shared" ref="E7:E42" si="2">J7</f>
        <v>15</v>
      </c>
      <c r="F7" s="282">
        <f t="shared" ref="F7:F41" si="3">M7</f>
        <v>5.2499999999999995E-3</v>
      </c>
      <c r="G7" s="283">
        <f t="shared" si="0"/>
        <v>183501.06422354435</v>
      </c>
      <c r="H7" s="1132">
        <f>SUM(D7:D9)</f>
        <v>53836444.907624103</v>
      </c>
      <c r="J7" s="354">
        <v>15</v>
      </c>
      <c r="K7" s="276">
        <v>7.4999999999999997E-3</v>
      </c>
      <c r="M7" s="277">
        <f t="shared" si="1"/>
        <v>5.2499999999999995E-3</v>
      </c>
      <c r="O7" s="527" t="s">
        <v>3324</v>
      </c>
    </row>
    <row r="8" spans="1:15" s="270" customFormat="1" ht="15" customHeight="1">
      <c r="A8" s="24" t="s">
        <v>3173</v>
      </c>
      <c r="B8" s="1130"/>
      <c r="C8" s="279" t="s">
        <v>3179</v>
      </c>
      <c r="D8" s="284">
        <f>'RESUMO GERAL'!G153+'RESUMO GERAL'!G237+0.2*'RESUMO GERAL'!G240</f>
        <v>18883861.245996602</v>
      </c>
      <c r="E8" s="320">
        <f t="shared" si="2"/>
        <v>15</v>
      </c>
      <c r="F8" s="285">
        <f t="shared" si="3"/>
        <v>5.2499999999999995E-3</v>
      </c>
      <c r="G8" s="286">
        <f t="shared" si="0"/>
        <v>99140.271541482143</v>
      </c>
      <c r="H8" s="1133"/>
      <c r="J8" s="355">
        <v>15</v>
      </c>
      <c r="K8" s="276">
        <v>7.4999999999999997E-3</v>
      </c>
      <c r="M8" s="277">
        <f t="shared" si="1"/>
        <v>5.2499999999999995E-3</v>
      </c>
      <c r="O8" s="527" t="s">
        <v>3325</v>
      </c>
    </row>
    <row r="9" spans="1:15" s="278" customFormat="1" ht="15" customHeight="1">
      <c r="A9" s="1"/>
      <c r="B9" s="1131"/>
      <c r="C9" s="287" t="s">
        <v>3148</v>
      </c>
      <c r="D9" s="288">
        <v>0</v>
      </c>
      <c r="E9" s="321">
        <f t="shared" si="2"/>
        <v>15</v>
      </c>
      <c r="F9" s="289">
        <f t="shared" si="3"/>
        <v>5.2499999999999995E-3</v>
      </c>
      <c r="G9" s="290">
        <f t="shared" si="0"/>
        <v>0</v>
      </c>
      <c r="H9" s="1134"/>
      <c r="J9" s="356">
        <v>15</v>
      </c>
      <c r="K9" s="276">
        <v>7.4999999999999997E-3</v>
      </c>
      <c r="M9" s="277">
        <f t="shared" si="1"/>
        <v>5.2499999999999995E-3</v>
      </c>
      <c r="O9" s="528">
        <v>0</v>
      </c>
    </row>
    <row r="10" spans="1:15" s="270" customFormat="1" ht="15" customHeight="1">
      <c r="A10" s="1" t="s">
        <v>3174</v>
      </c>
      <c r="B10" s="1138" t="s">
        <v>3300</v>
      </c>
      <c r="C10" s="333" t="s">
        <v>3165</v>
      </c>
      <c r="D10" s="291">
        <f>'RESUMO GERAL'!G31+'RESUMO GERAL'!G43+'RESUMO GERAL'!G62+'RESUMO GERAL'!G113</f>
        <v>114927031.23376822</v>
      </c>
      <c r="E10" s="322">
        <f t="shared" si="2"/>
        <v>20</v>
      </c>
      <c r="F10" s="292">
        <f t="shared" si="3"/>
        <v>6.9999999999999993E-3</v>
      </c>
      <c r="G10" s="293">
        <f t="shared" si="0"/>
        <v>804489.21863637748</v>
      </c>
      <c r="H10" s="1135">
        <f>SUM(D10:D12)</f>
        <v>128703718.8744994</v>
      </c>
      <c r="J10" s="354">
        <v>20</v>
      </c>
      <c r="K10" s="276">
        <v>0.01</v>
      </c>
      <c r="M10" s="277">
        <f t="shared" si="1"/>
        <v>6.9999999999999993E-3</v>
      </c>
      <c r="O10" s="527" t="s">
        <v>3326</v>
      </c>
    </row>
    <row r="11" spans="1:15" s="270" customFormat="1" ht="15" customHeight="1">
      <c r="A11" s="1" t="s">
        <v>3174</v>
      </c>
      <c r="B11" s="1139"/>
      <c r="C11" s="357" t="s">
        <v>3149</v>
      </c>
      <c r="D11" s="294">
        <f>'RESUMO GERAL'!G120+'RESUMO GERAL'!G127</f>
        <v>2038566.8772289278</v>
      </c>
      <c r="E11" s="323">
        <f t="shared" si="2"/>
        <v>20</v>
      </c>
      <c r="F11" s="295">
        <f t="shared" si="3"/>
        <v>6.9999999999999993E-3</v>
      </c>
      <c r="G11" s="296">
        <f t="shared" si="0"/>
        <v>14269.968140602494</v>
      </c>
      <c r="H11" s="1136"/>
      <c r="J11" s="355">
        <v>20</v>
      </c>
      <c r="K11" s="276">
        <v>0.01</v>
      </c>
      <c r="M11" s="277">
        <f t="shared" si="1"/>
        <v>6.9999999999999993E-3</v>
      </c>
      <c r="O11" s="527" t="s">
        <v>3327</v>
      </c>
    </row>
    <row r="12" spans="1:15" s="270" customFormat="1" ht="15" customHeight="1">
      <c r="A12" s="1" t="s">
        <v>3174</v>
      </c>
      <c r="B12" s="1139"/>
      <c r="C12" s="358" t="s">
        <v>3150</v>
      </c>
      <c r="D12" s="359">
        <f>'RESUMO GERAL'!G61+'RESUMO GERAL'!G114+'RESUMO GERAL'!G126+'RESUMO GERAL'!G41+'RESUMO GERAL'!G42+'RESUMO GERAL'!G30</f>
        <v>11738120.763502236</v>
      </c>
      <c r="E12" s="360">
        <f t="shared" si="2"/>
        <v>20</v>
      </c>
      <c r="F12" s="361">
        <f t="shared" si="3"/>
        <v>6.9999999999999993E-3</v>
      </c>
      <c r="G12" s="362">
        <f t="shared" si="0"/>
        <v>82166.845344515648</v>
      </c>
      <c r="H12" s="1137"/>
      <c r="J12" s="356">
        <v>20</v>
      </c>
      <c r="K12" s="276">
        <v>0.01</v>
      </c>
      <c r="M12" s="277">
        <f t="shared" si="1"/>
        <v>6.9999999999999993E-3</v>
      </c>
      <c r="O12" s="527" t="s">
        <v>3328</v>
      </c>
    </row>
    <row r="13" spans="1:15" s="278" customFormat="1" ht="15" customHeight="1">
      <c r="A13" s="24" t="s">
        <v>3173</v>
      </c>
      <c r="B13" s="1139"/>
      <c r="C13" s="418" t="s">
        <v>3239</v>
      </c>
      <c r="D13" s="419">
        <f>'RESUMO GERAL'!G190</f>
        <v>211744.22896000001</v>
      </c>
      <c r="E13" s="420">
        <f t="shared" si="2"/>
        <v>20</v>
      </c>
      <c r="F13" s="421">
        <f t="shared" si="3"/>
        <v>6.9999999999999993E-3</v>
      </c>
      <c r="G13" s="422">
        <f t="shared" si="0"/>
        <v>1482.2096027199998</v>
      </c>
      <c r="H13" s="1141">
        <f>SUM(D13:D18)</f>
        <v>11871293.97624876</v>
      </c>
      <c r="J13" s="354">
        <v>20</v>
      </c>
      <c r="K13" s="276">
        <v>0.01</v>
      </c>
      <c r="M13" s="277">
        <f t="shared" si="1"/>
        <v>6.9999999999999993E-3</v>
      </c>
      <c r="O13" s="526" t="s">
        <v>3329</v>
      </c>
    </row>
    <row r="14" spans="1:15" s="278" customFormat="1" ht="15" customHeight="1">
      <c r="A14" s="24" t="s">
        <v>3173</v>
      </c>
      <c r="B14" s="1139"/>
      <c r="C14" s="418" t="s">
        <v>3238</v>
      </c>
      <c r="D14" s="423">
        <f>'RESUMO GERAL'!G186</f>
        <v>3613877.499078</v>
      </c>
      <c r="E14" s="424">
        <f t="shared" si="2"/>
        <v>20</v>
      </c>
      <c r="F14" s="425">
        <f t="shared" si="3"/>
        <v>1.0499999999999999E-2</v>
      </c>
      <c r="G14" s="426">
        <f t="shared" si="0"/>
        <v>37945.713740318999</v>
      </c>
      <c r="H14" s="1142"/>
      <c r="J14" s="355">
        <v>20</v>
      </c>
      <c r="K14" s="276">
        <v>1.4999999999999999E-2</v>
      </c>
      <c r="M14" s="277">
        <f t="shared" si="1"/>
        <v>1.0499999999999999E-2</v>
      </c>
      <c r="O14" s="526" t="s">
        <v>3330</v>
      </c>
    </row>
    <row r="15" spans="1:15" s="278" customFormat="1" ht="23.25" customHeight="1">
      <c r="A15" s="24" t="s">
        <v>3173</v>
      </c>
      <c r="B15" s="1139"/>
      <c r="C15" s="427" t="s">
        <v>3241</v>
      </c>
      <c r="D15" s="428">
        <f>'RESUMO GERAL'!G198</f>
        <v>1459995.2742061175</v>
      </c>
      <c r="E15" s="424">
        <f t="shared" si="2"/>
        <v>20</v>
      </c>
      <c r="F15" s="425">
        <f t="shared" si="3"/>
        <v>1.0499999999999999E-2</v>
      </c>
      <c r="G15" s="426">
        <f t="shared" si="0"/>
        <v>15329.950379164233</v>
      </c>
      <c r="H15" s="1142"/>
      <c r="J15" s="355">
        <v>20</v>
      </c>
      <c r="K15" s="276">
        <v>1.4999999999999999E-2</v>
      </c>
      <c r="M15" s="277">
        <f t="shared" si="1"/>
        <v>1.0499999999999999E-2</v>
      </c>
      <c r="O15" s="526" t="s">
        <v>3331</v>
      </c>
    </row>
    <row r="16" spans="1:15" s="278" customFormat="1" ht="24" customHeight="1">
      <c r="A16" s="24" t="s">
        <v>3173</v>
      </c>
      <c r="B16" s="1139"/>
      <c r="C16" s="427" t="s">
        <v>3240</v>
      </c>
      <c r="D16" s="428">
        <f>'RESUMO GERAL'!G194</f>
        <v>3686343.179100642</v>
      </c>
      <c r="E16" s="429">
        <f t="shared" si="2"/>
        <v>20</v>
      </c>
      <c r="F16" s="425">
        <f t="shared" si="3"/>
        <v>6.9999999999999993E-3</v>
      </c>
      <c r="G16" s="426">
        <f t="shared" si="0"/>
        <v>25804.402253704491</v>
      </c>
      <c r="H16" s="1142"/>
      <c r="J16" s="355">
        <v>20</v>
      </c>
      <c r="K16" s="276">
        <v>0.01</v>
      </c>
      <c r="M16" s="277">
        <f t="shared" si="1"/>
        <v>6.9999999999999993E-3</v>
      </c>
      <c r="O16" s="526" t="s">
        <v>3332</v>
      </c>
    </row>
    <row r="17" spans="1:15" s="278" customFormat="1" ht="15" customHeight="1">
      <c r="A17" s="1"/>
      <c r="B17" s="1139"/>
      <c r="C17" s="418" t="s">
        <v>3242</v>
      </c>
      <c r="D17" s="423">
        <f>'RESUMO GERAL'!G202</f>
        <v>106092.39150400001</v>
      </c>
      <c r="E17" s="429">
        <f>J17</f>
        <v>20</v>
      </c>
      <c r="F17" s="425">
        <f>M17</f>
        <v>6.9999999999999993E-3</v>
      </c>
      <c r="G17" s="426">
        <f t="shared" si="0"/>
        <v>742.64674052800001</v>
      </c>
      <c r="H17" s="1142"/>
      <c r="J17" s="355">
        <v>20</v>
      </c>
      <c r="K17" s="276">
        <v>0.01</v>
      </c>
      <c r="M17" s="277">
        <f t="shared" si="1"/>
        <v>6.9999999999999993E-3</v>
      </c>
      <c r="O17" s="526" t="s">
        <v>3333</v>
      </c>
    </row>
    <row r="18" spans="1:15" s="278" customFormat="1" ht="15" customHeight="1">
      <c r="A18" s="1"/>
      <c r="B18" s="1140"/>
      <c r="C18" s="430" t="s">
        <v>3148</v>
      </c>
      <c r="D18" s="431">
        <f>'RESUMO GERAL'!G25+'RESUMO GERAL'!G32+'RESUMO GERAL'!G37</f>
        <v>2793241.4034000002</v>
      </c>
      <c r="E18" s="432">
        <f t="shared" ref="E18:E23" si="4">J18</f>
        <v>20</v>
      </c>
      <c r="F18" s="433">
        <f t="shared" si="3"/>
        <v>3.4999999999999996E-3</v>
      </c>
      <c r="G18" s="434">
        <f t="shared" si="0"/>
        <v>9776.3449118999997</v>
      </c>
      <c r="H18" s="1143"/>
      <c r="J18" s="356">
        <v>20</v>
      </c>
      <c r="K18" s="276">
        <v>5.0000000000000001E-3</v>
      </c>
      <c r="M18" s="277">
        <f t="shared" si="1"/>
        <v>3.4999999999999996E-3</v>
      </c>
      <c r="O18" s="526" t="s">
        <v>3334</v>
      </c>
    </row>
    <row r="19" spans="1:15" s="270" customFormat="1" ht="15" customHeight="1">
      <c r="A19" s="1" t="s">
        <v>3174</v>
      </c>
      <c r="B19" s="1144" t="s">
        <v>3188</v>
      </c>
      <c r="C19" s="298" t="s">
        <v>3151</v>
      </c>
      <c r="D19" s="299">
        <f>'RESUMO GERAL'!G36+'RESUMO GERAL'!G54+'RESUMO GERAL'!G55+'RESUMO GERAL'!G72+'RESUMO GERAL'!G73+'RESUMO GERAL'!G78+'RESUMO GERAL'!G108+'RESUMO GERAL'!G206+'RESUMO GERAL'!G207</f>
        <v>38556024.636692084</v>
      </c>
      <c r="E19" s="324">
        <f t="shared" si="4"/>
        <v>30</v>
      </c>
      <c r="F19" s="300">
        <f t="shared" si="3"/>
        <v>5.2499999999999995E-3</v>
      </c>
      <c r="G19" s="301">
        <f t="shared" si="0"/>
        <v>202419.12934263342</v>
      </c>
      <c r="H19" s="1132">
        <f>SUM(D19:D24)</f>
        <v>142230313.82309458</v>
      </c>
      <c r="J19" s="354">
        <v>30</v>
      </c>
      <c r="K19" s="276">
        <v>7.4999999999999997E-3</v>
      </c>
      <c r="M19" s="277">
        <f t="shared" si="1"/>
        <v>5.2499999999999995E-3</v>
      </c>
      <c r="O19" s="527" t="s">
        <v>3335</v>
      </c>
    </row>
    <row r="20" spans="1:15" s="278" customFormat="1" ht="15" customHeight="1">
      <c r="A20" s="1" t="s">
        <v>3174</v>
      </c>
      <c r="B20" s="1145"/>
      <c r="C20" s="302" t="s">
        <v>3152</v>
      </c>
      <c r="D20" s="280">
        <f>+'RESUMO GERAL'!G89+'RESUMO GERAL'!G99+'RESUMO GERAL'!G105+'RESUMO GERAL'!G213+'RESUMO GERAL'!G214</f>
        <v>4051311.5709400596</v>
      </c>
      <c r="E20" s="281">
        <f t="shared" si="4"/>
        <v>30</v>
      </c>
      <c r="F20" s="282">
        <f t="shared" si="3"/>
        <v>6.9999999999999993E-3</v>
      </c>
      <c r="G20" s="283">
        <f t="shared" si="0"/>
        <v>28359.180996580413</v>
      </c>
      <c r="H20" s="1133"/>
      <c r="J20" s="355">
        <v>30</v>
      </c>
      <c r="K20" s="276">
        <v>0.01</v>
      </c>
      <c r="M20" s="277">
        <f t="shared" si="1"/>
        <v>6.9999999999999993E-3</v>
      </c>
      <c r="O20" s="526" t="s">
        <v>3336</v>
      </c>
    </row>
    <row r="21" spans="1:15" s="278" customFormat="1" ht="15" customHeight="1">
      <c r="A21" s="1" t="s">
        <v>3174</v>
      </c>
      <c r="B21" s="1145"/>
      <c r="C21" s="302" t="s">
        <v>3153</v>
      </c>
      <c r="D21" s="280">
        <f>'RESUMO GERAL'!G92+'RESUMO GERAL'!G94</f>
        <v>3719489.7806891138</v>
      </c>
      <c r="E21" s="281">
        <f t="shared" si="4"/>
        <v>30</v>
      </c>
      <c r="F21" s="282">
        <f t="shared" si="3"/>
        <v>5.2499999999999995E-3</v>
      </c>
      <c r="G21" s="283">
        <f t="shared" si="0"/>
        <v>19527.321348617847</v>
      </c>
      <c r="H21" s="1133"/>
      <c r="J21" s="355">
        <v>30</v>
      </c>
      <c r="K21" s="276">
        <v>7.4999999999999997E-3</v>
      </c>
      <c r="M21" s="277">
        <f t="shared" si="1"/>
        <v>5.2499999999999995E-3</v>
      </c>
      <c r="O21" s="526" t="s">
        <v>3337</v>
      </c>
    </row>
    <row r="22" spans="1:15" s="278" customFormat="1" ht="15" customHeight="1">
      <c r="A22" s="1" t="s">
        <v>3174</v>
      </c>
      <c r="B22" s="1145"/>
      <c r="C22" s="302" t="s">
        <v>3154</v>
      </c>
      <c r="D22" s="280">
        <f>'RESUMO GERAL'!G102+'RESUMO GERAL'!G219+'RESUMO GERAL'!G220</f>
        <v>9077944.0882508624</v>
      </c>
      <c r="E22" s="281">
        <f t="shared" si="4"/>
        <v>30</v>
      </c>
      <c r="F22" s="282">
        <f t="shared" si="3"/>
        <v>6.9999999999999993E-3</v>
      </c>
      <c r="G22" s="283">
        <f t="shared" si="0"/>
        <v>63545.608617756028</v>
      </c>
      <c r="H22" s="1133"/>
      <c r="J22" s="355">
        <v>30</v>
      </c>
      <c r="K22" s="276">
        <v>0.01</v>
      </c>
      <c r="M22" s="277">
        <f t="shared" si="1"/>
        <v>6.9999999999999993E-3</v>
      </c>
      <c r="O22" s="526" t="s">
        <v>3338</v>
      </c>
    </row>
    <row r="23" spans="1:15" s="278" customFormat="1" ht="15" customHeight="1">
      <c r="A23" s="1" t="s">
        <v>3174</v>
      </c>
      <c r="B23" s="1145"/>
      <c r="C23" s="302" t="s">
        <v>3180</v>
      </c>
      <c r="D23" s="280">
        <f>'RESUMO GERAL'!G143+'RESUMO GERAL'!G132+'RESUMO GERAL'!G146</f>
        <v>86388981.193522453</v>
      </c>
      <c r="E23" s="281">
        <f t="shared" si="4"/>
        <v>30</v>
      </c>
      <c r="F23" s="282">
        <f t="shared" si="3"/>
        <v>5.2499999999999995E-3</v>
      </c>
      <c r="G23" s="283">
        <f t="shared" si="0"/>
        <v>453542.15126599284</v>
      </c>
      <c r="H23" s="1133"/>
      <c r="J23" s="355">
        <v>30</v>
      </c>
      <c r="K23" s="276">
        <v>7.4999999999999997E-3</v>
      </c>
      <c r="M23" s="277">
        <f t="shared" si="1"/>
        <v>5.2499999999999995E-3</v>
      </c>
      <c r="O23" s="526" t="s">
        <v>3339</v>
      </c>
    </row>
    <row r="24" spans="1:15" s="278" customFormat="1" ht="15" customHeight="1">
      <c r="A24" s="1"/>
      <c r="B24" s="1146"/>
      <c r="C24" s="303" t="s">
        <v>3148</v>
      </c>
      <c r="D24" s="304">
        <f>'RESUMO GERAL'!G138</f>
        <v>436562.55300000001</v>
      </c>
      <c r="E24" s="325">
        <f t="shared" si="2"/>
        <v>30</v>
      </c>
      <c r="F24" s="305">
        <f t="shared" si="3"/>
        <v>5.2499999999999995E-3</v>
      </c>
      <c r="G24" s="306">
        <f t="shared" si="0"/>
        <v>2291.9534032500001</v>
      </c>
      <c r="H24" s="1147"/>
      <c r="J24" s="356">
        <v>30</v>
      </c>
      <c r="K24" s="276">
        <v>7.4999999999999997E-3</v>
      </c>
      <c r="M24" s="277">
        <f t="shared" si="1"/>
        <v>5.2499999999999995E-3</v>
      </c>
      <c r="O24" s="526" t="s">
        <v>3340</v>
      </c>
    </row>
    <row r="25" spans="1:15" s="270" customFormat="1" ht="15" customHeight="1">
      <c r="A25" s="24" t="s">
        <v>3173</v>
      </c>
      <c r="B25" s="1150" t="s">
        <v>1400</v>
      </c>
      <c r="C25" s="307" t="s">
        <v>3167</v>
      </c>
      <c r="D25" s="308">
        <f>'RESUMO GERAL'!G29+'RESUMO GERAL'!G59+'RESUMO GERAL'!G112+'RESUMO GERAL'!G40</f>
        <v>41955413.450137675</v>
      </c>
      <c r="E25" s="326">
        <f t="shared" si="2"/>
        <v>35</v>
      </c>
      <c r="F25" s="309">
        <f t="shared" si="3"/>
        <v>6.9999999999999993E-3</v>
      </c>
      <c r="G25" s="310">
        <f t="shared" si="0"/>
        <v>293687.89415096369</v>
      </c>
      <c r="H25" s="1153">
        <f>SUM(D25:D41)</f>
        <v>217846936.4989211</v>
      </c>
      <c r="J25" s="354">
        <v>35</v>
      </c>
      <c r="K25" s="276">
        <v>0.01</v>
      </c>
      <c r="M25" s="277">
        <f t="shared" si="1"/>
        <v>6.9999999999999993E-3</v>
      </c>
      <c r="O25" s="527" t="s">
        <v>3341</v>
      </c>
    </row>
    <row r="26" spans="1:15" s="270" customFormat="1" ht="15" customHeight="1">
      <c r="A26" s="1" t="s">
        <v>3174</v>
      </c>
      <c r="B26" s="1151"/>
      <c r="C26" s="311" t="s">
        <v>3168</v>
      </c>
      <c r="D26" s="312">
        <f>'RESUMO GERAL'!G35+'RESUMO GERAL'!G51+'RESUMO GERAL'!G77+'RESUMO GERAL'!G70</f>
        <v>11107504.384387907</v>
      </c>
      <c r="E26" s="327">
        <f t="shared" si="2"/>
        <v>35</v>
      </c>
      <c r="F26" s="313">
        <f t="shared" si="3"/>
        <v>3.4999999999999996E-3</v>
      </c>
      <c r="G26" s="314">
        <f t="shared" si="0"/>
        <v>38876.265345357671</v>
      </c>
      <c r="H26" s="1154"/>
      <c r="J26" s="355">
        <v>35</v>
      </c>
      <c r="K26" s="276">
        <v>5.0000000000000001E-3</v>
      </c>
      <c r="M26" s="277">
        <f t="shared" si="1"/>
        <v>3.4999999999999996E-3</v>
      </c>
      <c r="O26" s="527" t="s">
        <v>3342</v>
      </c>
    </row>
    <row r="27" spans="1:15" s="270" customFormat="1" ht="15" customHeight="1">
      <c r="A27" s="1" t="s">
        <v>3174</v>
      </c>
      <c r="B27" s="1151"/>
      <c r="C27" s="311" t="s">
        <v>3155</v>
      </c>
      <c r="D27" s="312">
        <f>'RESUMO GERAL'!G205+'RESUMO GERAL'!G107</f>
        <v>5040638.0703978501</v>
      </c>
      <c r="E27" s="327">
        <f t="shared" si="2"/>
        <v>35</v>
      </c>
      <c r="F27" s="313">
        <f t="shared" si="3"/>
        <v>1.0499999999999999E-2</v>
      </c>
      <c r="G27" s="314">
        <f t="shared" si="0"/>
        <v>52926.69973917742</v>
      </c>
      <c r="H27" s="1154"/>
      <c r="J27" s="355">
        <v>35</v>
      </c>
      <c r="K27" s="276">
        <v>1.4999999999999999E-2</v>
      </c>
      <c r="M27" s="277">
        <f t="shared" si="1"/>
        <v>1.0499999999999999E-2</v>
      </c>
      <c r="O27" s="527" t="s">
        <v>3343</v>
      </c>
    </row>
    <row r="28" spans="1:15" s="270" customFormat="1" ht="15" customHeight="1">
      <c r="A28" s="1" t="s">
        <v>3174</v>
      </c>
      <c r="B28" s="1151"/>
      <c r="C28" s="311" t="s">
        <v>3156</v>
      </c>
      <c r="D28" s="312">
        <f>'RESUMO GERAL'!G82+'RESUMO GERAL'!G88+'RESUMO GERAL'!G98+'RESUMO GERAL'!G104++'RESUMO GERAL'!G211+'RESUMO GERAL'!G212</f>
        <v>88560489.49665755</v>
      </c>
      <c r="E28" s="327">
        <f t="shared" si="2"/>
        <v>35</v>
      </c>
      <c r="F28" s="313">
        <f t="shared" si="3"/>
        <v>1.3999999999999999E-2</v>
      </c>
      <c r="G28" s="314">
        <f t="shared" si="0"/>
        <v>1239846.8529532056</v>
      </c>
      <c r="H28" s="1154"/>
      <c r="J28" s="355">
        <v>35</v>
      </c>
      <c r="K28" s="330">
        <v>0.02</v>
      </c>
      <c r="M28" s="277">
        <f t="shared" si="1"/>
        <v>1.3999999999999999E-2</v>
      </c>
      <c r="O28" s="527" t="s">
        <v>3344</v>
      </c>
    </row>
    <row r="29" spans="1:15" s="270" customFormat="1" ht="15" customHeight="1">
      <c r="A29" s="24" t="s">
        <v>3173</v>
      </c>
      <c r="B29" s="1151"/>
      <c r="C29" s="311" t="s">
        <v>3157</v>
      </c>
      <c r="D29" s="312">
        <f>'RESUMO GERAL'!G91+'RESUMO GERAL'!G93</f>
        <v>3335932.3484550714</v>
      </c>
      <c r="E29" s="327">
        <f t="shared" si="2"/>
        <v>35</v>
      </c>
      <c r="F29" s="313">
        <f t="shared" si="3"/>
        <v>6.9999999999999993E-3</v>
      </c>
      <c r="G29" s="314">
        <f t="shared" si="0"/>
        <v>23351.526439185498</v>
      </c>
      <c r="H29" s="1154"/>
      <c r="J29" s="355">
        <v>35</v>
      </c>
      <c r="K29" s="276">
        <v>0.01</v>
      </c>
      <c r="M29" s="277">
        <f t="shared" si="1"/>
        <v>6.9999999999999993E-3</v>
      </c>
      <c r="O29" s="527" t="s">
        <v>3345</v>
      </c>
    </row>
    <row r="30" spans="1:15" s="270" customFormat="1" ht="15" customHeight="1">
      <c r="A30" s="1" t="s">
        <v>3174</v>
      </c>
      <c r="B30" s="1151"/>
      <c r="C30" s="311" t="s">
        <v>3368</v>
      </c>
      <c r="D30" s="312">
        <f>'RESUMO GERAL'!G101+'RESUMO GERAL'!G218</f>
        <v>2596917.682815264</v>
      </c>
      <c r="E30" s="327">
        <f t="shared" si="2"/>
        <v>35</v>
      </c>
      <c r="F30" s="313">
        <f t="shared" si="3"/>
        <v>5.2499999999999995E-3</v>
      </c>
      <c r="G30" s="314">
        <f t="shared" si="0"/>
        <v>13633.817834780135</v>
      </c>
      <c r="H30" s="1154"/>
      <c r="J30" s="355">
        <v>35</v>
      </c>
      <c r="K30" s="276">
        <v>7.4999999999999997E-3</v>
      </c>
      <c r="M30" s="277">
        <f t="shared" si="1"/>
        <v>5.2499999999999995E-3</v>
      </c>
      <c r="O30" s="527" t="s">
        <v>3346</v>
      </c>
    </row>
    <row r="31" spans="1:15" s="278" customFormat="1" ht="15" customHeight="1">
      <c r="A31" s="1" t="s">
        <v>3174</v>
      </c>
      <c r="B31" s="1151"/>
      <c r="C31" s="311" t="s">
        <v>3158</v>
      </c>
      <c r="D31" s="312">
        <f>'RESUMO GERAL'!G142+'RESUMO GERAL'!G131+'RESUMO GERAL'!G144</f>
        <v>14930622.831343077</v>
      </c>
      <c r="E31" s="327">
        <f t="shared" si="2"/>
        <v>35</v>
      </c>
      <c r="F31" s="313">
        <f t="shared" si="3"/>
        <v>3.4999999999999996E-3</v>
      </c>
      <c r="G31" s="314">
        <f t="shared" si="0"/>
        <v>52257.179909700768</v>
      </c>
      <c r="H31" s="1154"/>
      <c r="J31" s="355">
        <v>35</v>
      </c>
      <c r="K31" s="276">
        <v>5.0000000000000001E-3</v>
      </c>
      <c r="M31" s="277">
        <f t="shared" si="1"/>
        <v>3.4999999999999996E-3</v>
      </c>
      <c r="O31" s="526" t="s">
        <v>3347</v>
      </c>
    </row>
    <row r="32" spans="1:15" s="278" customFormat="1" ht="15" customHeight="1">
      <c r="A32" s="1"/>
      <c r="B32" s="1151"/>
      <c r="C32" s="311" t="s">
        <v>3159</v>
      </c>
      <c r="D32" s="312">
        <v>0</v>
      </c>
      <c r="E32" s="327">
        <f t="shared" si="2"/>
        <v>35</v>
      </c>
      <c r="F32" s="313">
        <f t="shared" si="3"/>
        <v>5.2499999999999995E-3</v>
      </c>
      <c r="G32" s="314">
        <f t="shared" si="0"/>
        <v>0</v>
      </c>
      <c r="H32" s="1154"/>
      <c r="J32" s="355">
        <v>35</v>
      </c>
      <c r="K32" s="276">
        <v>7.4999999999999997E-3</v>
      </c>
      <c r="M32" s="277">
        <f t="shared" si="1"/>
        <v>5.2499999999999995E-3</v>
      </c>
      <c r="O32" s="528">
        <v>0</v>
      </c>
    </row>
    <row r="33" spans="1:15" s="270" customFormat="1" ht="15" customHeight="1">
      <c r="A33" s="1"/>
      <c r="B33" s="1151"/>
      <c r="C33" s="311" t="s">
        <v>3169</v>
      </c>
      <c r="D33" s="312">
        <f>'RESUMO GERAL'!G24</f>
        <v>8531216.5050000008</v>
      </c>
      <c r="E33" s="327">
        <f t="shared" si="2"/>
        <v>35</v>
      </c>
      <c r="F33" s="313">
        <f t="shared" si="3"/>
        <v>1.7499999999999998E-3</v>
      </c>
      <c r="G33" s="314">
        <f t="shared" si="0"/>
        <v>14929.62888375</v>
      </c>
      <c r="H33" s="1154"/>
      <c r="J33" s="355">
        <v>35</v>
      </c>
      <c r="K33" s="276">
        <v>2.5000000000000001E-3</v>
      </c>
      <c r="M33" s="277">
        <f t="shared" si="1"/>
        <v>1.7499999999999998E-3</v>
      </c>
      <c r="O33" s="527" t="s">
        <v>3348</v>
      </c>
    </row>
    <row r="34" spans="1:15" s="278" customFormat="1" ht="15" customHeight="1">
      <c r="A34" s="1"/>
      <c r="B34" s="1151"/>
      <c r="C34" s="311" t="s">
        <v>3160</v>
      </c>
      <c r="D34" s="312">
        <f>'RESUMO GERAL'!G168</f>
        <v>11410546.450620295</v>
      </c>
      <c r="E34" s="327">
        <f t="shared" si="2"/>
        <v>35</v>
      </c>
      <c r="F34" s="313">
        <f t="shared" si="3"/>
        <v>1.0499999999999999E-2</v>
      </c>
      <c r="G34" s="314">
        <f t="shared" si="0"/>
        <v>119810.73773151309</v>
      </c>
      <c r="H34" s="1154"/>
      <c r="J34" s="355">
        <v>35</v>
      </c>
      <c r="K34" s="330">
        <v>1.4999999999999999E-2</v>
      </c>
      <c r="M34" s="277">
        <f t="shared" si="1"/>
        <v>1.0499999999999999E-2</v>
      </c>
      <c r="O34" s="526" t="s">
        <v>3349</v>
      </c>
    </row>
    <row r="35" spans="1:15" s="278" customFormat="1" ht="15" customHeight="1">
      <c r="A35" s="1"/>
      <c r="B35" s="1151"/>
      <c r="C35" s="311" t="s">
        <v>3170</v>
      </c>
      <c r="D35" s="312">
        <f>'RESUMO GERAL'!G173+'RESUMO GERAL'!G95</f>
        <v>6661072.7339050379</v>
      </c>
      <c r="E35" s="327">
        <f t="shared" si="2"/>
        <v>35</v>
      </c>
      <c r="F35" s="313">
        <f t="shared" si="3"/>
        <v>1.0499999999999999E-2</v>
      </c>
      <c r="G35" s="314">
        <f t="shared" si="0"/>
        <v>69941.263706002894</v>
      </c>
      <c r="H35" s="1154"/>
      <c r="J35" s="355">
        <v>35</v>
      </c>
      <c r="K35" s="330">
        <v>1.4999999999999999E-2</v>
      </c>
      <c r="M35" s="277">
        <f t="shared" si="1"/>
        <v>1.0499999999999999E-2</v>
      </c>
      <c r="O35" s="526" t="s">
        <v>3350</v>
      </c>
    </row>
    <row r="36" spans="1:15" s="278" customFormat="1" ht="15" customHeight="1">
      <c r="A36" s="1"/>
      <c r="B36" s="1151"/>
      <c r="C36" s="311" t="s">
        <v>3238</v>
      </c>
      <c r="D36" s="312">
        <f>'RESUMO GERAL'!G185</f>
        <v>7255252.2815955002</v>
      </c>
      <c r="E36" s="327">
        <f t="shared" si="2"/>
        <v>35</v>
      </c>
      <c r="F36" s="313">
        <f t="shared" si="3"/>
        <v>1.4E-3</v>
      </c>
      <c r="G36" s="314">
        <f t="shared" si="0"/>
        <v>10157.353194233699</v>
      </c>
      <c r="H36" s="1154"/>
      <c r="J36" s="355">
        <v>35</v>
      </c>
      <c r="K36" s="276">
        <v>2E-3</v>
      </c>
      <c r="M36" s="277">
        <f t="shared" si="1"/>
        <v>1.4E-3</v>
      </c>
      <c r="O36" s="528">
        <v>0</v>
      </c>
    </row>
    <row r="37" spans="1:15" s="278" customFormat="1" ht="15" customHeight="1">
      <c r="A37" s="1"/>
      <c r="B37" s="1151"/>
      <c r="C37" s="311" t="s">
        <v>3239</v>
      </c>
      <c r="D37" s="312">
        <f>'RESUMO GERAL'!G189</f>
        <v>2060097.9555600001</v>
      </c>
      <c r="E37" s="327">
        <f t="shared" si="2"/>
        <v>35</v>
      </c>
      <c r="F37" s="313">
        <f t="shared" si="3"/>
        <v>1.0499999999999999E-2</v>
      </c>
      <c r="G37" s="314">
        <f t="shared" si="0"/>
        <v>21631.028533379998</v>
      </c>
      <c r="H37" s="1154"/>
      <c r="J37" s="355">
        <v>35</v>
      </c>
      <c r="K37" s="330">
        <v>1.4999999999999999E-2</v>
      </c>
      <c r="M37" s="277">
        <f t="shared" si="1"/>
        <v>1.0499999999999999E-2</v>
      </c>
      <c r="O37" s="528">
        <v>0</v>
      </c>
    </row>
    <row r="38" spans="1:15" s="278" customFormat="1" ht="22.5" customHeight="1">
      <c r="A38" s="1"/>
      <c r="B38" s="1151"/>
      <c r="C38" s="417" t="s">
        <v>3240</v>
      </c>
      <c r="D38" s="312">
        <f>'RESUMO GERAL'!G193</f>
        <v>1962766.6926890824</v>
      </c>
      <c r="E38" s="327">
        <f t="shared" si="2"/>
        <v>35</v>
      </c>
      <c r="F38" s="313">
        <f t="shared" si="3"/>
        <v>1.0499999999999999E-2</v>
      </c>
      <c r="G38" s="314">
        <f t="shared" si="0"/>
        <v>20609.050273235363</v>
      </c>
      <c r="H38" s="1154"/>
      <c r="J38" s="355">
        <v>35</v>
      </c>
      <c r="K38" s="330">
        <v>1.4999999999999999E-2</v>
      </c>
      <c r="M38" s="277">
        <f t="shared" si="1"/>
        <v>1.0499999999999999E-2</v>
      </c>
      <c r="O38" s="528">
        <v>0</v>
      </c>
    </row>
    <row r="39" spans="1:15" s="278" customFormat="1" ht="24.75" customHeight="1">
      <c r="A39" s="1"/>
      <c r="B39" s="1151"/>
      <c r="C39" s="417" t="s">
        <v>3241</v>
      </c>
      <c r="D39" s="312">
        <f>'RESUMO GERAL'!G197</f>
        <v>777363.89599905885</v>
      </c>
      <c r="E39" s="327">
        <f t="shared" si="2"/>
        <v>35</v>
      </c>
      <c r="F39" s="313">
        <f t="shared" si="3"/>
        <v>3.4999999999999996E-3</v>
      </c>
      <c r="G39" s="314">
        <f t="shared" si="0"/>
        <v>2720.7736359967057</v>
      </c>
      <c r="H39" s="1154"/>
      <c r="J39" s="355">
        <v>35</v>
      </c>
      <c r="K39" s="276">
        <v>5.0000000000000001E-3</v>
      </c>
      <c r="M39" s="277">
        <f t="shared" si="1"/>
        <v>3.4999999999999996E-3</v>
      </c>
      <c r="O39" s="528">
        <v>0</v>
      </c>
    </row>
    <row r="40" spans="1:15" s="278" customFormat="1" ht="15" customHeight="1">
      <c r="A40" s="1"/>
      <c r="B40" s="1151"/>
      <c r="C40" s="311" t="s">
        <v>3242</v>
      </c>
      <c r="D40" s="312">
        <f>'RESUMO GERAL'!G201</f>
        <v>2179072.196004</v>
      </c>
      <c r="E40" s="327">
        <f t="shared" si="2"/>
        <v>35</v>
      </c>
      <c r="F40" s="313">
        <f t="shared" si="3"/>
        <v>3.4999999999999996E-3</v>
      </c>
      <c r="G40" s="314">
        <f t="shared" si="0"/>
        <v>7626.7526860139997</v>
      </c>
      <c r="H40" s="1154"/>
      <c r="J40" s="355">
        <v>35</v>
      </c>
      <c r="K40" s="276">
        <v>5.0000000000000001E-3</v>
      </c>
      <c r="M40" s="277">
        <f t="shared" si="1"/>
        <v>3.4999999999999996E-3</v>
      </c>
      <c r="O40" s="528">
        <v>0</v>
      </c>
    </row>
    <row r="41" spans="1:15" s="278" customFormat="1" ht="15" customHeight="1">
      <c r="A41" s="1"/>
      <c r="B41" s="1152"/>
      <c r="C41" s="315" t="s">
        <v>3148</v>
      </c>
      <c r="D41" s="316">
        <f>'RESUMO GERAL'!G109+'RESUMO GERAL'!G171+'RESUMO GERAL'!G175+'RESUMO GERAL'!G208+'RESUMO GERAL'!G215+'RESUMO GERAL'!G221+'RESUMO GERAL'!G128</f>
        <v>9482029.5233537182</v>
      </c>
      <c r="E41" s="328">
        <f t="shared" si="2"/>
        <v>35</v>
      </c>
      <c r="F41" s="317">
        <f t="shared" si="3"/>
        <v>3.4999999999999996E-3</v>
      </c>
      <c r="G41" s="314">
        <f t="shared" si="0"/>
        <v>33187.103331738013</v>
      </c>
      <c r="H41" s="1155"/>
      <c r="J41" s="356">
        <v>35</v>
      </c>
      <c r="K41" s="276">
        <v>5.0000000000000001E-3</v>
      </c>
      <c r="M41" s="277">
        <f t="shared" si="1"/>
        <v>3.4999999999999996E-3</v>
      </c>
      <c r="O41" s="526" t="s">
        <v>3360</v>
      </c>
    </row>
    <row r="42" spans="1:15" s="270" customFormat="1" ht="15" customHeight="1">
      <c r="A42" s="1"/>
      <c r="B42" s="368" t="s">
        <v>3161</v>
      </c>
      <c r="C42" s="333" t="s">
        <v>3171</v>
      </c>
      <c r="D42" s="318">
        <f>'RESUMO GERAL'!G150</f>
        <v>30726431.839889351</v>
      </c>
      <c r="E42" s="334" t="str">
        <f t="shared" si="2"/>
        <v>-</v>
      </c>
      <c r="F42" s="334" t="s">
        <v>1477</v>
      </c>
      <c r="G42" s="334">
        <v>0</v>
      </c>
      <c r="H42" s="1135">
        <f>SUM(D42:D50)</f>
        <v>137332497.51425353</v>
      </c>
      <c r="J42" s="363" t="s">
        <v>1477</v>
      </c>
      <c r="K42" s="276"/>
      <c r="M42" s="277"/>
      <c r="O42" s="527" t="s">
        <v>3351</v>
      </c>
    </row>
    <row r="43" spans="1:15" s="270" customFormat="1" ht="15" customHeight="1">
      <c r="A43" s="1"/>
      <c r="B43" s="369"/>
      <c r="C43" s="297" t="s">
        <v>3176</v>
      </c>
      <c r="D43" s="335"/>
      <c r="E43" s="319" t="str">
        <f>J43</f>
        <v>-</v>
      </c>
      <c r="F43" s="319" t="s">
        <v>1477</v>
      </c>
      <c r="G43" s="319">
        <v>0</v>
      </c>
      <c r="H43" s="1156"/>
      <c r="J43" s="364" t="s">
        <v>1477</v>
      </c>
      <c r="K43" s="276"/>
      <c r="M43" s="277"/>
      <c r="O43" s="527" t="s">
        <v>3352</v>
      </c>
    </row>
    <row r="44" spans="1:15" s="270" customFormat="1" ht="15" customHeight="1">
      <c r="A44" s="1"/>
      <c r="B44" s="369"/>
      <c r="C44" s="336" t="s">
        <v>3172</v>
      </c>
      <c r="D44" s="337">
        <f>'RESUMO GERAL'!G179</f>
        <v>0</v>
      </c>
      <c r="E44" s="319" t="str">
        <f t="shared" ref="E44:E50" si="5">J44</f>
        <v>-</v>
      </c>
      <c r="F44" s="319" t="s">
        <v>1477</v>
      </c>
      <c r="G44" s="319">
        <v>0</v>
      </c>
      <c r="H44" s="1156"/>
      <c r="J44" s="364" t="s">
        <v>1477</v>
      </c>
      <c r="K44" s="276"/>
      <c r="M44" s="277"/>
      <c r="O44" s="527" t="s">
        <v>3353</v>
      </c>
    </row>
    <row r="45" spans="1:15" s="270" customFormat="1" ht="15" customHeight="1">
      <c r="A45" s="1"/>
      <c r="B45" s="369"/>
      <c r="C45" s="297" t="s">
        <v>3187</v>
      </c>
      <c r="D45" s="337">
        <f>'RESUMO GERAL'!G177</f>
        <v>74401.459999999992</v>
      </c>
      <c r="E45" s="319" t="str">
        <f t="shared" si="5"/>
        <v>-</v>
      </c>
      <c r="F45" s="319" t="s">
        <v>1477</v>
      </c>
      <c r="G45" s="319">
        <v>0</v>
      </c>
      <c r="H45" s="1156"/>
      <c r="J45" s="364" t="s">
        <v>1477</v>
      </c>
      <c r="K45" s="276"/>
      <c r="M45" s="277"/>
      <c r="O45" s="527" t="s">
        <v>3354</v>
      </c>
    </row>
    <row r="46" spans="1:15" s="270" customFormat="1" ht="15" customHeight="1">
      <c r="A46" s="1"/>
      <c r="B46" s="369"/>
      <c r="C46" s="336" t="s">
        <v>3124</v>
      </c>
      <c r="D46" s="337">
        <f>'RESUMO GERAL'!G224</f>
        <v>81105636.854908735</v>
      </c>
      <c r="E46" s="319" t="str">
        <f t="shared" si="5"/>
        <v>-</v>
      </c>
      <c r="F46" s="319" t="s">
        <v>1477</v>
      </c>
      <c r="G46" s="319">
        <v>0</v>
      </c>
      <c r="H46" s="1156"/>
      <c r="J46" s="364" t="s">
        <v>1477</v>
      </c>
      <c r="K46" s="276"/>
      <c r="M46" s="277"/>
      <c r="O46" s="527" t="s">
        <v>3355</v>
      </c>
    </row>
    <row r="47" spans="1:15" s="270" customFormat="1" ht="15" customHeight="1">
      <c r="A47" s="1"/>
      <c r="B47" s="369"/>
      <c r="C47" s="342" t="s">
        <v>3181</v>
      </c>
      <c r="D47" s="337">
        <f>'RESUMO GERAL'!G182</f>
        <v>0</v>
      </c>
      <c r="E47" s="319" t="str">
        <f t="shared" si="5"/>
        <v>-</v>
      </c>
      <c r="F47" s="319" t="s">
        <v>1477</v>
      </c>
      <c r="G47" s="319">
        <v>0</v>
      </c>
      <c r="H47" s="1156"/>
      <c r="J47" s="364" t="s">
        <v>1477</v>
      </c>
      <c r="K47" s="276"/>
      <c r="M47" s="277"/>
      <c r="O47" s="527" t="s">
        <v>3356</v>
      </c>
    </row>
    <row r="48" spans="1:15" s="278" customFormat="1" ht="15" customHeight="1">
      <c r="A48" s="1"/>
      <c r="B48" s="369"/>
      <c r="C48" s="336" t="s">
        <v>3125</v>
      </c>
      <c r="D48" s="337">
        <f>'RESUMO GERAL'!G225</f>
        <v>4860947.9000000004</v>
      </c>
      <c r="E48" s="319" t="str">
        <f t="shared" si="5"/>
        <v>-</v>
      </c>
      <c r="F48" s="319" t="s">
        <v>1477</v>
      </c>
      <c r="G48" s="319">
        <v>0</v>
      </c>
      <c r="H48" s="1156"/>
      <c r="J48" s="364" t="s">
        <v>1477</v>
      </c>
      <c r="K48" s="276"/>
      <c r="M48" s="277"/>
      <c r="O48" s="526" t="s">
        <v>3357</v>
      </c>
    </row>
    <row r="49" spans="1:15" s="278" customFormat="1" ht="15" customHeight="1">
      <c r="A49" s="1"/>
      <c r="B49" s="369"/>
      <c r="C49" s="338" t="s">
        <v>3126</v>
      </c>
      <c r="D49" s="339">
        <f>'RESUMO GERAL'!G226</f>
        <v>0</v>
      </c>
      <c r="E49" s="319" t="str">
        <f t="shared" si="5"/>
        <v>-</v>
      </c>
      <c r="F49" s="319" t="s">
        <v>1477</v>
      </c>
      <c r="G49" s="319">
        <v>0</v>
      </c>
      <c r="H49" s="1156"/>
      <c r="J49" s="364" t="s">
        <v>1477</v>
      </c>
      <c r="K49" s="276"/>
      <c r="M49" s="277"/>
      <c r="O49" s="526" t="s">
        <v>3358</v>
      </c>
    </row>
    <row r="50" spans="1:15" s="278" customFormat="1" ht="15" customHeight="1" thickBot="1">
      <c r="A50" s="1"/>
      <c r="B50" s="369"/>
      <c r="C50" s="500" t="s">
        <v>3186</v>
      </c>
      <c r="D50" s="501">
        <f>'RESUMO GERAL'!G228</f>
        <v>20565079.459455431</v>
      </c>
      <c r="E50" s="502" t="str">
        <f t="shared" si="5"/>
        <v>-</v>
      </c>
      <c r="F50" s="502" t="s">
        <v>1477</v>
      </c>
      <c r="G50" s="502">
        <v>0</v>
      </c>
      <c r="H50" s="1156"/>
      <c r="J50" s="365" t="s">
        <v>1477</v>
      </c>
      <c r="K50" s="276"/>
      <c r="M50" s="277"/>
      <c r="O50" s="526" t="s">
        <v>3359</v>
      </c>
    </row>
    <row r="51" spans="1:15" s="278" customFormat="1" ht="15" customHeight="1" thickTop="1" thickBot="1">
      <c r="A51" s="1"/>
      <c r="B51" s="1148" t="s">
        <v>3162</v>
      </c>
      <c r="C51" s="1149"/>
      <c r="D51" s="503">
        <f>SUM(D6:D50)</f>
        <v>734591054.53857541</v>
      </c>
      <c r="E51" s="504"/>
      <c r="F51" s="504"/>
      <c r="G51" s="504">
        <f>SUM(G6:G50)</f>
        <v>4508611.3227492291</v>
      </c>
      <c r="H51" s="505">
        <f>SUM(H6:H49)</f>
        <v>734591054.53857529</v>
      </c>
      <c r="O51" s="528"/>
    </row>
    <row r="52" spans="1:15" ht="15.75" thickTop="1">
      <c r="A52" s="1"/>
      <c r="C52" s="340" t="s">
        <v>3178</v>
      </c>
      <c r="D52" s="341">
        <f>'RESUMO GERAL'!G244-AGRUP.!D51</f>
        <v>0</v>
      </c>
      <c r="G52" s="507"/>
    </row>
    <row r="53" spans="1:15">
      <c r="A53" s="1"/>
      <c r="D53" s="1"/>
      <c r="E53" s="1"/>
      <c r="F53" s="1"/>
      <c r="G53" s="1"/>
      <c r="H53" s="1"/>
      <c r="I53" s="1"/>
      <c r="J53" s="1"/>
      <c r="K53" s="1"/>
    </row>
    <row r="54" spans="1:15">
      <c r="A54" s="1"/>
      <c r="D54" s="1"/>
      <c r="E54" s="1"/>
      <c r="F54" s="1"/>
      <c r="G54" s="1"/>
      <c r="H54" s="1"/>
      <c r="I54" s="1"/>
      <c r="J54" s="1"/>
      <c r="K54" s="1"/>
    </row>
    <row r="55" spans="1:15">
      <c r="A55" s="1"/>
      <c r="D55" s="1"/>
      <c r="E55" s="1"/>
      <c r="F55" s="1"/>
      <c r="G55" s="1"/>
      <c r="H55" s="1"/>
      <c r="I55" s="1"/>
      <c r="J55" s="1"/>
      <c r="K55" s="1"/>
    </row>
    <row r="56" spans="1:15">
      <c r="A56" s="1"/>
      <c r="D56" s="1"/>
      <c r="E56" s="1"/>
      <c r="F56" s="1"/>
      <c r="G56" s="1"/>
      <c r="H56" s="1"/>
      <c r="I56" s="1"/>
      <c r="J56" s="1"/>
      <c r="K56" s="1"/>
    </row>
    <row r="57" spans="1:15">
      <c r="A57" s="1"/>
      <c r="D57" s="1"/>
      <c r="E57" s="1"/>
      <c r="F57" s="1"/>
      <c r="G57" s="1"/>
      <c r="H57" s="1"/>
      <c r="I57" s="1"/>
      <c r="J57" s="1"/>
      <c r="K57" s="1"/>
    </row>
    <row r="58" spans="1:15">
      <c r="A58" s="1"/>
    </row>
    <row r="59" spans="1:15">
      <c r="A59" s="1"/>
      <c r="B59"/>
      <c r="C59"/>
      <c r="D59" s="139"/>
      <c r="E59"/>
    </row>
    <row r="60" spans="1:15">
      <c r="A60" s="1"/>
      <c r="B60"/>
      <c r="C60"/>
      <c r="E60"/>
    </row>
    <row r="61" spans="1:15">
      <c r="A61" s="1"/>
      <c r="B61"/>
      <c r="C61"/>
      <c r="E61"/>
    </row>
    <row r="62" spans="1:15">
      <c r="A62" s="1"/>
      <c r="B62"/>
      <c r="C62"/>
      <c r="E62"/>
    </row>
    <row r="63" spans="1:15">
      <c r="A63" s="1"/>
      <c r="B63"/>
      <c r="C63"/>
      <c r="E63"/>
    </row>
    <row r="64" spans="1:15">
      <c r="A64" s="1"/>
      <c r="B64"/>
      <c r="C64"/>
      <c r="E64"/>
    </row>
    <row r="65" spans="1:1" customFormat="1">
      <c r="A65" s="1"/>
    </row>
    <row r="66" spans="1:1" customFormat="1">
      <c r="A66" s="1"/>
    </row>
    <row r="67" spans="1:1" customFormat="1">
      <c r="A67" s="1"/>
    </row>
  </sheetData>
  <mergeCells count="24">
    <mergeCell ref="B19:B24"/>
    <mergeCell ref="H19:H24"/>
    <mergeCell ref="B51:C51"/>
    <mergeCell ref="B25:B41"/>
    <mergeCell ref="H25:H41"/>
    <mergeCell ref="H42:H50"/>
    <mergeCell ref="L4:L5"/>
    <mergeCell ref="M4:M5"/>
    <mergeCell ref="B6:B9"/>
    <mergeCell ref="H7:H9"/>
    <mergeCell ref="H10:H12"/>
    <mergeCell ref="B10:B18"/>
    <mergeCell ref="H13:H18"/>
    <mergeCell ref="J3:K3"/>
    <mergeCell ref="B4:B5"/>
    <mergeCell ref="C4:C5"/>
    <mergeCell ref="D4:D5"/>
    <mergeCell ref="E4:E5"/>
    <mergeCell ref="F4:F5"/>
    <mergeCell ref="G4:G5"/>
    <mergeCell ref="H4:H5"/>
    <mergeCell ref="J4:J5"/>
    <mergeCell ref="K4:K5"/>
    <mergeCell ref="B3:D3"/>
  </mergeCells>
  <pageMargins left="0.31496062992125984" right="0.51181102362204722" top="0.19685039370078741" bottom="0.19685039370078741" header="0.31496062992125984" footer="0.11811023622047245"/>
  <pageSetup paperSize="9" scale="3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BL251"/>
  <sheetViews>
    <sheetView topLeftCell="A200" zoomScale="70" zoomScaleNormal="70" workbookViewId="0">
      <selection activeCell="M205" sqref="M205"/>
    </sheetView>
  </sheetViews>
  <sheetFormatPr defaultColWidth="9.140625" defaultRowHeight="15.75"/>
  <cols>
    <col min="1" max="1" width="14" style="79" customWidth="1"/>
    <col min="2" max="2" width="64.140625" style="49" customWidth="1"/>
    <col min="3" max="3" width="8" style="141" customWidth="1"/>
    <col min="4" max="4" width="19.7109375" style="50" hidden="1" customWidth="1"/>
    <col min="5" max="5" width="17.42578125" style="50" hidden="1" customWidth="1"/>
    <col min="6" max="6" width="0.140625" style="50" hidden="1" customWidth="1"/>
    <col min="7" max="7" width="21" style="50" customWidth="1"/>
    <col min="8" max="8" width="22.42578125" style="50" customWidth="1"/>
    <col min="9" max="9" width="22.5703125" style="50" customWidth="1"/>
    <col min="10" max="10" width="21.7109375" style="50" customWidth="1"/>
    <col min="11" max="11" width="21.28515625" style="50" customWidth="1"/>
    <col min="12" max="12" width="5" style="50" customWidth="1"/>
    <col min="13" max="13" width="22.7109375" style="50" customWidth="1"/>
    <col min="14" max="14" width="21.85546875" style="50" customWidth="1"/>
    <col min="15" max="15" width="11.7109375" style="50" customWidth="1"/>
    <col min="16" max="18" width="9.140625" style="50"/>
    <col min="19" max="20" width="12.42578125" style="50" customWidth="1"/>
    <col min="21" max="16384" width="9.140625" style="50"/>
  </cols>
  <sheetData>
    <row r="1" spans="1:18">
      <c r="J1" s="1157" t="s">
        <v>3847</v>
      </c>
      <c r="K1" s="1157"/>
    </row>
    <row r="2" spans="1:18" ht="16.5" thickBot="1">
      <c r="A2" s="400"/>
      <c r="B2" s="171"/>
      <c r="C2" s="172"/>
      <c r="D2" s="173"/>
      <c r="E2" s="173"/>
      <c r="F2" s="173"/>
      <c r="G2" s="173"/>
      <c r="H2" s="173"/>
      <c r="I2" s="173"/>
      <c r="J2" s="1158"/>
      <c r="K2" s="1158"/>
    </row>
    <row r="3" spans="1:18">
      <c r="A3" s="1116" t="s">
        <v>0</v>
      </c>
      <c r="B3" s="1116" t="s">
        <v>1520</v>
      </c>
      <c r="C3" s="1116" t="s">
        <v>11</v>
      </c>
      <c r="D3" s="1113" t="s">
        <v>3053</v>
      </c>
      <c r="E3" s="1113"/>
      <c r="F3" s="1113"/>
      <c r="G3" s="1111" t="s">
        <v>3380</v>
      </c>
      <c r="H3" s="1114" t="s">
        <v>3381</v>
      </c>
      <c r="I3" s="1114" t="s">
        <v>3382</v>
      </c>
      <c r="J3" s="1161" t="s">
        <v>3392</v>
      </c>
      <c r="K3" s="1162"/>
    </row>
    <row r="4" spans="1:18" ht="32.25" customHeight="1" thickBot="1">
      <c r="A4" s="1117"/>
      <c r="B4" s="1117"/>
      <c r="C4" s="1117"/>
      <c r="D4" s="108" t="s">
        <v>1531</v>
      </c>
      <c r="E4" s="108" t="s">
        <v>12</v>
      </c>
      <c r="F4" s="108" t="s">
        <v>3066</v>
      </c>
      <c r="G4" s="1112"/>
      <c r="H4" s="1115"/>
      <c r="I4" s="1115"/>
      <c r="J4" s="916" t="s">
        <v>3393</v>
      </c>
      <c r="K4" s="917" t="s">
        <v>3394</v>
      </c>
    </row>
    <row r="5" spans="1:18" s="98" customFormat="1">
      <c r="A5" s="224" t="s">
        <v>14</v>
      </c>
      <c r="B5" s="223" t="s">
        <v>3059</v>
      </c>
      <c r="C5" s="224"/>
      <c r="D5" s="225"/>
      <c r="E5" s="225"/>
      <c r="F5" s="225">
        <f>SUM(F6:F6)</f>
        <v>0</v>
      </c>
      <c r="G5" s="225">
        <f>SUM(G6)</f>
        <v>8531216.5050000008</v>
      </c>
      <c r="H5" s="225">
        <f>SUM(H6:H7)</f>
        <v>1064223.645</v>
      </c>
      <c r="I5" s="225">
        <f>SUM(I6:I7)</f>
        <v>8531216.5050000008</v>
      </c>
      <c r="J5" s="564">
        <f>SUM(J6:J7)</f>
        <v>6408388.1042805295</v>
      </c>
      <c r="K5" s="225">
        <f>SUM(K6:K7)</f>
        <v>1064223.645</v>
      </c>
      <c r="N5" s="436" t="s">
        <v>3385</v>
      </c>
      <c r="O5" s="436" t="s">
        <v>3386</v>
      </c>
    </row>
    <row r="6" spans="1:18" s="98" customFormat="1">
      <c r="A6" s="99"/>
      <c r="B6" s="109" t="s">
        <v>3215</v>
      </c>
      <c r="C6" s="53" t="s">
        <v>3219</v>
      </c>
      <c r="D6" s="20"/>
      <c r="E6" s="20"/>
      <c r="F6" s="19"/>
      <c r="G6" s="19">
        <f>AUX.!K7</f>
        <v>8531216.5050000008</v>
      </c>
      <c r="H6" s="19"/>
      <c r="I6" s="19">
        <f>G6-H6</f>
        <v>8531216.5050000008</v>
      </c>
      <c r="J6" s="562">
        <f>I6*$P$7</f>
        <v>6408388.1042805295</v>
      </c>
      <c r="K6" s="563">
        <f>H6</f>
        <v>0</v>
      </c>
      <c r="M6" s="98" t="s">
        <v>3383</v>
      </c>
      <c r="N6" s="545">
        <v>2125.6</v>
      </c>
      <c r="O6" s="545">
        <f>N6*0.88/0.98/0.95</f>
        <v>2009.1600429645543</v>
      </c>
      <c r="P6" s="546">
        <f>O6/$O$9</f>
        <v>0.24883067959596625</v>
      </c>
    </row>
    <row r="7" spans="1:18" s="98" customFormat="1">
      <c r="A7" s="522"/>
      <c r="B7" s="437" t="s">
        <v>3148</v>
      </c>
      <c r="C7" s="438" t="s">
        <v>3219</v>
      </c>
      <c r="D7" s="246"/>
      <c r="E7" s="246"/>
      <c r="F7" s="383"/>
      <c r="G7" s="485">
        <f>RECUP.!I10</f>
        <v>1064223.645</v>
      </c>
      <c r="H7" s="383">
        <f>G7</f>
        <v>1064223.645</v>
      </c>
      <c r="I7" s="19">
        <f>G7-H7</f>
        <v>0</v>
      </c>
      <c r="J7" s="210"/>
      <c r="K7" s="563">
        <f>H7</f>
        <v>1064223.645</v>
      </c>
      <c r="M7" s="98" t="s">
        <v>3841</v>
      </c>
      <c r="N7" s="545">
        <v>6016.7550000000001</v>
      </c>
      <c r="O7" s="545">
        <f>N7*0.88/0.98/0.95</f>
        <v>5687.1583243823861</v>
      </c>
      <c r="P7" s="568">
        <f>(O7+O8)/$O$9</f>
        <v>0.75116932040403406</v>
      </c>
    </row>
    <row r="8" spans="1:18" s="98" customFormat="1">
      <c r="A8" s="99"/>
      <c r="B8" s="100"/>
      <c r="C8" s="53"/>
      <c r="D8" s="20"/>
      <c r="E8" s="20"/>
      <c r="F8" s="19"/>
      <c r="G8" s="19"/>
      <c r="H8" s="19"/>
      <c r="I8" s="19"/>
      <c r="J8" s="114"/>
      <c r="K8" s="210"/>
      <c r="M8" s="98" t="s">
        <v>3384</v>
      </c>
      <c r="N8" s="545">
        <v>400</v>
      </c>
      <c r="O8" s="545">
        <f>N8*0.88/0.98/0.95</f>
        <v>378.08807733619767</v>
      </c>
      <c r="Q8" s="546">
        <f>O8/$O$9</f>
        <v>4.6825494843049729E-2</v>
      </c>
    </row>
    <row r="9" spans="1:18" s="98" customFormat="1">
      <c r="A9" s="74" t="s">
        <v>19</v>
      </c>
      <c r="B9" s="101" t="s">
        <v>3105</v>
      </c>
      <c r="C9" s="411"/>
      <c r="D9" s="75"/>
      <c r="E9" s="75"/>
      <c r="F9" s="75"/>
      <c r="G9" s="75">
        <f>+G10+G16</f>
        <v>54062188.073315457</v>
      </c>
      <c r="H9" s="75">
        <f>+H10+H16</f>
        <v>1729017.7583999999</v>
      </c>
      <c r="I9" s="75">
        <f>+I10+I16</f>
        <v>54062188.073315457</v>
      </c>
      <c r="J9" s="75">
        <f>+J10+J16</f>
        <v>40609857.074587435</v>
      </c>
      <c r="K9" s="75">
        <f>+K10+K16</f>
        <v>1729017.7583999999</v>
      </c>
      <c r="M9" s="120" t="s">
        <v>2756</v>
      </c>
      <c r="N9" s="544">
        <f>SUM(N6:N8)</f>
        <v>8542.3549999999996</v>
      </c>
      <c r="O9" s="544">
        <f>N9*0.88/0.98/0.95</f>
        <v>8074.4064446831362</v>
      </c>
    </row>
    <row r="10" spans="1:18" s="120" customFormat="1">
      <c r="A10" s="402" t="s">
        <v>20</v>
      </c>
      <c r="B10" s="403" t="s">
        <v>3106</v>
      </c>
      <c r="C10" s="403"/>
      <c r="D10" s="403"/>
      <c r="E10" s="403" t="s">
        <v>3108</v>
      </c>
      <c r="F10" s="403"/>
      <c r="G10" s="404">
        <f>SUM(G11:G13)</f>
        <v>40237025.925795317</v>
      </c>
      <c r="H10" s="404">
        <f>SUM(H11:H14)</f>
        <v>1556456.4443999999</v>
      </c>
      <c r="I10" s="404">
        <f>SUM(I11:I14)</f>
        <v>40237025.925795317</v>
      </c>
      <c r="J10" s="565">
        <f>SUM(J11:J14)</f>
        <v>30224819.419759162</v>
      </c>
      <c r="K10" s="404">
        <f>SUM(K11:K14)</f>
        <v>1556456.4443999999</v>
      </c>
      <c r="L10" s="98"/>
      <c r="N10" s="250"/>
      <c r="O10" s="548" t="s">
        <v>3391</v>
      </c>
      <c r="P10" s="547">
        <f>P6+Q8</f>
        <v>0.29565617443901598</v>
      </c>
    </row>
    <row r="11" spans="1:18" s="98" customFormat="1">
      <c r="A11" s="99"/>
      <c r="B11" s="109" t="s">
        <v>3060</v>
      </c>
      <c r="C11" s="902"/>
      <c r="D11" s="405"/>
      <c r="E11" s="405"/>
      <c r="F11" s="406"/>
      <c r="G11" s="435">
        <f>'RESUMO GERAL'!G29</f>
        <v>15992877.268825945</v>
      </c>
      <c r="H11" s="435">
        <f>0</f>
        <v>0</v>
      </c>
      <c r="I11" s="435">
        <f>G11-H11</f>
        <v>15992877.268825945</v>
      </c>
      <c r="J11" s="562">
        <f>I11*$P$7</f>
        <v>12013358.749329109</v>
      </c>
      <c r="K11" s="210"/>
    </row>
    <row r="12" spans="1:18" s="98" customFormat="1">
      <c r="A12" s="99"/>
      <c r="B12" s="109" t="s">
        <v>3212</v>
      </c>
      <c r="C12" s="903"/>
      <c r="D12" s="20"/>
      <c r="E12" s="20"/>
      <c r="F12" s="114"/>
      <c r="G12" s="435">
        <f>'RESUMO GERAL'!G30</f>
        <v>3005704.8433357216</v>
      </c>
      <c r="H12" s="435"/>
      <c r="I12" s="435">
        <f>G12-H12</f>
        <v>3005704.8433357216</v>
      </c>
      <c r="J12" s="562">
        <f>I12*$P$7</f>
        <v>2257793.2645036075</v>
      </c>
      <c r="K12" s="210"/>
      <c r="M12" s="541" t="s">
        <v>3387</v>
      </c>
      <c r="N12" s="549"/>
      <c r="O12" s="549"/>
      <c r="P12" s="550"/>
      <c r="Q12" s="550"/>
      <c r="R12" s="551"/>
    </row>
    <row r="13" spans="1:18" s="98" customFormat="1">
      <c r="A13" s="99"/>
      <c r="B13" s="109" t="s">
        <v>1443</v>
      </c>
      <c r="C13" s="903"/>
      <c r="D13" s="20"/>
      <c r="E13" s="20"/>
      <c r="F13" s="114"/>
      <c r="G13" s="435">
        <f>'RESUMO GERAL'!G31</f>
        <v>21238443.813633647</v>
      </c>
      <c r="H13" s="435"/>
      <c r="I13" s="435">
        <f>G13-H13</f>
        <v>21238443.813633647</v>
      </c>
      <c r="J13" s="562">
        <f>I13*$P$7</f>
        <v>15953667.405926447</v>
      </c>
      <c r="K13" s="210"/>
      <c r="M13" s="542" t="s">
        <v>3388</v>
      </c>
      <c r="N13" s="250"/>
      <c r="O13" s="250"/>
      <c r="P13" s="250"/>
      <c r="Q13" s="250"/>
      <c r="R13" s="552"/>
    </row>
    <row r="14" spans="1:18" s="98" customFormat="1">
      <c r="A14" s="99"/>
      <c r="B14" s="437" t="s">
        <v>3148</v>
      </c>
      <c r="C14" s="438" t="s">
        <v>3219</v>
      </c>
      <c r="D14" s="246"/>
      <c r="E14" s="246"/>
      <c r="F14" s="383"/>
      <c r="G14" s="490">
        <f>RECUP.!I19</f>
        <v>1556456.4443999999</v>
      </c>
      <c r="H14" s="383">
        <f>G14</f>
        <v>1556456.4443999999</v>
      </c>
      <c r="I14" s="383">
        <f>G14-H14</f>
        <v>0</v>
      </c>
      <c r="J14" s="114"/>
      <c r="K14" s="563">
        <f>H14</f>
        <v>1556456.4443999999</v>
      </c>
      <c r="M14" s="542" t="s">
        <v>3389</v>
      </c>
      <c r="N14" s="250"/>
      <c r="O14" s="250"/>
      <c r="P14" s="250"/>
      <c r="Q14" s="250"/>
      <c r="R14" s="552"/>
    </row>
    <row r="15" spans="1:18" s="98" customFormat="1">
      <c r="A15" s="218"/>
      <c r="B15" s="217"/>
      <c r="C15" s="218"/>
      <c r="D15" s="219"/>
      <c r="E15" s="219"/>
      <c r="F15" s="221"/>
      <c r="G15" s="220"/>
      <c r="H15" s="220"/>
      <c r="I15" s="220"/>
      <c r="J15" s="114"/>
      <c r="K15" s="210"/>
      <c r="M15" s="543" t="s">
        <v>3390</v>
      </c>
      <c r="N15" s="553"/>
      <c r="O15" s="553"/>
      <c r="P15" s="553"/>
      <c r="Q15" s="553"/>
      <c r="R15" s="554"/>
    </row>
    <row r="16" spans="1:18" s="120" customFormat="1">
      <c r="A16" s="402" t="s">
        <v>21</v>
      </c>
      <c r="B16" s="403" t="s">
        <v>3107</v>
      </c>
      <c r="C16" s="403"/>
      <c r="D16" s="403"/>
      <c r="E16" s="403" t="s">
        <v>3108</v>
      </c>
      <c r="F16" s="404"/>
      <c r="G16" s="404">
        <f>SUM(G17:G20)</f>
        <v>13825162.147520136</v>
      </c>
      <c r="H16" s="404">
        <f>SUM(H17:H21)</f>
        <v>172561.31400000001</v>
      </c>
      <c r="I16" s="404">
        <f>SUM(I17:I21)</f>
        <v>13825162.147520136</v>
      </c>
      <c r="J16" s="565">
        <f>SUM(J17:J21)</f>
        <v>10385037.654828276</v>
      </c>
      <c r="K16" s="404">
        <f>SUM(K17:K21)</f>
        <v>172561.31400000001</v>
      </c>
      <c r="L16" s="98"/>
      <c r="M16" s="555" t="s">
        <v>3842</v>
      </c>
      <c r="N16" s="556"/>
      <c r="O16" s="556"/>
      <c r="P16" s="556"/>
      <c r="Q16" s="556"/>
      <c r="R16" s="557"/>
    </row>
    <row r="17" spans="1:18" s="98" customFormat="1">
      <c r="A17" s="99"/>
      <c r="B17" s="109" t="s">
        <v>3224</v>
      </c>
      <c r="C17" s="902"/>
      <c r="D17" s="405"/>
      <c r="E17" s="405"/>
      <c r="F17" s="406"/>
      <c r="G17" s="435">
        <f>'RESUMO GERAL'!G35</f>
        <v>3032340.2028516233</v>
      </c>
      <c r="H17" s="435">
        <v>0</v>
      </c>
      <c r="I17" s="435">
        <f>G17-H17</f>
        <v>3032340.2028516233</v>
      </c>
      <c r="J17" s="562">
        <f>I17*$P$7</f>
        <v>2277800.9294098848</v>
      </c>
      <c r="K17" s="210"/>
      <c r="M17" s="558" t="s">
        <v>3843</v>
      </c>
      <c r="N17" s="559"/>
      <c r="O17" s="560"/>
      <c r="P17" s="560"/>
      <c r="Q17" s="560"/>
      <c r="R17" s="561"/>
    </row>
    <row r="18" spans="1:18" s="98" customFormat="1">
      <c r="A18" s="99"/>
      <c r="B18" s="109" t="s">
        <v>3090</v>
      </c>
      <c r="C18" s="902"/>
      <c r="D18" s="405"/>
      <c r="E18" s="405"/>
      <c r="F18" s="406"/>
      <c r="G18" s="435">
        <f>'RESUMO GERAL'!G36</f>
        <v>10792821.944668513</v>
      </c>
      <c r="H18" s="435">
        <v>0</v>
      </c>
      <c r="I18" s="435">
        <f>G18-H18</f>
        <v>10792821.944668513</v>
      </c>
      <c r="J18" s="562">
        <f>I18*$P$7</f>
        <v>8107236.7254183916</v>
      </c>
      <c r="K18" s="210"/>
      <c r="M18" s="50"/>
    </row>
    <row r="19" spans="1:18" s="98" customFormat="1">
      <c r="A19" s="99"/>
      <c r="B19" s="109" t="s">
        <v>3091</v>
      </c>
      <c r="C19" s="412"/>
      <c r="D19" s="405"/>
      <c r="E19" s="405"/>
      <c r="F19" s="406"/>
      <c r="G19" s="435"/>
      <c r="H19" s="435">
        <v>0</v>
      </c>
      <c r="I19" s="435">
        <f>G19-H19</f>
        <v>0</v>
      </c>
      <c r="J19" s="562">
        <f>I19*$P$7</f>
        <v>0</v>
      </c>
      <c r="K19" s="210"/>
      <c r="M19" s="98" t="s">
        <v>3398</v>
      </c>
    </row>
    <row r="20" spans="1:18" s="98" customFormat="1">
      <c r="A20" s="99"/>
      <c r="B20" s="109" t="s">
        <v>3213</v>
      </c>
      <c r="C20" s="412"/>
      <c r="D20" s="405"/>
      <c r="E20" s="405"/>
      <c r="F20" s="406"/>
      <c r="G20" s="435"/>
      <c r="H20" s="435">
        <v>0</v>
      </c>
      <c r="I20" s="435">
        <f>G20-H20</f>
        <v>0</v>
      </c>
      <c r="J20" s="562">
        <f>I20*$P$7</f>
        <v>0</v>
      </c>
      <c r="K20" s="210"/>
      <c r="M20" s="98" t="s">
        <v>3399</v>
      </c>
    </row>
    <row r="21" spans="1:18" s="98" customFormat="1">
      <c r="A21" s="99"/>
      <c r="B21" s="437" t="s">
        <v>3148</v>
      </c>
      <c r="C21" s="438" t="s">
        <v>3219</v>
      </c>
      <c r="D21" s="246"/>
      <c r="E21" s="246"/>
      <c r="F21" s="383"/>
      <c r="G21" s="490">
        <f>RECUP.!I27</f>
        <v>172561.31400000001</v>
      </c>
      <c r="H21" s="383">
        <f>G21</f>
        <v>172561.31400000001</v>
      </c>
      <c r="I21" s="383">
        <f>G21-H21</f>
        <v>0</v>
      </c>
      <c r="J21" s="114"/>
      <c r="K21" s="563">
        <f>H21</f>
        <v>172561.31400000001</v>
      </c>
      <c r="M21" s="541" t="s">
        <v>3411</v>
      </c>
      <c r="N21" s="549"/>
      <c r="O21" s="549"/>
      <c r="P21" s="550"/>
      <c r="Q21" s="550"/>
      <c r="R21" s="551"/>
    </row>
    <row r="22" spans="1:18" s="98" customFormat="1">
      <c r="A22" s="401"/>
      <c r="B22" s="100"/>
      <c r="C22" s="99"/>
      <c r="D22" s="20"/>
      <c r="E22" s="20"/>
      <c r="F22" s="19"/>
      <c r="G22" s="19"/>
      <c r="H22" s="19"/>
      <c r="I22" s="19"/>
      <c r="J22" s="114"/>
      <c r="K22" s="210"/>
      <c r="M22" s="542" t="s">
        <v>3397</v>
      </c>
      <c r="N22" s="250" t="s">
        <v>3412</v>
      </c>
      <c r="O22" s="567">
        <f>15768/17004</f>
        <v>0.92731122088920259</v>
      </c>
      <c r="P22" s="250"/>
      <c r="Q22" s="250"/>
      <c r="R22" s="552"/>
    </row>
    <row r="23" spans="1:18" s="98" customFormat="1">
      <c r="A23" s="74" t="s">
        <v>22</v>
      </c>
      <c r="B23" s="101" t="s">
        <v>3833</v>
      </c>
      <c r="C23" s="74"/>
      <c r="D23" s="75"/>
      <c r="E23" s="75"/>
      <c r="F23" s="75" t="e">
        <f>#REF!</f>
        <v>#REF!</v>
      </c>
      <c r="G23" s="75">
        <f>SUM(G24:G25)</f>
        <v>28466387.516885519</v>
      </c>
      <c r="H23" s="75">
        <f>SUM(H24:H25)</f>
        <v>67217.344380312425</v>
      </c>
      <c r="I23" s="75">
        <f>SUM(I24:I25)</f>
        <v>28399170.172505204</v>
      </c>
      <c r="J23" s="75">
        <f>SUM(J24:J25)</f>
        <v>21332585.358519249</v>
      </c>
      <c r="K23" s="75">
        <f>SUM(K24:K25)</f>
        <v>67217.344380312425</v>
      </c>
      <c r="M23" s="542"/>
      <c r="N23" s="250" t="s">
        <v>3413</v>
      </c>
      <c r="O23" s="567">
        <f>1236/17004</f>
        <v>7.2688779110797463E-2</v>
      </c>
      <c r="P23" s="250"/>
      <c r="Q23" s="250"/>
      <c r="R23" s="552"/>
    </row>
    <row r="24" spans="1:18" s="98" customFormat="1">
      <c r="A24" s="413" t="s">
        <v>23</v>
      </c>
      <c r="B24" s="410" t="s">
        <v>1407</v>
      </c>
      <c r="C24" s="414"/>
      <c r="D24" s="415"/>
      <c r="E24" s="415"/>
      <c r="F24" s="415" t="e">
        <f>#REF!</f>
        <v>#REF!</v>
      </c>
      <c r="G24" s="489">
        <f>'RESUMO GERAL'!G40+'RESUMO GERAL'!G41+'RESUMO GERAL'!G42</f>
        <v>4482043.918106148</v>
      </c>
      <c r="H24" s="415">
        <f>[2]RESUMO!$G$22</f>
        <v>54806.126375256426</v>
      </c>
      <c r="I24" s="415">
        <f>G24-H24</f>
        <v>4427237.7917308919</v>
      </c>
      <c r="J24" s="564">
        <f>I24*$P$7</f>
        <v>3325605.2032815507</v>
      </c>
      <c r="K24" s="415">
        <f>H24</f>
        <v>54806.126375256426</v>
      </c>
    </row>
    <row r="25" spans="1:18" s="98" customFormat="1" ht="12.75" customHeight="1">
      <c r="A25" s="413" t="s">
        <v>24</v>
      </c>
      <c r="B25" s="416" t="s">
        <v>1390</v>
      </c>
      <c r="C25" s="414"/>
      <c r="D25" s="415"/>
      <c r="E25" s="415"/>
      <c r="F25" s="415" t="e">
        <f>#REF!</f>
        <v>#REF!</v>
      </c>
      <c r="G25" s="415">
        <f>SUM(G26:G28)</f>
        <v>23984343.598779369</v>
      </c>
      <c r="H25" s="415">
        <f>SUM(H26:H28)</f>
        <v>12411.218005055998</v>
      </c>
      <c r="I25" s="415">
        <f>SUM(I26:I28)</f>
        <v>23971932.380774312</v>
      </c>
      <c r="J25" s="564">
        <f>SUM(J26:J28)</f>
        <v>18006980.155237697</v>
      </c>
      <c r="K25" s="415">
        <f>SUM(K26:K28)</f>
        <v>12411.218005055998</v>
      </c>
    </row>
    <row r="26" spans="1:18" s="98" customFormat="1">
      <c r="A26" s="99" t="s">
        <v>25</v>
      </c>
      <c r="B26" s="100" t="s">
        <v>1391</v>
      </c>
      <c r="C26" s="19"/>
      <c r="D26" s="19"/>
      <c r="E26" s="19"/>
      <c r="F26" s="20" t="e">
        <f>#REF!</f>
        <v>#REF!</v>
      </c>
      <c r="G26" s="20">
        <f>'RESUMO GERAL'!G44</f>
        <v>11962887.265733413</v>
      </c>
      <c r="H26" s="20">
        <f>[2]RESUMO!$G$23</f>
        <v>12411.218005055998</v>
      </c>
      <c r="I26" s="20">
        <f>G26-H26</f>
        <v>11950476.047728358</v>
      </c>
      <c r="J26" s="562">
        <f>I26*$P$7</f>
        <v>8976830.9712767974</v>
      </c>
      <c r="K26" s="577">
        <f>H26</f>
        <v>12411.218005055998</v>
      </c>
    </row>
    <row r="27" spans="1:18" s="98" customFormat="1">
      <c r="A27" s="99" t="s">
        <v>26</v>
      </c>
      <c r="B27" s="100" t="s">
        <v>3834</v>
      </c>
      <c r="C27" s="99"/>
      <c r="D27" s="19"/>
      <c r="E27" s="19"/>
      <c r="F27" s="19" t="e">
        <f>#REF!</f>
        <v>#REF!</v>
      </c>
      <c r="G27" s="19">
        <f>'RESUMO GERAL'!G45+'RESUMO GERAL'!G46+'RESUMO GERAL'!G47</f>
        <v>12021456.333045956</v>
      </c>
      <c r="H27" s="19">
        <v>0</v>
      </c>
      <c r="I27" s="19">
        <f>G27-H27</f>
        <v>12021456.333045956</v>
      </c>
      <c r="J27" s="562">
        <f>I27*$P$7</f>
        <v>9030149.1839609016</v>
      </c>
      <c r="K27" s="577">
        <f>H27</f>
        <v>0</v>
      </c>
    </row>
    <row r="28" spans="1:18" s="98" customFormat="1">
      <c r="A28" s="99"/>
      <c r="B28" s="437" t="s">
        <v>3148</v>
      </c>
      <c r="C28" s="438" t="s">
        <v>3219</v>
      </c>
      <c r="D28" s="246"/>
      <c r="E28" s="246"/>
      <c r="F28" s="383"/>
      <c r="G28" s="383"/>
      <c r="H28" s="383"/>
      <c r="I28" s="383">
        <f>G28-H28</f>
        <v>0</v>
      </c>
      <c r="J28" s="114"/>
      <c r="K28" s="578">
        <f>H28</f>
        <v>0</v>
      </c>
    </row>
    <row r="29" spans="1:18" s="98" customFormat="1">
      <c r="A29" s="99"/>
      <c r="B29" s="100"/>
      <c r="C29" s="181"/>
      <c r="D29" s="20"/>
      <c r="E29" s="20"/>
      <c r="F29" s="19"/>
      <c r="G29" s="19"/>
      <c r="H29" s="19"/>
      <c r="I29" s="19"/>
      <c r="J29" s="114"/>
      <c r="K29" s="210"/>
    </row>
    <row r="30" spans="1:18" s="98" customFormat="1">
      <c r="A30" s="74" t="s">
        <v>27</v>
      </c>
      <c r="B30" s="101" t="s">
        <v>1393</v>
      </c>
      <c r="C30" s="74"/>
      <c r="D30" s="75"/>
      <c r="E30" s="75"/>
      <c r="F30" s="75" t="e">
        <f>#REF!</f>
        <v>#REF!</v>
      </c>
      <c r="G30" s="75">
        <f>G31+G33</f>
        <v>15950794.445035007</v>
      </c>
      <c r="H30" s="75">
        <f>H31+H33</f>
        <v>40161.713472517709</v>
      </c>
      <c r="I30" s="75">
        <f>I31+I33</f>
        <v>15910632.731562488</v>
      </c>
      <c r="J30" s="75">
        <f>J31+J33</f>
        <v>11951579.176165976</v>
      </c>
      <c r="K30" s="75">
        <f>K31+K33</f>
        <v>40161.713472517709</v>
      </c>
    </row>
    <row r="31" spans="1:18" s="98" customFormat="1">
      <c r="A31" s="413" t="s">
        <v>28</v>
      </c>
      <c r="B31" s="410" t="s">
        <v>1394</v>
      </c>
      <c r="C31" s="414"/>
      <c r="D31" s="415"/>
      <c r="E31" s="415"/>
      <c r="F31" s="415" t="e">
        <f>#REF!</f>
        <v>#REF!</v>
      </c>
      <c r="G31" s="489">
        <f>G32</f>
        <v>3709919.0108643449</v>
      </c>
      <c r="H31" s="415">
        <f>SUM(H32)</f>
        <v>39272.47237251771</v>
      </c>
      <c r="I31" s="415">
        <f>SUM(I32)</f>
        <v>3670646.538491827</v>
      </c>
      <c r="J31" s="564">
        <f>SUM(J32)</f>
        <v>2757277.0657623257</v>
      </c>
      <c r="K31" s="415">
        <f>SUM(K32)</f>
        <v>39272.47237251771</v>
      </c>
    </row>
    <row r="32" spans="1:18" s="98" customFormat="1">
      <c r="A32" s="99" t="s">
        <v>29</v>
      </c>
      <c r="B32" s="100" t="s">
        <v>3835</v>
      </c>
      <c r="C32" s="99"/>
      <c r="D32" s="20"/>
      <c r="E32" s="20"/>
      <c r="F32" s="20" t="e">
        <f>#REF!</f>
        <v>#REF!</v>
      </c>
      <c r="G32" s="20">
        <f>'RESUMO GERAL'!G52</f>
        <v>3709919.0108643449</v>
      </c>
      <c r="H32" s="904">
        <f>[2]RESUMO!$G$25</f>
        <v>39272.47237251771</v>
      </c>
      <c r="I32" s="435">
        <f>G32-H32</f>
        <v>3670646.538491827</v>
      </c>
      <c r="J32" s="562">
        <f>I32*$P$7</f>
        <v>2757277.0657623257</v>
      </c>
      <c r="K32" s="577">
        <f>H32</f>
        <v>39272.47237251771</v>
      </c>
    </row>
    <row r="33" spans="1:13" s="98" customFormat="1" ht="12.75" customHeight="1">
      <c r="A33" s="413" t="s">
        <v>30</v>
      </c>
      <c r="B33" s="410" t="s">
        <v>1396</v>
      </c>
      <c r="C33" s="414"/>
      <c r="D33" s="415"/>
      <c r="E33" s="415"/>
      <c r="F33" s="415" t="e">
        <f>#REF!</f>
        <v>#REF!</v>
      </c>
      <c r="G33" s="415">
        <f>SUM(G34:G37)</f>
        <v>12240875.434170661</v>
      </c>
      <c r="H33" s="415">
        <f t="shared" ref="H33:I33" si="0">SUM(H34:H37)</f>
        <v>889.24109999999996</v>
      </c>
      <c r="I33" s="415">
        <f t="shared" si="0"/>
        <v>12239986.193070661</v>
      </c>
      <c r="J33" s="564">
        <f>SUM(J34:J37)</f>
        <v>9194302.1104036495</v>
      </c>
      <c r="K33" s="415">
        <f>SUM(K34:K37)</f>
        <v>889.24109999999996</v>
      </c>
      <c r="M33" s="382"/>
    </row>
    <row r="34" spans="1:13" s="98" customFormat="1">
      <c r="A34" s="99" t="s">
        <v>31</v>
      </c>
      <c r="B34" s="100" t="s">
        <v>1397</v>
      </c>
      <c r="C34" s="99"/>
      <c r="D34" s="20"/>
      <c r="E34" s="20"/>
      <c r="F34" s="20" t="e">
        <f>#REF!</f>
        <v>#REF!</v>
      </c>
      <c r="G34" s="491">
        <f>'RESUMO GERAL'!G54</f>
        <v>10654537.784824457</v>
      </c>
      <c r="H34" s="20">
        <v>0</v>
      </c>
      <c r="I34" s="435">
        <f>G34-H34</f>
        <v>10654537.784824457</v>
      </c>
      <c r="J34" s="562">
        <f>I34*$P$7</f>
        <v>8003361.9070456894</v>
      </c>
      <c r="K34" s="210"/>
    </row>
    <row r="35" spans="1:13" s="98" customFormat="1">
      <c r="A35" s="99" t="s">
        <v>32</v>
      </c>
      <c r="B35" s="100" t="s">
        <v>1398</v>
      </c>
      <c r="C35" s="99"/>
      <c r="D35" s="20"/>
      <c r="E35" s="20"/>
      <c r="F35" s="20" t="e">
        <f>#REF!</f>
        <v>#REF!</v>
      </c>
      <c r="G35" s="491">
        <v>0</v>
      </c>
      <c r="H35" s="491">
        <v>0</v>
      </c>
      <c r="I35" s="491">
        <v>0</v>
      </c>
      <c r="J35" s="562">
        <f>I35*$P$7</f>
        <v>0</v>
      </c>
      <c r="K35" s="210"/>
    </row>
    <row r="36" spans="1:13" s="98" customFormat="1">
      <c r="A36" s="99" t="s">
        <v>33</v>
      </c>
      <c r="B36" s="100" t="s">
        <v>3506</v>
      </c>
      <c r="C36" s="99"/>
      <c r="D36" s="20"/>
      <c r="E36" s="20"/>
      <c r="F36" s="20" t="e">
        <f>#REF!</f>
        <v>#REF!</v>
      </c>
      <c r="G36" s="491">
        <f>'RESUMO GERAL'!G55</f>
        <v>1586337.6493462047</v>
      </c>
      <c r="H36" s="904">
        <f>[2]RESUMO!$G$26</f>
        <v>889.24109999999996</v>
      </c>
      <c r="I36" s="435">
        <f>G36-H36</f>
        <v>1585448.4082462047</v>
      </c>
      <c r="J36" s="562">
        <f>I36*$P$7</f>
        <v>1190940.2033579592</v>
      </c>
      <c r="K36" s="577">
        <f>H36</f>
        <v>889.24109999999996</v>
      </c>
    </row>
    <row r="37" spans="1:13" s="98" customFormat="1">
      <c r="A37" s="99"/>
      <c r="B37" s="437" t="s">
        <v>3148</v>
      </c>
      <c r="C37" s="438" t="s">
        <v>3219</v>
      </c>
      <c r="D37" s="246"/>
      <c r="E37" s="246"/>
      <c r="F37" s="383"/>
      <c r="G37" s="383"/>
      <c r="H37" s="383"/>
      <c r="I37" s="435">
        <f>G37-H37</f>
        <v>0</v>
      </c>
      <c r="J37" s="114"/>
      <c r="K37" s="563">
        <f>H37</f>
        <v>0</v>
      </c>
    </row>
    <row r="38" spans="1:13" s="98" customFormat="1">
      <c r="A38" s="99"/>
      <c r="B38" s="100"/>
      <c r="C38" s="99"/>
      <c r="D38" s="20"/>
      <c r="E38" s="20"/>
      <c r="F38" s="19"/>
      <c r="G38" s="19"/>
      <c r="H38" s="19"/>
      <c r="I38" s="19"/>
      <c r="J38" s="114"/>
      <c r="K38" s="210"/>
    </row>
    <row r="39" spans="1:13" s="98" customFormat="1">
      <c r="A39" s="74" t="s">
        <v>34</v>
      </c>
      <c r="B39" s="101" t="s">
        <v>1399</v>
      </c>
      <c r="C39" s="74"/>
      <c r="D39" s="75"/>
      <c r="E39" s="72"/>
      <c r="F39" s="75" t="e">
        <f>#REF!</f>
        <v>#REF!</v>
      </c>
      <c r="G39" s="75">
        <f>G40+G42+G43+G44</f>
        <v>41290025.552699417</v>
      </c>
      <c r="H39" s="75">
        <f>H40+H42+H43+H44+H45</f>
        <v>2807499.9259206252</v>
      </c>
      <c r="I39" s="75">
        <f>I40+I42+I43+I44+I45</f>
        <v>38482525.626778796</v>
      </c>
      <c r="J39" s="75">
        <f>J40+J42+J43+J44+J45</f>
        <v>28906892.622498251</v>
      </c>
      <c r="K39" s="75">
        <f>K40+K42+K43+K44+K45</f>
        <v>2807499.9259206252</v>
      </c>
    </row>
    <row r="40" spans="1:13" s="98" customFormat="1">
      <c r="A40" s="413" t="s">
        <v>35</v>
      </c>
      <c r="B40" s="410" t="s">
        <v>1400</v>
      </c>
      <c r="C40" s="414"/>
      <c r="D40" s="415"/>
      <c r="E40" s="415"/>
      <c r="F40" s="415" t="e">
        <f>#REF!</f>
        <v>#REF!</v>
      </c>
      <c r="G40" s="489">
        <f>G41</f>
        <v>9119905.2194131427</v>
      </c>
      <c r="H40" s="415">
        <f>H41</f>
        <v>419399.07113130484</v>
      </c>
      <c r="I40" s="415">
        <f>I41</f>
        <v>8700506.1482818387</v>
      </c>
      <c r="J40" s="564">
        <f>J41</f>
        <v>6535553.2905759886</v>
      </c>
      <c r="K40" s="415">
        <f>K41</f>
        <v>419399.07113130484</v>
      </c>
    </row>
    <row r="41" spans="1:13" s="98" customFormat="1">
      <c r="A41" s="99" t="s">
        <v>36</v>
      </c>
      <c r="B41" s="100" t="s">
        <v>3232</v>
      </c>
      <c r="C41" s="99"/>
      <c r="D41" s="19"/>
      <c r="E41" s="19"/>
      <c r="F41" s="19" t="e">
        <f>#REF!</f>
        <v>#REF!</v>
      </c>
      <c r="G41" s="19">
        <f>'RESUMO GERAL'!G60</f>
        <v>9119905.2194131427</v>
      </c>
      <c r="H41" s="904">
        <f>[2]RESUMO!$G$28</f>
        <v>419399.07113130484</v>
      </c>
      <c r="I41" s="435">
        <f>G41-H41</f>
        <v>8700506.1482818387</v>
      </c>
      <c r="J41" s="562">
        <f>I41*$P$7</f>
        <v>6535553.2905759886</v>
      </c>
      <c r="K41" s="577">
        <f>H41</f>
        <v>419399.07113130484</v>
      </c>
    </row>
    <row r="42" spans="1:13" s="98" customFormat="1">
      <c r="A42" s="413" t="s">
        <v>37</v>
      </c>
      <c r="B42" s="410" t="s">
        <v>1403</v>
      </c>
      <c r="C42" s="414"/>
      <c r="D42" s="415"/>
      <c r="E42" s="415"/>
      <c r="F42" s="415" t="e">
        <f>#REF!</f>
        <v>#REF!</v>
      </c>
      <c r="G42" s="489">
        <f>'RESUMO GERAL'!G66</f>
        <v>4971193.777959263</v>
      </c>
      <c r="H42" s="415">
        <v>0</v>
      </c>
      <c r="I42" s="415">
        <f>G42-H42</f>
        <v>4971193.777959263</v>
      </c>
      <c r="J42" s="562">
        <f>I42*$P$7</f>
        <v>3734208.251786422</v>
      </c>
      <c r="K42" s="577">
        <f>H42</f>
        <v>0</v>
      </c>
    </row>
    <row r="43" spans="1:13" s="98" customFormat="1">
      <c r="A43" s="413" t="s">
        <v>38</v>
      </c>
      <c r="B43" s="410" t="s">
        <v>1389</v>
      </c>
      <c r="C43" s="414"/>
      <c r="D43" s="415"/>
      <c r="E43" s="415"/>
      <c r="F43" s="415" t="e">
        <f>#REF!</f>
        <v>#REF!</v>
      </c>
      <c r="G43" s="489">
        <f>'RESUMO GERAL'!G61</f>
        <v>3988339.1190416301</v>
      </c>
      <c r="H43" s="904">
        <f>[2]RESUMO!$G$29</f>
        <v>1463257.0059359327</v>
      </c>
      <c r="I43" s="415">
        <f>G43-H43</f>
        <v>2525082.1131056976</v>
      </c>
      <c r="J43" s="562">
        <f>I43*$P$7</f>
        <v>1896764.2148659891</v>
      </c>
      <c r="K43" s="577">
        <f>H43</f>
        <v>1463257.0059359327</v>
      </c>
    </row>
    <row r="44" spans="1:13" s="98" customFormat="1">
      <c r="A44" s="413" t="s">
        <v>43</v>
      </c>
      <c r="B44" s="410" t="s">
        <v>3395</v>
      </c>
      <c r="C44" s="414"/>
      <c r="D44" s="415"/>
      <c r="E44" s="415"/>
      <c r="F44" s="415" t="e">
        <f>#REF!</f>
        <v>#REF!</v>
      </c>
      <c r="G44" s="489">
        <f>'RESUMO GERAL'!G62-G42</f>
        <v>23210587.436285384</v>
      </c>
      <c r="H44" s="904">
        <f>[2]RESUMO!$G$30</f>
        <v>924843.84885338775</v>
      </c>
      <c r="I44" s="415">
        <f>G44-H44</f>
        <v>22285743.587431997</v>
      </c>
      <c r="J44" s="562">
        <f>I44*$P$7</f>
        <v>16740366.865269853</v>
      </c>
      <c r="K44" s="577">
        <f>H44</f>
        <v>924843.84885338775</v>
      </c>
    </row>
    <row r="45" spans="1:13" s="98" customFormat="1">
      <c r="A45" s="99"/>
      <c r="B45" s="437" t="s">
        <v>3148</v>
      </c>
      <c r="C45" s="438" t="s">
        <v>3219</v>
      </c>
      <c r="D45" s="246"/>
      <c r="E45" s="246"/>
      <c r="F45" s="383"/>
      <c r="G45" s="383"/>
      <c r="H45" s="383"/>
      <c r="I45" s="383"/>
      <c r="J45" s="114"/>
      <c r="K45" s="578">
        <f>H45</f>
        <v>0</v>
      </c>
    </row>
    <row r="46" spans="1:13" s="98" customFormat="1">
      <c r="A46" s="99"/>
      <c r="B46" s="100"/>
      <c r="C46" s="99"/>
      <c r="D46" s="20"/>
      <c r="E46" s="20"/>
      <c r="F46" s="19"/>
      <c r="G46" s="19"/>
      <c r="H46" s="19"/>
      <c r="I46" s="19"/>
      <c r="J46" s="114"/>
      <c r="K46" s="210"/>
    </row>
    <row r="47" spans="1:13" s="98" customFormat="1">
      <c r="A47" s="74" t="s">
        <v>44</v>
      </c>
      <c r="B47" s="101" t="s">
        <v>1406</v>
      </c>
      <c r="C47" s="74"/>
      <c r="D47" s="75"/>
      <c r="E47" s="75"/>
      <c r="F47" s="75" t="e">
        <f>#REF!</f>
        <v>#REF!</v>
      </c>
      <c r="G47" s="75">
        <f>G48+G49</f>
        <v>18344926.695747867</v>
      </c>
      <c r="H47" s="75">
        <f>H48+H49+H53</f>
        <v>26698.377880650001</v>
      </c>
      <c r="I47" s="75">
        <f>I48+I49+I53</f>
        <v>18318228.317867216</v>
      </c>
      <c r="J47" s="75">
        <f>J48+J49+J53</f>
        <v>13760091.116538249</v>
      </c>
      <c r="K47" s="75">
        <f>K48+K49+K53</f>
        <v>26698.377880650001</v>
      </c>
    </row>
    <row r="48" spans="1:13" s="98" customFormat="1">
      <c r="A48" s="91" t="s">
        <v>45</v>
      </c>
      <c r="B48" s="102" t="s">
        <v>1407</v>
      </c>
      <c r="C48" s="85"/>
      <c r="D48" s="64"/>
      <c r="E48" s="64"/>
      <c r="F48" s="64" t="e">
        <f>#REF!</f>
        <v>#REF!</v>
      </c>
      <c r="G48" s="64">
        <f>'RESUMO GERAL'!G70</f>
        <v>4023682.1922454233</v>
      </c>
      <c r="H48" s="64">
        <f>[2]RESUMO!$G$32</f>
        <v>26698.377880650001</v>
      </c>
      <c r="I48" s="64">
        <f>G48-H48</f>
        <v>3996983.8143647732</v>
      </c>
      <c r="J48" s="562">
        <f>I48*$P$7</f>
        <v>3002411.6155023105</v>
      </c>
      <c r="K48" s="563">
        <f>H48</f>
        <v>26698.377880650001</v>
      </c>
    </row>
    <row r="49" spans="1:11" s="98" customFormat="1">
      <c r="A49" s="91" t="s">
        <v>46</v>
      </c>
      <c r="B49" s="103" t="s">
        <v>3396</v>
      </c>
      <c r="C49" s="85"/>
      <c r="D49" s="64"/>
      <c r="E49" s="64"/>
      <c r="F49" s="64" t="e">
        <f>#REF!</f>
        <v>#REF!</v>
      </c>
      <c r="G49" s="64">
        <f>SUM(G50:G52)</f>
        <v>14321244.503502443</v>
      </c>
      <c r="H49" s="64">
        <f>SUM(H50:H53)</f>
        <v>0</v>
      </c>
      <c r="I49" s="64">
        <f>SUM(I50:I53)</f>
        <v>14321244.503502443</v>
      </c>
      <c r="J49" s="215">
        <f>SUM(J50:J53)</f>
        <v>10757679.501035938</v>
      </c>
      <c r="K49" s="64">
        <f>SUM(K50:K53)</f>
        <v>0</v>
      </c>
    </row>
    <row r="50" spans="1:11" s="98" customFormat="1">
      <c r="A50" s="81" t="s">
        <v>47</v>
      </c>
      <c r="B50" s="508" t="s">
        <v>1397</v>
      </c>
      <c r="C50" s="81"/>
      <c r="D50" s="83"/>
      <c r="E50" s="83"/>
      <c r="F50" s="83" t="e">
        <f>#REF!</f>
        <v>#REF!</v>
      </c>
      <c r="G50" s="83">
        <f>'RESUMO GERAL'!G72</f>
        <v>12730313.597934453</v>
      </c>
      <c r="H50" s="83">
        <v>0</v>
      </c>
      <c r="I50" s="83">
        <f>G50-H50</f>
        <v>12730313.597934453</v>
      </c>
      <c r="J50" s="562">
        <f>I50*$P$7</f>
        <v>9562621.0138906557</v>
      </c>
      <c r="K50" s="84"/>
    </row>
    <row r="51" spans="1:11" s="98" customFormat="1">
      <c r="A51" s="81" t="s">
        <v>48</v>
      </c>
      <c r="B51" s="508" t="s">
        <v>1398</v>
      </c>
      <c r="C51" s="81"/>
      <c r="D51" s="83"/>
      <c r="E51" s="83"/>
      <c r="F51" s="83" t="e">
        <f>#REF!</f>
        <v>#REF!</v>
      </c>
      <c r="G51" s="83">
        <v>0</v>
      </c>
      <c r="H51" s="83">
        <v>0</v>
      </c>
      <c r="I51" s="83">
        <v>0</v>
      </c>
      <c r="J51" s="562">
        <f>I51*$P$7</f>
        <v>0</v>
      </c>
      <c r="K51" s="84"/>
    </row>
    <row r="52" spans="1:11" s="98" customFormat="1">
      <c r="A52" s="81" t="s">
        <v>49</v>
      </c>
      <c r="B52" s="100" t="s">
        <v>3506</v>
      </c>
      <c r="C52" s="81"/>
      <c r="D52" s="83"/>
      <c r="E52" s="83"/>
      <c r="F52" s="83" t="e">
        <f>#REF!</f>
        <v>#REF!</v>
      </c>
      <c r="G52" s="83">
        <f>'RESUMO GERAL'!G73</f>
        <v>1590930.9055679915</v>
      </c>
      <c r="H52" s="83">
        <v>0</v>
      </c>
      <c r="I52" s="83">
        <f>G52-H52</f>
        <v>1590930.9055679915</v>
      </c>
      <c r="J52" s="562">
        <f>I52*$P$7</f>
        <v>1195058.4871452828</v>
      </c>
      <c r="K52" s="84"/>
    </row>
    <row r="53" spans="1:11" s="98" customFormat="1">
      <c r="A53" s="99"/>
      <c r="B53" s="437" t="s">
        <v>3148</v>
      </c>
      <c r="C53" s="438" t="s">
        <v>3219</v>
      </c>
      <c r="D53" s="246"/>
      <c r="E53" s="246"/>
      <c r="F53" s="383"/>
      <c r="G53" s="383"/>
      <c r="H53" s="383"/>
      <c r="I53" s="435">
        <f>G53-H53</f>
        <v>0</v>
      </c>
      <c r="J53" s="114"/>
      <c r="K53" s="563">
        <f>H53</f>
        <v>0</v>
      </c>
    </row>
    <row r="54" spans="1:11" s="98" customFormat="1">
      <c r="A54" s="99"/>
      <c r="B54" s="100"/>
      <c r="C54" s="99"/>
      <c r="D54" s="20"/>
      <c r="E54" s="20"/>
      <c r="F54" s="19"/>
      <c r="G54" s="19"/>
      <c r="H54" s="19"/>
      <c r="I54" s="19"/>
      <c r="J54" s="114"/>
      <c r="K54" s="210"/>
    </row>
    <row r="55" spans="1:11" s="98" customFormat="1">
      <c r="A55" s="74" t="s">
        <v>50</v>
      </c>
      <c r="B55" s="101" t="s">
        <v>1408</v>
      </c>
      <c r="C55" s="74"/>
      <c r="D55" s="75"/>
      <c r="E55" s="75"/>
      <c r="F55" s="75" t="e">
        <f>#REF!</f>
        <v>#REF!</v>
      </c>
      <c r="G55" s="75">
        <f>SUM(G56:G57)</f>
        <v>630279.64072120958</v>
      </c>
      <c r="H55" s="216">
        <f>SUM(H56:H58)</f>
        <v>630279.64072120958</v>
      </c>
      <c r="I55" s="216">
        <f>SUM(I56:I58)</f>
        <v>0</v>
      </c>
      <c r="J55" s="216">
        <f>SUM(J56:J58)</f>
        <v>0</v>
      </c>
      <c r="K55" s="216">
        <f>SUM(K56:K58)</f>
        <v>630279.64072120958</v>
      </c>
    </row>
    <row r="56" spans="1:11" s="98" customFormat="1">
      <c r="A56" s="91" t="s">
        <v>51</v>
      </c>
      <c r="B56" s="102" t="s">
        <v>1407</v>
      </c>
      <c r="C56" s="85"/>
      <c r="D56" s="64"/>
      <c r="E56" s="64"/>
      <c r="F56" s="64" t="e">
        <f>#REF!</f>
        <v>#REF!</v>
      </c>
      <c r="G56" s="63">
        <f>H56</f>
        <v>341562.97842651518</v>
      </c>
      <c r="H56" s="63">
        <f>[2]RESUMO!$G$35</f>
        <v>341562.97842651518</v>
      </c>
      <c r="I56" s="63">
        <f>G56-H56</f>
        <v>0</v>
      </c>
      <c r="J56" s="215">
        <f>I56*$P$7</f>
        <v>0</v>
      </c>
      <c r="K56" s="566">
        <f>H56</f>
        <v>341562.97842651518</v>
      </c>
    </row>
    <row r="57" spans="1:11" s="98" customFormat="1" ht="12.75" customHeight="1">
      <c r="A57" s="91" t="s">
        <v>52</v>
      </c>
      <c r="B57" s="103" t="s">
        <v>1409</v>
      </c>
      <c r="C57" s="85"/>
      <c r="D57" s="63"/>
      <c r="E57" s="63">
        <v>0</v>
      </c>
      <c r="F57" s="63" t="e">
        <f>#REF!</f>
        <v>#REF!</v>
      </c>
      <c r="G57" s="63">
        <f>H57</f>
        <v>288716.6622946944</v>
      </c>
      <c r="H57" s="63">
        <f>[2]RESUMO!$G$36</f>
        <v>288716.6622946944</v>
      </c>
      <c r="I57" s="63">
        <f>G57-H57</f>
        <v>0</v>
      </c>
      <c r="J57" s="215">
        <f>I57*$P$7</f>
        <v>0</v>
      </c>
      <c r="K57" s="566">
        <f>H57</f>
        <v>288716.6622946944</v>
      </c>
    </row>
    <row r="58" spans="1:11" s="98" customFormat="1">
      <c r="A58" s="99"/>
      <c r="B58" s="437" t="s">
        <v>3148</v>
      </c>
      <c r="C58" s="438" t="s">
        <v>3219</v>
      </c>
      <c r="D58" s="246"/>
      <c r="E58" s="246"/>
      <c r="F58" s="383"/>
      <c r="G58" s="383"/>
      <c r="H58" s="383"/>
      <c r="I58" s="383">
        <f>G58-H58</f>
        <v>0</v>
      </c>
      <c r="J58" s="114"/>
      <c r="K58" s="563">
        <f>H58</f>
        <v>0</v>
      </c>
    </row>
    <row r="59" spans="1:11" s="98" customFormat="1">
      <c r="A59" s="99"/>
      <c r="B59" s="100"/>
      <c r="C59" s="181"/>
      <c r="D59" s="20"/>
      <c r="E59" s="20"/>
      <c r="F59" s="19"/>
      <c r="G59" s="19"/>
      <c r="H59" s="19"/>
      <c r="I59" s="19"/>
      <c r="J59" s="114"/>
      <c r="K59" s="210"/>
    </row>
    <row r="60" spans="1:11" s="98" customFormat="1">
      <c r="A60" s="74" t="s">
        <v>53</v>
      </c>
      <c r="B60" s="101" t="s">
        <v>1410</v>
      </c>
      <c r="C60" s="74"/>
      <c r="D60" s="75"/>
      <c r="E60" s="75"/>
      <c r="F60" s="75" t="e">
        <f>#REF!</f>
        <v>#REF!</v>
      </c>
      <c r="G60" s="75">
        <f>G61+G66+G69+G74+G76+G79+G82+G85+G86</f>
        <v>90222619.551440552</v>
      </c>
      <c r="H60" s="216">
        <f>H61+H66+H69+H74+H76+H79+H82+H85+H86+H89</f>
        <v>7678649.6847896744</v>
      </c>
      <c r="I60" s="216">
        <f>I61+I66+I69+I74+I76+I79+I82+I85+I86+I89</f>
        <v>86619782.864577517</v>
      </c>
      <c r="J60" s="216">
        <f>J61+J66+J69+J74+J76+J79+J82+J85+J86+J89</f>
        <v>86619782.864577517</v>
      </c>
      <c r="K60" s="216">
        <f>K61+K66+K69+K74+K76+K79+K82+K85+K86+K89</f>
        <v>7678649.6847896744</v>
      </c>
    </row>
    <row r="61" spans="1:11" s="98" customFormat="1">
      <c r="A61" s="91" t="s">
        <v>54</v>
      </c>
      <c r="B61" s="102" t="s">
        <v>1411</v>
      </c>
      <c r="C61" s="91"/>
      <c r="D61" s="63"/>
      <c r="E61" s="63"/>
      <c r="F61" s="63" t="e">
        <f>#REF!</f>
        <v>#REF!</v>
      </c>
      <c r="G61" s="63">
        <f>SUM(G62:G65)</f>
        <v>69912779.307021394</v>
      </c>
      <c r="H61" s="63">
        <f>SUM(H62:H65)</f>
        <v>488405.53546429914</v>
      </c>
      <c r="I61" s="63">
        <f>SUM(I62:I65)</f>
        <v>69424373.771557093</v>
      </c>
      <c r="J61" s="579">
        <f>SUM(J62:J65)</f>
        <v>69424373.771557093</v>
      </c>
      <c r="K61" s="63">
        <f>SUM(K62:K65)</f>
        <v>488405.53546429914</v>
      </c>
    </row>
    <row r="62" spans="1:11" s="98" customFormat="1">
      <c r="A62" s="81" t="s">
        <v>55</v>
      </c>
      <c r="B62" s="508" t="s">
        <v>1412</v>
      </c>
      <c r="C62" s="81"/>
      <c r="D62" s="83"/>
      <c r="E62" s="83"/>
      <c r="F62" s="83" t="e">
        <f>#REF!</f>
        <v>#REF!</v>
      </c>
      <c r="G62" s="82">
        <f>'RESUMO GERAL'!G83</f>
        <v>68077671.141938135</v>
      </c>
      <c r="H62" s="904">
        <f>[2]RESUMO!$G$39</f>
        <v>488405.53546429914</v>
      </c>
      <c r="I62" s="83">
        <f>G62-H62</f>
        <v>67589265.606473833</v>
      </c>
      <c r="J62" s="569">
        <f>I62</f>
        <v>67589265.606473833</v>
      </c>
      <c r="K62" s="566">
        <f t="shared" ref="K62:K68" si="1">H62</f>
        <v>488405.53546429914</v>
      </c>
    </row>
    <row r="63" spans="1:11" s="98" customFormat="1">
      <c r="A63" s="81" t="s">
        <v>75</v>
      </c>
      <c r="B63" s="508" t="s">
        <v>1413</v>
      </c>
      <c r="C63" s="81"/>
      <c r="D63" s="82"/>
      <c r="E63" s="82"/>
      <c r="F63" s="82" t="e">
        <f>#REF!</f>
        <v>#REF!</v>
      </c>
      <c r="G63" s="82">
        <f>'RESUMO GERAL'!G84</f>
        <v>234604.3432515497</v>
      </c>
      <c r="H63" s="82"/>
      <c r="I63" s="82">
        <f>G63-H63</f>
        <v>234604.3432515497</v>
      </c>
      <c r="J63" s="569">
        <f t="shared" ref="J63:J65" si="2">I63</f>
        <v>234604.3432515497</v>
      </c>
      <c r="K63" s="566">
        <f t="shared" si="1"/>
        <v>0</v>
      </c>
    </row>
    <row r="64" spans="1:11" s="98" customFormat="1">
      <c r="A64" s="81" t="s">
        <v>80</v>
      </c>
      <c r="B64" s="508" t="s">
        <v>1414</v>
      </c>
      <c r="C64" s="81"/>
      <c r="D64" s="82"/>
      <c r="E64" s="83"/>
      <c r="F64" s="82" t="e">
        <f>#REF!</f>
        <v>#REF!</v>
      </c>
      <c r="G64" s="82">
        <f>'RESUMO GERAL'!G85</f>
        <v>1508894.2838234776</v>
      </c>
      <c r="H64" s="82"/>
      <c r="I64" s="82">
        <f>G64-H64</f>
        <v>1508894.2838234776</v>
      </c>
      <c r="J64" s="569">
        <f t="shared" si="2"/>
        <v>1508894.2838234776</v>
      </c>
      <c r="K64" s="566">
        <f t="shared" si="1"/>
        <v>0</v>
      </c>
    </row>
    <row r="65" spans="1:11" s="98" customFormat="1">
      <c r="A65" s="93" t="s">
        <v>90</v>
      </c>
      <c r="B65" s="509" t="s">
        <v>1415</v>
      </c>
      <c r="C65" s="93"/>
      <c r="D65" s="82"/>
      <c r="E65" s="83"/>
      <c r="F65" s="82" t="e">
        <f>#REF!</f>
        <v>#REF!</v>
      </c>
      <c r="G65" s="82">
        <f>'RESUMO GERAL'!G86</f>
        <v>91609.538008224379</v>
      </c>
      <c r="H65" s="82"/>
      <c r="I65" s="82">
        <f>G65-H65</f>
        <v>91609.538008224379</v>
      </c>
      <c r="J65" s="569">
        <f t="shared" si="2"/>
        <v>91609.538008224379</v>
      </c>
      <c r="K65" s="566">
        <f t="shared" si="1"/>
        <v>0</v>
      </c>
    </row>
    <row r="66" spans="1:11" s="98" customFormat="1">
      <c r="A66" s="91" t="s">
        <v>98</v>
      </c>
      <c r="B66" s="102" t="s">
        <v>1417</v>
      </c>
      <c r="C66" s="91"/>
      <c r="D66" s="64"/>
      <c r="E66" s="64"/>
      <c r="F66" s="64" t="e">
        <f>#REF!</f>
        <v>#REF!</v>
      </c>
      <c r="G66" s="64">
        <f>SUM(G67:G68)</f>
        <v>3009101.840131646</v>
      </c>
      <c r="H66" s="64">
        <f>SUM(H67:H68)</f>
        <v>261593.66743822768</v>
      </c>
      <c r="I66" s="64">
        <f>SUM(I67:I68)</f>
        <v>2747508.1726934183</v>
      </c>
      <c r="J66" s="579">
        <f>SUM(J67:J68)</f>
        <v>2747508.1726934183</v>
      </c>
      <c r="K66" s="64">
        <f>SUM(K67:K68)</f>
        <v>261593.66743822768</v>
      </c>
    </row>
    <row r="67" spans="1:11" s="98" customFormat="1">
      <c r="A67" s="81" t="s">
        <v>99</v>
      </c>
      <c r="B67" s="510" t="s">
        <v>1394</v>
      </c>
      <c r="C67" s="81"/>
      <c r="D67" s="82"/>
      <c r="E67" s="83"/>
      <c r="F67" s="82" t="e">
        <f>#REF!</f>
        <v>#REF!</v>
      </c>
      <c r="G67" s="82">
        <f>'RESUMO GERAL'!G88</f>
        <v>1581719.9722807154</v>
      </c>
      <c r="H67" s="904">
        <f>[2]RESUMO!$G$41</f>
        <v>230622.50093621167</v>
      </c>
      <c r="I67" s="82">
        <f>G67-H67</f>
        <v>1351097.4713445036</v>
      </c>
      <c r="J67" s="569">
        <f>I67</f>
        <v>1351097.4713445036</v>
      </c>
      <c r="K67" s="566">
        <f t="shared" si="1"/>
        <v>230622.50093621167</v>
      </c>
    </row>
    <row r="68" spans="1:11" s="98" customFormat="1">
      <c r="A68" s="81" t="s">
        <v>121</v>
      </c>
      <c r="B68" s="510" t="s">
        <v>3400</v>
      </c>
      <c r="C68" s="81"/>
      <c r="D68" s="82"/>
      <c r="E68" s="83"/>
      <c r="F68" s="82" t="e">
        <f>#REF!</f>
        <v>#REF!</v>
      </c>
      <c r="G68" s="82">
        <f>'RESUMO GERAL'!G89</f>
        <v>1427381.8678509309</v>
      </c>
      <c r="H68" s="904">
        <f>[2]RESUMO!$G$42</f>
        <v>30971.166502016</v>
      </c>
      <c r="I68" s="82">
        <f>G68-H68</f>
        <v>1396410.701348915</v>
      </c>
      <c r="J68" s="569">
        <f>I68</f>
        <v>1396410.701348915</v>
      </c>
      <c r="K68" s="566">
        <f t="shared" si="1"/>
        <v>30971.166502016</v>
      </c>
    </row>
    <row r="69" spans="1:11" s="98" customFormat="1">
      <c r="A69" s="91" t="s">
        <v>127</v>
      </c>
      <c r="B69" s="102" t="s">
        <v>1419</v>
      </c>
      <c r="C69" s="91"/>
      <c r="D69" s="63"/>
      <c r="E69" s="63"/>
      <c r="F69" s="63" t="e">
        <f>#REF!</f>
        <v>#REF!</v>
      </c>
      <c r="G69" s="63">
        <f>SUM(G70:G73)</f>
        <v>7055422.1291441852</v>
      </c>
      <c r="H69" s="64">
        <f>SUM(H70:H73)</f>
        <v>526758.55330752512</v>
      </c>
      <c r="I69" s="64">
        <f>SUM(I70:I73)</f>
        <v>6528663.5758366603</v>
      </c>
      <c r="J69" s="579">
        <f>SUM(J70:J73)</f>
        <v>6528663.5758366603</v>
      </c>
      <c r="K69" s="64">
        <f>SUM(K70:K73)</f>
        <v>526758.55330752512</v>
      </c>
    </row>
    <row r="70" spans="1:11" s="98" customFormat="1">
      <c r="A70" s="81" t="s">
        <v>128</v>
      </c>
      <c r="B70" s="510" t="s">
        <v>1394</v>
      </c>
      <c r="C70" s="81"/>
      <c r="D70" s="82"/>
      <c r="E70" s="83"/>
      <c r="F70" s="82" t="e">
        <f>#REF!</f>
        <v>#REF!</v>
      </c>
      <c r="G70" s="82">
        <f>'RESUMO GERAL'!G91</f>
        <v>1767432.9369452605</v>
      </c>
      <c r="H70" s="904">
        <f>[2]RESUMO!$G$44</f>
        <v>205681.84506296791</v>
      </c>
      <c r="I70" s="82">
        <f>G70-H70</f>
        <v>1561751.0918822926</v>
      </c>
      <c r="J70" s="569">
        <f>I70</f>
        <v>1561751.0918822926</v>
      </c>
      <c r="K70" s="82">
        <f t="shared" ref="K70:K75" si="3">H70</f>
        <v>205681.84506296791</v>
      </c>
    </row>
    <row r="71" spans="1:11" s="98" customFormat="1">
      <c r="A71" s="81" t="s">
        <v>160</v>
      </c>
      <c r="B71" s="510" t="s">
        <v>3402</v>
      </c>
      <c r="C71" s="94"/>
      <c r="D71" s="82"/>
      <c r="E71" s="83"/>
      <c r="F71" s="82" t="e">
        <f>#REF!</f>
        <v>#REF!</v>
      </c>
      <c r="G71" s="82">
        <f>'RESUMO GERAL'!G92</f>
        <v>2496835.5806962047</v>
      </c>
      <c r="H71" s="904">
        <f>[2]RESUMO!$G$45</f>
        <v>152073.11204247555</v>
      </c>
      <c r="I71" s="82">
        <f>G71-H71</f>
        <v>2344762.4686537292</v>
      </c>
      <c r="J71" s="569">
        <f>I71</f>
        <v>2344762.4686537292</v>
      </c>
      <c r="K71" s="82">
        <f t="shared" si="3"/>
        <v>152073.11204247555</v>
      </c>
    </row>
    <row r="72" spans="1:11" s="98" customFormat="1">
      <c r="A72" s="81" t="s">
        <v>171</v>
      </c>
      <c r="B72" s="508" t="s">
        <v>1423</v>
      </c>
      <c r="C72" s="81"/>
      <c r="D72" s="82"/>
      <c r="E72" s="83"/>
      <c r="F72" s="82" t="e">
        <f>#REF!</f>
        <v>#REF!</v>
      </c>
      <c r="G72" s="82">
        <f>'RESUMO GERAL'!G93</f>
        <v>1568499.4115098109</v>
      </c>
      <c r="H72" s="904">
        <f>[2]RESUMO!$G$46</f>
        <v>169003.59620208168</v>
      </c>
      <c r="I72" s="82">
        <f>G72-H72</f>
        <v>1399495.8153077292</v>
      </c>
      <c r="J72" s="569">
        <f>I72</f>
        <v>1399495.8153077292</v>
      </c>
      <c r="K72" s="82">
        <f t="shared" si="3"/>
        <v>169003.59620208168</v>
      </c>
    </row>
    <row r="73" spans="1:11" s="98" customFormat="1">
      <c r="A73" s="81" t="s">
        <v>182</v>
      </c>
      <c r="B73" s="510" t="s">
        <v>3401</v>
      </c>
      <c r="C73" s="81"/>
      <c r="D73" s="82"/>
      <c r="E73" s="83"/>
      <c r="F73" s="82" t="e">
        <f>#REF!</f>
        <v>#REF!</v>
      </c>
      <c r="G73" s="82">
        <f>'RESUMO GERAL'!G94</f>
        <v>1222654.1999929089</v>
      </c>
      <c r="H73" s="905"/>
      <c r="I73" s="82">
        <f>G73-H73</f>
        <v>1222654.1999929089</v>
      </c>
      <c r="J73" s="569">
        <f>I73</f>
        <v>1222654.1999929089</v>
      </c>
      <c r="K73" s="82">
        <f t="shared" si="3"/>
        <v>0</v>
      </c>
    </row>
    <row r="74" spans="1:11" s="98" customFormat="1">
      <c r="A74" s="91" t="s">
        <v>186</v>
      </c>
      <c r="B74" s="102" t="s">
        <v>1425</v>
      </c>
      <c r="C74" s="91"/>
      <c r="D74" s="63"/>
      <c r="E74" s="63"/>
      <c r="F74" s="63" t="e">
        <f>#REF!</f>
        <v>#REF!</v>
      </c>
      <c r="G74" s="63">
        <f>G75</f>
        <v>2751453.1104051447</v>
      </c>
      <c r="H74" s="63">
        <f>H75</f>
        <v>86248.823535802352</v>
      </c>
      <c r="I74" s="63">
        <f>I75</f>
        <v>2665204.2868693424</v>
      </c>
      <c r="J74" s="579">
        <f>J75</f>
        <v>2665204.2868693424</v>
      </c>
      <c r="K74" s="63">
        <f>K75</f>
        <v>86248.823535802352</v>
      </c>
    </row>
    <row r="75" spans="1:11" s="98" customFormat="1">
      <c r="A75" s="81" t="s">
        <v>187</v>
      </c>
      <c r="B75" s="510" t="s">
        <v>1412</v>
      </c>
      <c r="C75" s="81"/>
      <c r="D75" s="83"/>
      <c r="E75" s="83"/>
      <c r="F75" s="83" t="e">
        <f>#REF!</f>
        <v>#REF!</v>
      </c>
      <c r="G75" s="83">
        <f>'RESUMO GERAL'!G96</f>
        <v>2751453.1104051447</v>
      </c>
      <c r="H75" s="904">
        <f>[2]RESUMO!$G$48</f>
        <v>86248.823535802352</v>
      </c>
      <c r="I75" s="83">
        <f>G75-H75</f>
        <v>2665204.2868693424</v>
      </c>
      <c r="J75" s="569">
        <f>I75</f>
        <v>2665204.2868693424</v>
      </c>
      <c r="K75" s="82">
        <f t="shared" si="3"/>
        <v>86248.823535802352</v>
      </c>
    </row>
    <row r="76" spans="1:11" s="98" customFormat="1">
      <c r="A76" s="91" t="s">
        <v>206</v>
      </c>
      <c r="B76" s="102" t="s">
        <v>1426</v>
      </c>
      <c r="C76" s="91"/>
      <c r="D76" s="63"/>
      <c r="E76" s="63"/>
      <c r="F76" s="63" t="e">
        <f>#REF!</f>
        <v>#REF!</v>
      </c>
      <c r="G76" s="63">
        <f>SUM(G77:G78)</f>
        <v>918305.42101441999</v>
      </c>
      <c r="H76" s="63">
        <f>SUM(H77:H78)</f>
        <v>316185.37708428735</v>
      </c>
      <c r="I76" s="63">
        <f>SUM(I77:I78)</f>
        <v>602120.04393013264</v>
      </c>
      <c r="J76" s="579">
        <f>SUM(J77:J78)</f>
        <v>602120.04393013264</v>
      </c>
      <c r="K76" s="63">
        <f>SUM(K77:K78)</f>
        <v>316185.37708428735</v>
      </c>
    </row>
    <row r="77" spans="1:11" s="98" customFormat="1">
      <c r="A77" s="81" t="s">
        <v>207</v>
      </c>
      <c r="B77" s="510" t="s">
        <v>1394</v>
      </c>
      <c r="C77" s="81"/>
      <c r="D77" s="82"/>
      <c r="E77" s="82"/>
      <c r="F77" s="83" t="e">
        <f>#REF!</f>
        <v>#REF!</v>
      </c>
      <c r="G77" s="82">
        <f>'RESUMO GERAL'!G98</f>
        <v>324756.49546844879</v>
      </c>
      <c r="H77" s="904">
        <f>[2]RESUMO!$G$50</f>
        <v>98189.819964978524</v>
      </c>
      <c r="I77" s="247">
        <f>G77-H77</f>
        <v>226566.67550347027</v>
      </c>
      <c r="J77" s="569">
        <f t="shared" ref="J77:J78" si="4">I77</f>
        <v>226566.67550347027</v>
      </c>
      <c r="K77" s="82">
        <f t="shared" ref="K77:K84" si="5">H77</f>
        <v>98189.819964978524</v>
      </c>
    </row>
    <row r="78" spans="1:11" s="98" customFormat="1">
      <c r="A78" s="81" t="s">
        <v>222</v>
      </c>
      <c r="B78" s="510" t="s">
        <v>3403</v>
      </c>
      <c r="C78" s="94"/>
      <c r="D78" s="82"/>
      <c r="E78" s="82"/>
      <c r="F78" s="82" t="e">
        <f>#REF!</f>
        <v>#REF!</v>
      </c>
      <c r="G78" s="82">
        <f>'RESUMO GERAL'!G99</f>
        <v>593548.92554597114</v>
      </c>
      <c r="H78" s="904">
        <f>[2]RESUMO!$G$51</f>
        <v>217995.5571193088</v>
      </c>
      <c r="I78" s="82">
        <f>G78-H78</f>
        <v>375553.36842666235</v>
      </c>
      <c r="J78" s="569">
        <f t="shared" si="4"/>
        <v>375553.36842666235</v>
      </c>
      <c r="K78" s="82">
        <f t="shared" si="5"/>
        <v>217995.5571193088</v>
      </c>
    </row>
    <row r="79" spans="1:11" s="98" customFormat="1">
      <c r="A79" s="91" t="s">
        <v>227</v>
      </c>
      <c r="B79" s="102" t="s">
        <v>3836</v>
      </c>
      <c r="C79" s="91"/>
      <c r="D79" s="63"/>
      <c r="E79" s="63"/>
      <c r="F79" s="63" t="e">
        <f>#REF!</f>
        <v>#REF!</v>
      </c>
      <c r="G79" s="63">
        <f>SUM(G80:G81)</f>
        <v>2790635.2573608742</v>
      </c>
      <c r="H79" s="63">
        <f>SUM(H80:H81)</f>
        <v>355535.33431321516</v>
      </c>
      <c r="I79" s="63">
        <f>SUM(I80:I81)</f>
        <v>2435099.923047659</v>
      </c>
      <c r="J79" s="579">
        <f>SUM(J80:J81)</f>
        <v>2435099.923047659</v>
      </c>
      <c r="K79" s="63">
        <f>SUM(K80:K81)</f>
        <v>355535.33431321516</v>
      </c>
    </row>
    <row r="80" spans="1:11" s="98" customFormat="1">
      <c r="A80" s="81" t="s">
        <v>228</v>
      </c>
      <c r="B80" s="510" t="s">
        <v>1394</v>
      </c>
      <c r="C80" s="81"/>
      <c r="D80" s="82"/>
      <c r="E80" s="82"/>
      <c r="F80" s="83" t="e">
        <f>#REF!</f>
        <v>#REF!</v>
      </c>
      <c r="G80" s="82">
        <f>'RESUMO GERAL'!G101</f>
        <v>1590077.4896486308</v>
      </c>
      <c r="H80" s="904">
        <f>[2]RESUMO!$G$53</f>
        <v>348136.58453517995</v>
      </c>
      <c r="I80" s="247">
        <f>G80-H80</f>
        <v>1241940.905113451</v>
      </c>
      <c r="J80" s="569">
        <f t="shared" ref="J80:J81" si="6">I80</f>
        <v>1241940.905113451</v>
      </c>
      <c r="K80" s="82">
        <f t="shared" si="5"/>
        <v>348136.58453517995</v>
      </c>
    </row>
    <row r="81" spans="1:13" s="98" customFormat="1">
      <c r="A81" s="81" t="s">
        <v>242</v>
      </c>
      <c r="B81" s="510" t="s">
        <v>3404</v>
      </c>
      <c r="C81" s="94"/>
      <c r="D81" s="82"/>
      <c r="E81" s="83"/>
      <c r="F81" s="82" t="e">
        <f>#REF!</f>
        <v>#REF!</v>
      </c>
      <c r="G81" s="82">
        <f>'RESUMO GERAL'!G102</f>
        <v>1200557.7677122434</v>
      </c>
      <c r="H81" s="904">
        <f>[2]RESUMO!$G$54</f>
        <v>7398.7497780351996</v>
      </c>
      <c r="I81" s="82">
        <f>G81-H81</f>
        <v>1193159.0179342083</v>
      </c>
      <c r="J81" s="569">
        <f t="shared" si="6"/>
        <v>1193159.0179342083</v>
      </c>
      <c r="K81" s="82">
        <f t="shared" si="5"/>
        <v>7398.7497780351996</v>
      </c>
    </row>
    <row r="82" spans="1:13" s="98" customFormat="1">
      <c r="A82" s="91" t="s">
        <v>255</v>
      </c>
      <c r="B82" s="102" t="s">
        <v>1429</v>
      </c>
      <c r="C82" s="91"/>
      <c r="D82" s="63"/>
      <c r="E82" s="63"/>
      <c r="F82" s="63" t="e">
        <f>#REF!</f>
        <v>#REF!</v>
      </c>
      <c r="G82" s="63">
        <f>SUM(G83:G84)</f>
        <v>3248713.9342296482</v>
      </c>
      <c r="H82" s="63">
        <f>SUM(H83:H84)</f>
        <v>1031900.8435864367</v>
      </c>
      <c r="I82" s="63">
        <f>SUM(I83:I84)</f>
        <v>2216813.0906432117</v>
      </c>
      <c r="J82" s="579">
        <f>SUM(J83:J84)</f>
        <v>2216813.0906432117</v>
      </c>
      <c r="K82" s="63">
        <f>SUM(K83:K84)</f>
        <v>1031900.8435864367</v>
      </c>
    </row>
    <row r="83" spans="1:13" s="98" customFormat="1">
      <c r="A83" s="81" t="s">
        <v>256</v>
      </c>
      <c r="B83" s="510" t="s">
        <v>1394</v>
      </c>
      <c r="C83" s="81"/>
      <c r="D83" s="83"/>
      <c r="E83" s="83"/>
      <c r="F83" s="83" t="e">
        <f>#REF!</f>
        <v>#REF!</v>
      </c>
      <c r="G83" s="83">
        <f>'RESUMO GERAL'!G104</f>
        <v>1521345.2326784804</v>
      </c>
      <c r="H83" s="904">
        <f>[2]RESUMO!$G$56</f>
        <v>592762.91068893916</v>
      </c>
      <c r="I83" s="83">
        <f>G83-H83</f>
        <v>928582.32198954129</v>
      </c>
      <c r="J83" s="569">
        <f t="shared" ref="J83:J84" si="7">I83</f>
        <v>928582.32198954129</v>
      </c>
      <c r="K83" s="82">
        <f t="shared" si="5"/>
        <v>592762.91068893916</v>
      </c>
    </row>
    <row r="84" spans="1:13" s="98" customFormat="1">
      <c r="A84" s="81" t="s">
        <v>275</v>
      </c>
      <c r="B84" s="510" t="s">
        <v>3405</v>
      </c>
      <c r="C84" s="94"/>
      <c r="D84" s="94"/>
      <c r="E84" s="94"/>
      <c r="F84" s="94"/>
      <c r="G84" s="83">
        <f>'RESUMO GERAL'!G105</f>
        <v>1727368.7015511678</v>
      </c>
      <c r="H84" s="904">
        <f>[2]RESUMO!$G$57</f>
        <v>439137.93289749755</v>
      </c>
      <c r="I84" s="83">
        <f>G84-H84</f>
        <v>1288230.7686536703</v>
      </c>
      <c r="J84" s="569">
        <f t="shared" si="7"/>
        <v>1288230.7686536703</v>
      </c>
      <c r="K84" s="82">
        <f t="shared" si="5"/>
        <v>439137.93289749755</v>
      </c>
    </row>
    <row r="85" spans="1:13" s="120" customFormat="1">
      <c r="A85" s="91" t="s">
        <v>1540</v>
      </c>
      <c r="B85" s="102" t="s">
        <v>1541</v>
      </c>
      <c r="C85" s="91"/>
      <c r="D85" s="94"/>
      <c r="E85" s="94"/>
      <c r="F85" s="94" t="e">
        <f>#REF!</f>
        <v>#REF!</v>
      </c>
      <c r="G85" s="64">
        <v>0</v>
      </c>
      <c r="H85" s="64"/>
      <c r="I85" s="64"/>
      <c r="J85" s="539"/>
      <c r="K85" s="540"/>
      <c r="L85" s="98"/>
      <c r="M85" s="98"/>
    </row>
    <row r="86" spans="1:13" s="120" customFormat="1">
      <c r="A86" s="91" t="s">
        <v>2807</v>
      </c>
      <c r="B86" s="102" t="s">
        <v>3837</v>
      </c>
      <c r="C86" s="91"/>
      <c r="D86" s="64"/>
      <c r="E86" s="64"/>
      <c r="F86" s="64" t="e">
        <f>#REF!</f>
        <v>#REF!</v>
      </c>
      <c r="G86" s="64">
        <f>SUM(G87:G88)</f>
        <v>536208.55213324563</v>
      </c>
      <c r="H86" s="63">
        <f>SUM(H87:H88)</f>
        <v>536208.55345988099</v>
      </c>
      <c r="I86" s="63">
        <f>SUM(I87:I88)</f>
        <v>0</v>
      </c>
      <c r="J86" s="63">
        <f>SUM(J87:J88)</f>
        <v>0</v>
      </c>
      <c r="K86" s="63">
        <f>SUM(K87:K88)</f>
        <v>536208.55345988099</v>
      </c>
      <c r="L86" s="906" t="s">
        <v>3822</v>
      </c>
      <c r="M86" s="906"/>
    </row>
    <row r="87" spans="1:13" s="98" customFormat="1">
      <c r="A87" s="81" t="s">
        <v>2808</v>
      </c>
      <c r="B87" s="510" t="s">
        <v>1407</v>
      </c>
      <c r="C87" s="94"/>
      <c r="D87" s="83"/>
      <c r="E87" s="83"/>
      <c r="F87" s="83" t="e">
        <f>#REF!</f>
        <v>#REF!</v>
      </c>
      <c r="G87" s="83">
        <f>'RESUMO GERAL'!G107</f>
        <v>204213.41832607763</v>
      </c>
      <c r="H87" s="904">
        <f>[2]RESUMO!$G$59</f>
        <v>204213.419652713</v>
      </c>
      <c r="I87" s="247">
        <f>IF((G87-H87)&lt;0,0,(G87-H87))</f>
        <v>0</v>
      </c>
      <c r="J87" s="562">
        <f>I87*$P$7</f>
        <v>0</v>
      </c>
      <c r="K87" s="82">
        <f>H87</f>
        <v>204213.419652713</v>
      </c>
      <c r="L87" s="906" t="s">
        <v>3822</v>
      </c>
      <c r="M87" s="906"/>
    </row>
    <row r="88" spans="1:13" s="98" customFormat="1">
      <c r="A88" s="81" t="s">
        <v>2814</v>
      </c>
      <c r="B88" s="510" t="s">
        <v>1546</v>
      </c>
      <c r="C88" s="94"/>
      <c r="D88" s="83"/>
      <c r="E88" s="83">
        <v>96455.05</v>
      </c>
      <c r="F88" s="83" t="e">
        <f>#REF!</f>
        <v>#REF!</v>
      </c>
      <c r="G88" s="83">
        <f>'RESUMO GERAL'!G108</f>
        <v>331995.13380716793</v>
      </c>
      <c r="H88" s="904">
        <f>[2]RESUMO!$G$60</f>
        <v>331995.13380716799</v>
      </c>
      <c r="I88" s="247">
        <f>IF((G88-H88)&lt;0,0,(G88-H88))</f>
        <v>0</v>
      </c>
      <c r="J88" s="562">
        <f>I88*$P$7</f>
        <v>0</v>
      </c>
      <c r="K88" s="82">
        <f>H88</f>
        <v>331995.13380716799</v>
      </c>
      <c r="L88" s="906" t="s">
        <v>3822</v>
      </c>
      <c r="M88" s="906"/>
    </row>
    <row r="89" spans="1:13" s="98" customFormat="1">
      <c r="A89" s="523" t="s">
        <v>2819</v>
      </c>
      <c r="B89" s="437" t="s">
        <v>3148</v>
      </c>
      <c r="C89" s="438" t="s">
        <v>3219</v>
      </c>
      <c r="D89" s="246"/>
      <c r="E89" s="246"/>
      <c r="F89" s="383"/>
      <c r="G89" s="490">
        <f>RECUP.!I36+RECUP.!I53</f>
        <v>4075812.9966000002</v>
      </c>
      <c r="H89" s="383">
        <f>G89</f>
        <v>4075812.9966000002</v>
      </c>
      <c r="I89" s="383">
        <f>G89-H89</f>
        <v>0</v>
      </c>
      <c r="J89" s="383">
        <f>I89*P9</f>
        <v>0</v>
      </c>
      <c r="K89" s="88">
        <f>H89</f>
        <v>4075812.9966000002</v>
      </c>
    </row>
    <row r="90" spans="1:13" s="98" customFormat="1">
      <c r="A90" s="99"/>
      <c r="B90" s="100"/>
      <c r="C90" s="21"/>
      <c r="D90" s="20"/>
      <c r="E90" s="20"/>
      <c r="F90" s="19"/>
      <c r="G90" s="19"/>
      <c r="H90" s="19"/>
      <c r="I90" s="19"/>
      <c r="J90" s="383"/>
      <c r="K90" s="210"/>
    </row>
    <row r="91" spans="1:13" s="98" customFormat="1">
      <c r="A91" s="74" t="s">
        <v>3061</v>
      </c>
      <c r="B91" s="101" t="s">
        <v>3166</v>
      </c>
      <c r="C91" s="74"/>
      <c r="D91" s="75"/>
      <c r="E91" s="75"/>
      <c r="F91" s="75" t="e">
        <f>#REF!</f>
        <v>#REF!</v>
      </c>
      <c r="G91" s="75">
        <f>G92+G93+G94+G100+G106+G107</f>
        <v>60665693.329256825</v>
      </c>
      <c r="H91" s="75">
        <f>H92+H93+H94+H100+H106+H107+H108</f>
        <v>22311141.01754263</v>
      </c>
      <c r="I91" s="75">
        <f>I92+I93+I94+I100+I106+I107+I108</f>
        <v>40401632.711314186</v>
      </c>
      <c r="J91" s="580">
        <f>J92+J93+J94+J100+J106+J107+J108</f>
        <v>40401632.711314186</v>
      </c>
      <c r="K91" s="75">
        <f>K92+K93+K94+K100+K106+K107+K108</f>
        <v>22311141.01754263</v>
      </c>
    </row>
    <row r="92" spans="1:13" s="98" customFormat="1">
      <c r="A92" s="91" t="s">
        <v>285</v>
      </c>
      <c r="B92" s="103" t="s">
        <v>1407</v>
      </c>
      <c r="C92" s="331"/>
      <c r="D92" s="64"/>
      <c r="E92" s="64"/>
      <c r="F92" s="64" t="e">
        <f>#REF!</f>
        <v>#REF!</v>
      </c>
      <c r="G92" s="64">
        <f>'RESUMO GERAL'!G112</f>
        <v>16426575.954139289</v>
      </c>
      <c r="H92" s="64">
        <f>[2]RESUMO!$G$68+[2]RESUMO!$G$69</f>
        <v>7905114.5596891418</v>
      </c>
      <c r="I92" s="64">
        <f>G92-H92</f>
        <v>8521461.3944501467</v>
      </c>
      <c r="J92" s="569">
        <f t="shared" ref="J92:J107" si="8">I92</f>
        <v>8521461.3944501467</v>
      </c>
      <c r="K92" s="82">
        <f t="shared" ref="K92:K105" si="9">H92</f>
        <v>7905114.5596891418</v>
      </c>
    </row>
    <row r="93" spans="1:13" s="98" customFormat="1">
      <c r="A93" s="91" t="s">
        <v>585</v>
      </c>
      <c r="B93" s="103" t="s">
        <v>3406</v>
      </c>
      <c r="C93" s="331"/>
      <c r="D93" s="64"/>
      <c r="E93" s="64">
        <v>0</v>
      </c>
      <c r="F93" s="64" t="e">
        <f>#REF!</f>
        <v>#REF!</v>
      </c>
      <c r="G93" s="64">
        <f>'RESUMO GERAL'!G113</f>
        <v>41522462.60711056</v>
      </c>
      <c r="H93" s="64">
        <f>[2]RESUMO!$G$70</f>
        <v>9739201.0797500573</v>
      </c>
      <c r="I93" s="64">
        <f>G93-H93</f>
        <v>31783261.527360503</v>
      </c>
      <c r="J93" s="569">
        <f t="shared" si="8"/>
        <v>31783261.527360503</v>
      </c>
      <c r="K93" s="82">
        <f t="shared" si="9"/>
        <v>9739201.0797500573</v>
      </c>
    </row>
    <row r="94" spans="1:13" s="98" customFormat="1">
      <c r="A94" s="91" t="s">
        <v>2857</v>
      </c>
      <c r="B94" s="102" t="s">
        <v>2858</v>
      </c>
      <c r="C94" s="85"/>
      <c r="D94" s="62"/>
      <c r="E94" s="62"/>
      <c r="F94" s="64" t="e">
        <f>#REF!</f>
        <v>#REF!</v>
      </c>
      <c r="G94" s="64">
        <f>SUM(G95:G99)</f>
        <v>434610.83203447366</v>
      </c>
      <c r="H94" s="907">
        <f>[2]RESUMO!$G$71</f>
        <v>434610.83203447377</v>
      </c>
      <c r="I94" s="64">
        <f>G94-H94</f>
        <v>0</v>
      </c>
      <c r="J94" s="569">
        <f t="shared" si="8"/>
        <v>0</v>
      </c>
      <c r="K94" s="64">
        <f t="shared" ref="K94:K100" si="10">H94</f>
        <v>434610.83203447377</v>
      </c>
    </row>
    <row r="95" spans="1:13" s="98" customFormat="1">
      <c r="A95" s="85" t="s">
        <v>2859</v>
      </c>
      <c r="B95" s="116" t="s">
        <v>2860</v>
      </c>
      <c r="C95" s="85"/>
      <c r="D95" s="62"/>
      <c r="E95" s="62"/>
      <c r="F95" s="62" t="e">
        <f>#REF!</f>
        <v>#REF!</v>
      </c>
      <c r="G95" s="62">
        <f>'RESUMO GERAL'!G115</f>
        <v>15535.260983869712</v>
      </c>
      <c r="H95" s="62">
        <v>0</v>
      </c>
      <c r="I95" s="62">
        <v>0</v>
      </c>
      <c r="J95" s="569">
        <f t="shared" si="8"/>
        <v>0</v>
      </c>
      <c r="K95" s="82">
        <f t="shared" si="10"/>
        <v>0</v>
      </c>
    </row>
    <row r="96" spans="1:13" s="98" customFormat="1">
      <c r="A96" s="85" t="s">
        <v>2864</v>
      </c>
      <c r="B96" s="116" t="s">
        <v>2774</v>
      </c>
      <c r="C96" s="85"/>
      <c r="D96" s="62"/>
      <c r="E96" s="62"/>
      <c r="F96" s="62" t="e">
        <f>#REF!</f>
        <v>#REF!</v>
      </c>
      <c r="G96" s="62">
        <f>'RESUMO GERAL'!G116</f>
        <v>62444.285423943409</v>
      </c>
      <c r="H96" s="62">
        <v>0</v>
      </c>
      <c r="I96" s="62">
        <v>0</v>
      </c>
      <c r="J96" s="569">
        <f t="shared" si="8"/>
        <v>0</v>
      </c>
      <c r="K96" s="82">
        <f t="shared" si="10"/>
        <v>0</v>
      </c>
    </row>
    <row r="97" spans="1:12" s="98" customFormat="1">
      <c r="A97" s="85" t="s">
        <v>2883</v>
      </c>
      <c r="B97" s="116" t="s">
        <v>2884</v>
      </c>
      <c r="C97" s="85"/>
      <c r="D97" s="62"/>
      <c r="E97" s="62"/>
      <c r="F97" s="62" t="e">
        <f>#REF!</f>
        <v>#REF!</v>
      </c>
      <c r="G97" s="62">
        <f>'RESUMO GERAL'!G117</f>
        <v>0</v>
      </c>
      <c r="H97" s="62">
        <v>0</v>
      </c>
      <c r="I97" s="62">
        <v>0</v>
      </c>
      <c r="J97" s="569">
        <f t="shared" si="8"/>
        <v>0</v>
      </c>
      <c r="K97" s="82">
        <f t="shared" si="10"/>
        <v>0</v>
      </c>
    </row>
    <row r="98" spans="1:12" s="98" customFormat="1">
      <c r="A98" s="85" t="s">
        <v>2915</v>
      </c>
      <c r="B98" s="116" t="s">
        <v>2916</v>
      </c>
      <c r="C98" s="85"/>
      <c r="D98" s="62"/>
      <c r="E98" s="62"/>
      <c r="F98" s="62" t="e">
        <f>#REF!</f>
        <v>#REF!</v>
      </c>
      <c r="G98" s="62">
        <f>'RESUMO GERAL'!G118</f>
        <v>333017.91696526972</v>
      </c>
      <c r="H98" s="62">
        <v>0</v>
      </c>
      <c r="I98" s="62">
        <v>0</v>
      </c>
      <c r="J98" s="569">
        <f t="shared" si="8"/>
        <v>0</v>
      </c>
      <c r="K98" s="82">
        <f t="shared" si="10"/>
        <v>0</v>
      </c>
    </row>
    <row r="99" spans="1:12" s="98" customFormat="1">
      <c r="A99" s="85" t="s">
        <v>2925</v>
      </c>
      <c r="B99" s="116" t="s">
        <v>2926</v>
      </c>
      <c r="C99" s="85"/>
      <c r="D99" s="62"/>
      <c r="E99" s="62"/>
      <c r="F99" s="62" t="e">
        <f>#REF!</f>
        <v>#REF!</v>
      </c>
      <c r="G99" s="62">
        <f>'RESUMO GERAL'!G119</f>
        <v>23613.368661390858</v>
      </c>
      <c r="H99" s="62">
        <v>0</v>
      </c>
      <c r="I99" s="62">
        <v>0</v>
      </c>
      <c r="J99" s="569">
        <f t="shared" si="8"/>
        <v>0</v>
      </c>
      <c r="K99" s="82">
        <f t="shared" si="10"/>
        <v>0</v>
      </c>
    </row>
    <row r="100" spans="1:12" s="98" customFormat="1">
      <c r="A100" s="91" t="s">
        <v>2935</v>
      </c>
      <c r="B100" s="102" t="s">
        <v>2936</v>
      </c>
      <c r="C100" s="94"/>
      <c r="D100" s="94"/>
      <c r="E100" s="94"/>
      <c r="F100" s="94" t="e">
        <f>#REF!</f>
        <v>#REF!</v>
      </c>
      <c r="G100" s="64">
        <f>SUM(G101:G105)</f>
        <v>1555627.7412359933</v>
      </c>
      <c r="H100" s="907">
        <f>[2]RESUMO!$G$72</f>
        <v>1464535.1519282432</v>
      </c>
      <c r="I100" s="64">
        <f>G100-H100</f>
        <v>91092.58930775011</v>
      </c>
      <c r="J100" s="569">
        <f t="shared" si="8"/>
        <v>91092.58930775011</v>
      </c>
      <c r="K100" s="64">
        <f t="shared" si="10"/>
        <v>1464535.1519282432</v>
      </c>
    </row>
    <row r="101" spans="1:12" s="98" customFormat="1">
      <c r="A101" s="85" t="s">
        <v>2937</v>
      </c>
      <c r="B101" s="116" t="s">
        <v>2860</v>
      </c>
      <c r="C101" s="85"/>
      <c r="D101" s="62"/>
      <c r="E101" s="62"/>
      <c r="F101" s="62" t="e">
        <f>#REF!</f>
        <v>#REF!</v>
      </c>
      <c r="G101" s="62">
        <f>'RESUMO GERAL'!G121</f>
        <v>12063.131845939199</v>
      </c>
      <c r="H101" s="62">
        <v>0</v>
      </c>
      <c r="I101" s="62">
        <v>0</v>
      </c>
      <c r="J101" s="569">
        <f t="shared" si="8"/>
        <v>0</v>
      </c>
      <c r="K101" s="82">
        <f t="shared" si="9"/>
        <v>0</v>
      </c>
    </row>
    <row r="102" spans="1:12" s="98" customFormat="1">
      <c r="A102" s="85" t="s">
        <v>2941</v>
      </c>
      <c r="B102" s="116" t="s">
        <v>2774</v>
      </c>
      <c r="C102" s="85"/>
      <c r="D102" s="62"/>
      <c r="E102" s="62"/>
      <c r="F102" s="62" t="e">
        <f>#REF!</f>
        <v>#REF!</v>
      </c>
      <c r="G102" s="62">
        <f>'RESUMO GERAL'!G122</f>
        <v>69973.062409036778</v>
      </c>
      <c r="H102" s="62">
        <v>0</v>
      </c>
      <c r="I102" s="62">
        <v>0</v>
      </c>
      <c r="J102" s="569">
        <f t="shared" si="8"/>
        <v>0</v>
      </c>
      <c r="K102" s="82">
        <f t="shared" si="9"/>
        <v>0</v>
      </c>
    </row>
    <row r="103" spans="1:12" s="98" customFormat="1">
      <c r="A103" s="85" t="s">
        <v>2954</v>
      </c>
      <c r="B103" s="116" t="s">
        <v>2884</v>
      </c>
      <c r="C103" s="85"/>
      <c r="D103" s="62"/>
      <c r="E103" s="62"/>
      <c r="F103" s="62" t="e">
        <f>#REF!</f>
        <v>#REF!</v>
      </c>
      <c r="G103" s="62">
        <f>'RESUMO GERAL'!G123</f>
        <v>0</v>
      </c>
      <c r="H103" s="62">
        <v>0</v>
      </c>
      <c r="I103" s="62">
        <v>0</v>
      </c>
      <c r="J103" s="569">
        <f t="shared" si="8"/>
        <v>0</v>
      </c>
      <c r="K103" s="82">
        <f t="shared" si="9"/>
        <v>0</v>
      </c>
    </row>
    <row r="104" spans="1:12" s="98" customFormat="1">
      <c r="A104" s="85" t="s">
        <v>2979</v>
      </c>
      <c r="B104" s="116" t="s">
        <v>2916</v>
      </c>
      <c r="C104" s="85"/>
      <c r="D104" s="62"/>
      <c r="E104" s="62"/>
      <c r="F104" s="62" t="e">
        <f>#REF!</f>
        <v>#REF!</v>
      </c>
      <c r="G104" s="62">
        <f>'RESUMO GERAL'!G124</f>
        <v>1417402.1588479998</v>
      </c>
      <c r="H104" s="62">
        <v>0</v>
      </c>
      <c r="I104" s="62">
        <v>0</v>
      </c>
      <c r="J104" s="569">
        <f t="shared" si="8"/>
        <v>0</v>
      </c>
      <c r="K104" s="82">
        <f t="shared" si="9"/>
        <v>0</v>
      </c>
    </row>
    <row r="105" spans="1:12" s="98" customFormat="1">
      <c r="A105" s="85" t="s">
        <v>2985</v>
      </c>
      <c r="B105" s="116" t="s">
        <v>2926</v>
      </c>
      <c r="C105" s="85"/>
      <c r="D105" s="62"/>
      <c r="E105" s="62"/>
      <c r="F105" s="62" t="e">
        <f>#REF!</f>
        <v>#REF!</v>
      </c>
      <c r="G105" s="62">
        <f>'RESUMO GERAL'!G125</f>
        <v>56189.388133017608</v>
      </c>
      <c r="H105" s="62">
        <v>0</v>
      </c>
      <c r="I105" s="62">
        <v>0</v>
      </c>
      <c r="J105" s="569">
        <f t="shared" si="8"/>
        <v>0</v>
      </c>
      <c r="K105" s="82">
        <f t="shared" si="9"/>
        <v>0</v>
      </c>
    </row>
    <row r="106" spans="1:12" s="98" customFormat="1">
      <c r="A106" s="91" t="s">
        <v>2995</v>
      </c>
      <c r="B106" s="102" t="s">
        <v>2996</v>
      </c>
      <c r="C106" s="85"/>
      <c r="D106" s="62"/>
      <c r="E106" s="62"/>
      <c r="F106" s="64" t="e">
        <f>#REF!</f>
        <v>#REF!</v>
      </c>
      <c r="G106" s="64">
        <f>'RESUMO GERAL'!G126</f>
        <v>243477.05874356985</v>
      </c>
      <c r="H106" s="904">
        <f>[2]RESUMO!$G$73</f>
        <v>243477.05874356985</v>
      </c>
      <c r="I106" s="383">
        <f>G106-H106</f>
        <v>0</v>
      </c>
      <c r="J106" s="569">
        <f t="shared" si="8"/>
        <v>0</v>
      </c>
      <c r="K106" s="64">
        <f>H106</f>
        <v>243477.05874356985</v>
      </c>
    </row>
    <row r="107" spans="1:12" s="98" customFormat="1">
      <c r="A107" s="91" t="s">
        <v>3020</v>
      </c>
      <c r="B107" s="102" t="s">
        <v>3021</v>
      </c>
      <c r="C107" s="94"/>
      <c r="D107" s="94"/>
      <c r="E107" s="94"/>
      <c r="F107" s="94" t="e">
        <f>#REF!</f>
        <v>#REF!</v>
      </c>
      <c r="G107" s="64">
        <f>'RESUMO GERAL'!G127</f>
        <v>482939.13599293446</v>
      </c>
      <c r="H107" s="904">
        <f>[2]RESUMO!$G$74</f>
        <v>477121.93579714571</v>
      </c>
      <c r="I107" s="383">
        <f>G107-H107</f>
        <v>5817.2001957887551</v>
      </c>
      <c r="J107" s="569">
        <f t="shared" si="8"/>
        <v>5817.2001957887551</v>
      </c>
      <c r="K107" s="64">
        <f>H107</f>
        <v>477121.93579714571</v>
      </c>
    </row>
    <row r="108" spans="1:12" s="98" customFormat="1">
      <c r="A108" s="99"/>
      <c r="B108" s="437" t="s">
        <v>3148</v>
      </c>
      <c r="C108" s="438" t="s">
        <v>3219</v>
      </c>
      <c r="D108" s="246"/>
      <c r="E108" s="246"/>
      <c r="F108" s="383"/>
      <c r="G108" s="383">
        <f>RECUP.!I84</f>
        <v>2047080.3996000001</v>
      </c>
      <c r="H108" s="383">
        <f>G108</f>
        <v>2047080.3996000001</v>
      </c>
      <c r="I108" s="383"/>
      <c r="J108" s="114"/>
      <c r="K108" s="210">
        <f>H108</f>
        <v>2047080.3996000001</v>
      </c>
    </row>
    <row r="109" spans="1:12" s="98" customFormat="1">
      <c r="A109" s="99"/>
      <c r="B109" s="100"/>
      <c r="C109" s="99"/>
      <c r="D109" s="20"/>
      <c r="E109" s="20"/>
      <c r="F109" s="19"/>
      <c r="G109" s="19"/>
      <c r="H109" s="19"/>
      <c r="I109" s="19"/>
      <c r="J109" s="114"/>
      <c r="K109" s="210"/>
    </row>
    <row r="110" spans="1:12" s="98" customFormat="1">
      <c r="A110" s="74" t="s">
        <v>916</v>
      </c>
      <c r="B110" s="101" t="s">
        <v>1433</v>
      </c>
      <c r="C110" s="74"/>
      <c r="D110" s="75"/>
      <c r="E110" s="75"/>
      <c r="F110" s="75" t="e">
        <f>#REF!</f>
        <v>#REF!</v>
      </c>
      <c r="G110" s="75">
        <f>G111+G112</f>
        <v>100256616.59596471</v>
      </c>
      <c r="H110" s="75">
        <f>H111+H112+H118</f>
        <v>3761962.1644491036</v>
      </c>
      <c r="I110" s="75">
        <f>I111+I112</f>
        <v>96931216.984515607</v>
      </c>
      <c r="J110" s="580">
        <f>J111+J112</f>
        <v>96931216.984515607</v>
      </c>
      <c r="K110" s="75">
        <f>K111+K112+K118</f>
        <v>3761962.1644491036</v>
      </c>
    </row>
    <row r="111" spans="1:12" s="98" customFormat="1">
      <c r="A111" s="91" t="s">
        <v>917</v>
      </c>
      <c r="B111" s="102" t="s">
        <v>1407</v>
      </c>
      <c r="C111" s="85"/>
      <c r="D111" s="64"/>
      <c r="E111" s="64"/>
      <c r="F111" s="64" t="e">
        <f>#REF!</f>
        <v>#REF!</v>
      </c>
      <c r="G111" s="64">
        <f>'RESUMO GERAL'!G131</f>
        <v>14012587.662267417</v>
      </c>
      <c r="H111" s="64">
        <f>[2]RESUMO!$G$76</f>
        <v>2922745.0869413144</v>
      </c>
      <c r="I111" s="64">
        <f>G111-H111</f>
        <v>11089842.575326102</v>
      </c>
      <c r="J111" s="569">
        <f t="shared" ref="J111:J117" si="11">I111</f>
        <v>11089842.575326102</v>
      </c>
      <c r="K111" s="566">
        <f>H111</f>
        <v>2922745.0869413144</v>
      </c>
    </row>
    <row r="112" spans="1:12" s="120" customFormat="1">
      <c r="A112" s="91" t="s">
        <v>960</v>
      </c>
      <c r="B112" s="103" t="s">
        <v>3407</v>
      </c>
      <c r="C112" s="85"/>
      <c r="D112" s="64"/>
      <c r="E112" s="64"/>
      <c r="F112" s="64" t="e">
        <f>#REF!</f>
        <v>#REF!</v>
      </c>
      <c r="G112" s="64">
        <f>SUM(G113:G117)</f>
        <v>86244028.933697298</v>
      </c>
      <c r="H112" s="64">
        <f>SUM(H113:H117)</f>
        <v>402654.52450778958</v>
      </c>
      <c r="I112" s="64">
        <f>SUM(I113:I118)</f>
        <v>85841374.409189507</v>
      </c>
      <c r="J112" s="579">
        <f>SUM(J113:J118)</f>
        <v>85841374.409189507</v>
      </c>
      <c r="K112" s="570">
        <f>SUM(K113:K117)</f>
        <v>402654.52450778958</v>
      </c>
      <c r="L112" s="98"/>
    </row>
    <row r="113" spans="1:12" s="98" customFormat="1">
      <c r="A113" s="81" t="s">
        <v>961</v>
      </c>
      <c r="B113" s="510" t="s">
        <v>3362</v>
      </c>
      <c r="C113" s="81"/>
      <c r="D113" s="83"/>
      <c r="E113" s="83"/>
      <c r="F113" s="83" t="e">
        <f>#REF!</f>
        <v>#REF!</v>
      </c>
      <c r="G113" s="83">
        <f>'RESUMO GERAL'!G133</f>
        <v>7966823.2432606574</v>
      </c>
      <c r="H113" s="83"/>
      <c r="I113" s="83">
        <f t="shared" ref="I113:I118" si="12">G113-H113</f>
        <v>7966823.2432606574</v>
      </c>
      <c r="J113" s="569">
        <f t="shared" si="11"/>
        <v>7966823.2432606574</v>
      </c>
      <c r="K113" s="83">
        <f t="shared" ref="K113:K118" si="13">H113</f>
        <v>0</v>
      </c>
    </row>
    <row r="114" spans="1:12" s="98" customFormat="1">
      <c r="A114" s="81" t="s">
        <v>977</v>
      </c>
      <c r="B114" s="510" t="s">
        <v>3363</v>
      </c>
      <c r="C114" s="81"/>
      <c r="D114" s="83"/>
      <c r="E114" s="83"/>
      <c r="F114" s="83" t="e">
        <f>#REF!</f>
        <v>#REF!</v>
      </c>
      <c r="G114" s="83">
        <f>'RESUMO GERAL'!G134</f>
        <v>2647753.9002703489</v>
      </c>
      <c r="H114" s="83"/>
      <c r="I114" s="83">
        <f t="shared" si="12"/>
        <v>2647753.9002703489</v>
      </c>
      <c r="J114" s="569">
        <f t="shared" si="11"/>
        <v>2647753.9002703489</v>
      </c>
      <c r="K114" s="83">
        <f t="shared" si="13"/>
        <v>0</v>
      </c>
    </row>
    <row r="115" spans="1:12" s="98" customFormat="1">
      <c r="A115" s="81" t="s">
        <v>992</v>
      </c>
      <c r="B115" s="510" t="s">
        <v>3364</v>
      </c>
      <c r="C115" s="81"/>
      <c r="D115" s="83"/>
      <c r="E115" s="83"/>
      <c r="F115" s="83" t="e">
        <f>#REF!</f>
        <v>#REF!</v>
      </c>
      <c r="G115" s="83">
        <f>'RESUMO GERAL'!G135</f>
        <v>621226.64557957102</v>
      </c>
      <c r="H115" s="83"/>
      <c r="I115" s="83">
        <f t="shared" si="12"/>
        <v>621226.64557957102</v>
      </c>
      <c r="J115" s="569">
        <f t="shared" si="11"/>
        <v>621226.64557957102</v>
      </c>
      <c r="K115" s="83">
        <f t="shared" si="13"/>
        <v>0</v>
      </c>
    </row>
    <row r="116" spans="1:12" s="98" customFormat="1">
      <c r="A116" s="81" t="s">
        <v>1006</v>
      </c>
      <c r="B116" s="511" t="s">
        <v>1438</v>
      </c>
      <c r="C116" s="96"/>
      <c r="D116" s="83"/>
      <c r="E116" s="83"/>
      <c r="F116" s="83" t="e">
        <f>#REF!</f>
        <v>#REF!</v>
      </c>
      <c r="G116" s="83">
        <f>'RESUMO GERAL'!G136</f>
        <v>72510315.67007421</v>
      </c>
      <c r="H116" s="904">
        <f>[2]RESUMO!$G$77</f>
        <v>402654.52450778958</v>
      </c>
      <c r="I116" s="83">
        <f t="shared" si="12"/>
        <v>72107661.145566419</v>
      </c>
      <c r="J116" s="569">
        <f t="shared" si="11"/>
        <v>72107661.145566419</v>
      </c>
      <c r="K116" s="83">
        <f t="shared" si="13"/>
        <v>402654.52450778958</v>
      </c>
    </row>
    <row r="117" spans="1:12" s="98" customFormat="1">
      <c r="A117" s="81" t="s">
        <v>1152</v>
      </c>
      <c r="B117" s="511" t="s">
        <v>1439</v>
      </c>
      <c r="C117" s="512"/>
      <c r="D117" s="82"/>
      <c r="E117" s="83"/>
      <c r="F117" s="82" t="e">
        <f>#REF!</f>
        <v>#REF!</v>
      </c>
      <c r="G117" s="83">
        <f>'RESUMO GERAL'!G137</f>
        <v>2497909.4745125244</v>
      </c>
      <c r="H117" s="82"/>
      <c r="I117" s="82">
        <f t="shared" si="12"/>
        <v>2497909.4745125244</v>
      </c>
      <c r="J117" s="569">
        <f t="shared" si="11"/>
        <v>2497909.4745125244</v>
      </c>
      <c r="K117" s="82">
        <f t="shared" si="13"/>
        <v>0</v>
      </c>
    </row>
    <row r="118" spans="1:12" s="120" customFormat="1">
      <c r="A118" s="91" t="s">
        <v>3372</v>
      </c>
      <c r="B118" s="103" t="s">
        <v>3148</v>
      </c>
      <c r="C118" s="85" t="s">
        <v>3219</v>
      </c>
      <c r="D118" s="64"/>
      <c r="E118" s="64"/>
      <c r="F118" s="64"/>
      <c r="G118" s="64">
        <f>RECUP.!I64</f>
        <v>436562.55300000001</v>
      </c>
      <c r="H118" s="64">
        <f>G118</f>
        <v>436562.55300000001</v>
      </c>
      <c r="I118" s="64">
        <f t="shared" si="12"/>
        <v>0</v>
      </c>
      <c r="J118" s="579"/>
      <c r="K118" s="570">
        <f t="shared" si="13"/>
        <v>436562.55300000001</v>
      </c>
      <c r="L118" s="98"/>
    </row>
    <row r="119" spans="1:12" s="98" customFormat="1">
      <c r="A119" s="99"/>
      <c r="B119" s="100"/>
      <c r="C119" s="183"/>
      <c r="D119" s="20"/>
      <c r="E119" s="20"/>
      <c r="F119" s="19"/>
      <c r="G119" s="19"/>
      <c r="H119" s="19"/>
      <c r="I119" s="19"/>
      <c r="J119" s="114"/>
      <c r="K119" s="210"/>
    </row>
    <row r="120" spans="1:12" s="98" customFormat="1">
      <c r="A120" s="74" t="s">
        <v>1199</v>
      </c>
      <c r="B120" s="101" t="s">
        <v>1442</v>
      </c>
      <c r="C120" s="75"/>
      <c r="D120" s="75"/>
      <c r="E120" s="75"/>
      <c r="F120" s="75" t="e">
        <f>#REF!</f>
        <v>#REF!</v>
      </c>
      <c r="G120" s="75">
        <f>G121+G124+G126</f>
        <v>1062987.428900813</v>
      </c>
      <c r="H120" s="75">
        <f>H121+H124+H126</f>
        <v>191195.29832969996</v>
      </c>
      <c r="I120" s="75">
        <f>I121+I124+I126</f>
        <v>681416.21046062582</v>
      </c>
      <c r="J120" s="580">
        <f>J121+J124+J126</f>
        <v>681416.21046062582</v>
      </c>
      <c r="K120" s="75">
        <f>K121+K124+K126</f>
        <v>191195.29832969996</v>
      </c>
    </row>
    <row r="121" spans="1:12" s="98" customFormat="1" ht="12.75" customHeight="1">
      <c r="A121" s="91" t="s">
        <v>1200</v>
      </c>
      <c r="B121" s="102" t="s">
        <v>3408</v>
      </c>
      <c r="C121" s="85"/>
      <c r="D121" s="63"/>
      <c r="E121" s="63"/>
      <c r="F121" s="63" t="e">
        <f>#REF!</f>
        <v>#REF!</v>
      </c>
      <c r="G121" s="64">
        <f>SUM(G122:G123)</f>
        <v>872611.50879032572</v>
      </c>
      <c r="H121" s="63">
        <f>SUM(H122:H123)</f>
        <v>191195.29832969996</v>
      </c>
      <c r="I121" s="63">
        <f>SUM(I122:I123)</f>
        <v>681416.21046062582</v>
      </c>
      <c r="J121" s="580">
        <f>SUM(J122:J123)</f>
        <v>681416.21046062582</v>
      </c>
      <c r="K121" s="63">
        <f>SUM(K122:K123)</f>
        <v>191195.29832969996</v>
      </c>
    </row>
    <row r="122" spans="1:12" s="98" customFormat="1">
      <c r="A122" s="513"/>
      <c r="B122" s="510" t="s">
        <v>1407</v>
      </c>
      <c r="C122" s="83"/>
      <c r="D122" s="83"/>
      <c r="E122" s="83"/>
      <c r="F122" s="83" t="e">
        <f>#REF!</f>
        <v>#REF!</v>
      </c>
      <c r="G122" s="83">
        <f>'RESUMO GERAL'!G142</f>
        <v>872611.50879032572</v>
      </c>
      <c r="H122" s="904">
        <f>[2]RESUMO!$G$62</f>
        <v>191195.29832969996</v>
      </c>
      <c r="I122" s="515">
        <f>G122-H122</f>
        <v>681416.21046062582</v>
      </c>
      <c r="J122" s="569">
        <f>I122</f>
        <v>681416.21046062582</v>
      </c>
      <c r="K122" s="83">
        <f>H122</f>
        <v>191195.29832969996</v>
      </c>
    </row>
    <row r="123" spans="1:12" s="98" customFormat="1">
      <c r="A123" s="513"/>
      <c r="B123" s="510" t="s">
        <v>1546</v>
      </c>
      <c r="C123" s="83"/>
      <c r="D123" s="83"/>
      <c r="E123" s="83">
        <v>6401.4313453614677</v>
      </c>
      <c r="F123" s="83" t="e">
        <f>#REF!</f>
        <v>#REF!</v>
      </c>
      <c r="G123" s="83">
        <v>0</v>
      </c>
      <c r="H123" s="82"/>
      <c r="I123" s="82">
        <f>G123-H123</f>
        <v>0</v>
      </c>
      <c r="J123" s="569">
        <f>I123</f>
        <v>0</v>
      </c>
      <c r="K123" s="83">
        <f>H123</f>
        <v>0</v>
      </c>
    </row>
    <row r="124" spans="1:12" s="98" customFormat="1">
      <c r="A124" s="91" t="s">
        <v>1201</v>
      </c>
      <c r="B124" s="102" t="s">
        <v>3366</v>
      </c>
      <c r="C124" s="85"/>
      <c r="D124" s="63"/>
      <c r="E124" s="63"/>
      <c r="F124" s="63" t="e">
        <f>#REF!</f>
        <v>#REF!</v>
      </c>
      <c r="G124" s="64">
        <f>SUM(G125)</f>
        <v>45423.660285335391</v>
      </c>
      <c r="H124" s="63">
        <f>H125</f>
        <v>0</v>
      </c>
      <c r="I124" s="63">
        <f>I125</f>
        <v>0</v>
      </c>
      <c r="J124" s="569">
        <f>J125</f>
        <v>0</v>
      </c>
      <c r="K124" s="63">
        <f>K125</f>
        <v>0</v>
      </c>
      <c r="L124" s="906"/>
    </row>
    <row r="125" spans="1:12" s="98" customFormat="1">
      <c r="A125" s="81"/>
      <c r="B125" s="508" t="s">
        <v>1407</v>
      </c>
      <c r="C125" s="81"/>
      <c r="D125" s="83"/>
      <c r="E125" s="83"/>
      <c r="F125" s="83" t="e">
        <f>#REF!</f>
        <v>#REF!</v>
      </c>
      <c r="G125" s="82">
        <f>'RESUMO GERAL'!G145</f>
        <v>45423.660285335391</v>
      </c>
      <c r="H125" s="904"/>
      <c r="I125" s="83">
        <v>0</v>
      </c>
      <c r="J125" s="569">
        <f>I125</f>
        <v>0</v>
      </c>
      <c r="K125" s="83">
        <f>H125</f>
        <v>0</v>
      </c>
      <c r="L125" s="906"/>
    </row>
    <row r="126" spans="1:12" s="98" customFormat="1">
      <c r="A126" s="91" t="s">
        <v>1202</v>
      </c>
      <c r="B126" s="103" t="s">
        <v>3409</v>
      </c>
      <c r="C126" s="85"/>
      <c r="D126" s="64"/>
      <c r="E126" s="64"/>
      <c r="F126" s="64" t="e">
        <f>#REF!</f>
        <v>#REF!</v>
      </c>
      <c r="G126" s="64">
        <f>'RESUMO GERAL'!G146</f>
        <v>144952.25982515197</v>
      </c>
      <c r="H126" s="64"/>
      <c r="I126" s="64">
        <v>0</v>
      </c>
      <c r="J126" s="569">
        <f>I126</f>
        <v>0</v>
      </c>
      <c r="K126" s="64">
        <f>H126</f>
        <v>0</v>
      </c>
      <c r="L126" s="906"/>
    </row>
    <row r="127" spans="1:12" s="98" customFormat="1">
      <c r="A127" s="99"/>
      <c r="B127" s="100"/>
      <c r="C127" s="99"/>
      <c r="D127" s="20"/>
      <c r="E127" s="20"/>
      <c r="F127" s="19"/>
      <c r="G127" s="19"/>
      <c r="H127" s="19"/>
      <c r="I127" s="19"/>
      <c r="J127" s="114"/>
      <c r="K127" s="210"/>
    </row>
    <row r="128" spans="1:12" s="98" customFormat="1">
      <c r="A128" s="407" t="s">
        <v>1203</v>
      </c>
      <c r="B128" s="101" t="s">
        <v>1444</v>
      </c>
      <c r="C128" s="74"/>
      <c r="D128" s="75"/>
      <c r="E128" s="75"/>
      <c r="F128" s="75" t="e">
        <f t="shared" ref="F128:K128" si="14">F129</f>
        <v>#REF!</v>
      </c>
      <c r="G128" s="75">
        <f t="shared" si="14"/>
        <v>30726431.839889351</v>
      </c>
      <c r="H128" s="75">
        <f t="shared" si="14"/>
        <v>30726431.839889351</v>
      </c>
      <c r="I128" s="75">
        <f t="shared" si="14"/>
        <v>0</v>
      </c>
      <c r="J128" s="75">
        <f t="shared" si="14"/>
        <v>0</v>
      </c>
      <c r="K128" s="75">
        <f t="shared" si="14"/>
        <v>30726431.839889351</v>
      </c>
    </row>
    <row r="129" spans="1:12" s="120" customFormat="1">
      <c r="A129" s="91" t="s">
        <v>1204</v>
      </c>
      <c r="B129" s="102" t="s">
        <v>1400</v>
      </c>
      <c r="C129" s="85"/>
      <c r="D129" s="64"/>
      <c r="E129" s="64"/>
      <c r="F129" s="64" t="e">
        <f t="shared" ref="F129:K129" si="15">SUM(F130:F131)</f>
        <v>#REF!</v>
      </c>
      <c r="G129" s="64">
        <f>SUM(G130:G131)</f>
        <v>30726431.839889351</v>
      </c>
      <c r="H129" s="64">
        <f t="shared" si="15"/>
        <v>30726431.839889351</v>
      </c>
      <c r="I129" s="64">
        <f t="shared" si="15"/>
        <v>0</v>
      </c>
      <c r="J129" s="64">
        <f t="shared" si="15"/>
        <v>0</v>
      </c>
      <c r="K129" s="64">
        <f t="shared" si="15"/>
        <v>30726431.839889351</v>
      </c>
      <c r="L129" s="98"/>
    </row>
    <row r="130" spans="1:12" s="98" customFormat="1">
      <c r="A130" s="81"/>
      <c r="B130" s="100" t="s">
        <v>1576</v>
      </c>
      <c r="C130" s="81"/>
      <c r="D130" s="83"/>
      <c r="E130" s="83"/>
      <c r="F130" s="83" t="e">
        <f>#REF!</f>
        <v>#REF!</v>
      </c>
      <c r="G130" s="83">
        <f>'RESUMO GERAL'!G150</f>
        <v>30726431.839889351</v>
      </c>
      <c r="H130" s="83">
        <f>G130</f>
        <v>30726431.839889351</v>
      </c>
      <c r="I130" s="83">
        <f>G130-H130</f>
        <v>0</v>
      </c>
      <c r="J130" s="83">
        <f>I130</f>
        <v>0</v>
      </c>
      <c r="K130" s="83">
        <f>H130</f>
        <v>30726431.839889351</v>
      </c>
    </row>
    <row r="131" spans="1:12" s="98" customFormat="1" ht="31.5">
      <c r="A131" s="81"/>
      <c r="B131" s="100" t="s">
        <v>2566</v>
      </c>
      <c r="C131" s="81"/>
      <c r="D131" s="83"/>
      <c r="E131" s="83"/>
      <c r="F131" s="83" t="e">
        <f>#REF!</f>
        <v>#REF!</v>
      </c>
      <c r="G131" s="83">
        <v>0</v>
      </c>
      <c r="H131" s="83">
        <v>0</v>
      </c>
      <c r="I131" s="83">
        <v>0</v>
      </c>
      <c r="J131" s="83">
        <f>I131</f>
        <v>0</v>
      </c>
      <c r="K131" s="83">
        <f>H131</f>
        <v>0</v>
      </c>
    </row>
    <row r="132" spans="1:12" s="98" customFormat="1">
      <c r="A132" s="99"/>
      <c r="B132" s="100"/>
      <c r="C132" s="99"/>
      <c r="D132" s="20"/>
      <c r="E132" s="20"/>
      <c r="F132" s="19"/>
      <c r="G132" s="19"/>
      <c r="H132" s="19"/>
      <c r="I132" s="19"/>
      <c r="J132" s="114"/>
      <c r="K132" s="210"/>
    </row>
    <row r="133" spans="1:12" s="98" customFormat="1">
      <c r="A133" s="74" t="s">
        <v>1205</v>
      </c>
      <c r="B133" s="101" t="s">
        <v>3228</v>
      </c>
      <c r="C133" s="74"/>
      <c r="D133" s="75"/>
      <c r="E133" s="75"/>
      <c r="F133" s="75" t="e">
        <f>#REF!</f>
        <v>#REF!</v>
      </c>
      <c r="G133" s="75">
        <f>G134+G135</f>
        <v>65126930.552697897</v>
      </c>
      <c r="H133" s="75">
        <f t="shared" ref="H133:I133" si="16">H134+H135</f>
        <v>65126930.552697897</v>
      </c>
      <c r="I133" s="75">
        <f t="shared" si="16"/>
        <v>0</v>
      </c>
      <c r="J133" s="75">
        <f>J134+J135</f>
        <v>0</v>
      </c>
      <c r="K133" s="75">
        <f>K134+K135</f>
        <v>65126930.552697897</v>
      </c>
    </row>
    <row r="134" spans="1:12" s="98" customFormat="1">
      <c r="A134" s="91" t="s">
        <v>1206</v>
      </c>
      <c r="B134" s="103" t="s">
        <v>1407</v>
      </c>
      <c r="C134" s="85"/>
      <c r="D134" s="64"/>
      <c r="E134" s="64"/>
      <c r="F134" s="64" t="e">
        <f>#REF!</f>
        <v>#REF!</v>
      </c>
      <c r="G134" s="64">
        <f>'RESUMO GERAL'!G153</f>
        <v>13370309.292821672</v>
      </c>
      <c r="H134" s="519">
        <f>G134</f>
        <v>13370309.292821672</v>
      </c>
      <c r="I134" s="64">
        <f t="shared" ref="I134:I147" si="17">G134-H134</f>
        <v>0</v>
      </c>
      <c r="J134" s="64">
        <f>I134</f>
        <v>0</v>
      </c>
      <c r="K134" s="83">
        <f>H134</f>
        <v>13370309.292821672</v>
      </c>
    </row>
    <row r="135" spans="1:12" s="98" customFormat="1">
      <c r="A135" s="91" t="s">
        <v>1215</v>
      </c>
      <c r="B135" s="103" t="s">
        <v>3410</v>
      </c>
      <c r="C135" s="85"/>
      <c r="D135" s="64"/>
      <c r="E135" s="64"/>
      <c r="F135" s="64" t="e">
        <f>#REF!</f>
        <v>#REF!</v>
      </c>
      <c r="G135" s="64">
        <f>SUM(G136:G147)</f>
        <v>51756621.259876229</v>
      </c>
      <c r="H135" s="64">
        <f>SUM(H136:H147)</f>
        <v>51756621.259876229</v>
      </c>
      <c r="I135" s="64">
        <f>SUM(I136:I147)</f>
        <v>0</v>
      </c>
      <c r="J135" s="64">
        <f>SUM(J136:J147)</f>
        <v>0</v>
      </c>
      <c r="K135" s="64">
        <f>SUM(K136:K147)</f>
        <v>51756621.259876229</v>
      </c>
    </row>
    <row r="136" spans="1:12" s="98" customFormat="1">
      <c r="A136" s="81" t="s">
        <v>1216</v>
      </c>
      <c r="B136" s="510" t="s">
        <v>1445</v>
      </c>
      <c r="C136" s="510"/>
      <c r="D136" s="83"/>
      <c r="E136" s="82"/>
      <c r="F136" s="83" t="e">
        <f>#REF!</f>
        <v>#REF!</v>
      </c>
      <c r="G136" s="83">
        <f>'RESUMO GERAL'!G155</f>
        <v>15122265.250473969</v>
      </c>
      <c r="H136" s="515">
        <f>G136</f>
        <v>15122265.250473969</v>
      </c>
      <c r="I136" s="83">
        <f t="shared" si="17"/>
        <v>0</v>
      </c>
      <c r="J136" s="83">
        <f t="shared" ref="J136:J147" si="18">I136</f>
        <v>0</v>
      </c>
      <c r="K136" s="83">
        <f t="shared" ref="K136:K147" si="19">H136</f>
        <v>15122265.250473969</v>
      </c>
    </row>
    <row r="137" spans="1:12" s="98" customFormat="1">
      <c r="A137" s="81" t="s">
        <v>1262</v>
      </c>
      <c r="B137" s="508" t="s">
        <v>1446</v>
      </c>
      <c r="C137" s="510"/>
      <c r="D137" s="83"/>
      <c r="E137" s="82"/>
      <c r="F137" s="83" t="e">
        <f>#REF!</f>
        <v>#REF!</v>
      </c>
      <c r="G137" s="83">
        <f>'RESUMO GERAL'!G156</f>
        <v>0</v>
      </c>
      <c r="H137" s="515">
        <f t="shared" ref="H137:H147" si="20">G137</f>
        <v>0</v>
      </c>
      <c r="I137" s="83">
        <f t="shared" si="17"/>
        <v>0</v>
      </c>
      <c r="J137" s="83">
        <f t="shared" si="18"/>
        <v>0</v>
      </c>
      <c r="K137" s="83">
        <f t="shared" si="19"/>
        <v>0</v>
      </c>
    </row>
    <row r="138" spans="1:12" s="98" customFormat="1">
      <c r="A138" s="81" t="s">
        <v>1284</v>
      </c>
      <c r="B138" s="508" t="s">
        <v>1447</v>
      </c>
      <c r="C138" s="510"/>
      <c r="D138" s="83"/>
      <c r="E138" s="82"/>
      <c r="F138" s="83" t="e">
        <f>#REF!</f>
        <v>#REF!</v>
      </c>
      <c r="G138" s="83">
        <f>'RESUMO GERAL'!G157</f>
        <v>8203206.7370531028</v>
      </c>
      <c r="H138" s="515">
        <f t="shared" si="20"/>
        <v>8203206.7370531028</v>
      </c>
      <c r="I138" s="83">
        <f t="shared" si="17"/>
        <v>0</v>
      </c>
      <c r="J138" s="83">
        <f t="shared" si="18"/>
        <v>0</v>
      </c>
      <c r="K138" s="83">
        <f t="shared" si="19"/>
        <v>8203206.7370531028</v>
      </c>
    </row>
    <row r="139" spans="1:12" s="98" customFormat="1">
      <c r="A139" s="81" t="s">
        <v>1297</v>
      </c>
      <c r="B139" s="508" t="s">
        <v>1448</v>
      </c>
      <c r="C139" s="510"/>
      <c r="D139" s="83"/>
      <c r="E139" s="82"/>
      <c r="F139" s="83" t="e">
        <f>#REF!</f>
        <v>#REF!</v>
      </c>
      <c r="G139" s="83">
        <f>'RESUMO GERAL'!G158</f>
        <v>289000.10830679035</v>
      </c>
      <c r="H139" s="515">
        <f t="shared" si="20"/>
        <v>289000.10830679035</v>
      </c>
      <c r="I139" s="83">
        <f t="shared" si="17"/>
        <v>0</v>
      </c>
      <c r="J139" s="83">
        <f t="shared" si="18"/>
        <v>0</v>
      </c>
      <c r="K139" s="83">
        <f t="shared" si="19"/>
        <v>289000.10830679035</v>
      </c>
    </row>
    <row r="140" spans="1:12" s="98" customFormat="1">
      <c r="A140" s="81" t="s">
        <v>1302</v>
      </c>
      <c r="B140" s="508" t="s">
        <v>1449</v>
      </c>
      <c r="C140" s="510"/>
      <c r="D140" s="82"/>
      <c r="E140" s="83"/>
      <c r="F140" s="82" t="e">
        <f>#REF!</f>
        <v>#REF!</v>
      </c>
      <c r="G140" s="83">
        <f>'RESUMO GERAL'!G159</f>
        <v>34126.004944844797</v>
      </c>
      <c r="H140" s="515">
        <f t="shared" si="20"/>
        <v>34126.004944844797</v>
      </c>
      <c r="I140" s="83">
        <f t="shared" si="17"/>
        <v>0</v>
      </c>
      <c r="J140" s="83">
        <f t="shared" si="18"/>
        <v>0</v>
      </c>
      <c r="K140" s="83">
        <f t="shared" si="19"/>
        <v>34126.004944844797</v>
      </c>
    </row>
    <row r="141" spans="1:12" s="98" customFormat="1">
      <c r="A141" s="81" t="s">
        <v>1305</v>
      </c>
      <c r="B141" s="508" t="s">
        <v>1450</v>
      </c>
      <c r="C141" s="510"/>
      <c r="D141" s="82"/>
      <c r="E141" s="83"/>
      <c r="F141" s="82" t="e">
        <f>#REF!</f>
        <v>#REF!</v>
      </c>
      <c r="G141" s="83">
        <f>'RESUMO GERAL'!G160</f>
        <v>1413884.9156618367</v>
      </c>
      <c r="H141" s="515">
        <f t="shared" si="20"/>
        <v>1413884.9156618367</v>
      </c>
      <c r="I141" s="83">
        <f t="shared" si="17"/>
        <v>0</v>
      </c>
      <c r="J141" s="83">
        <f t="shared" si="18"/>
        <v>0</v>
      </c>
      <c r="K141" s="83">
        <f t="shared" si="19"/>
        <v>1413884.9156618367</v>
      </c>
    </row>
    <row r="142" spans="1:12" s="98" customFormat="1">
      <c r="A142" s="81" t="s">
        <v>1320</v>
      </c>
      <c r="B142" s="508" t="s">
        <v>1451</v>
      </c>
      <c r="C142" s="510"/>
      <c r="D142" s="82"/>
      <c r="E142" s="83"/>
      <c r="F142" s="82" t="e">
        <f>#REF!</f>
        <v>#REF!</v>
      </c>
      <c r="G142" s="83">
        <f>'RESUMO GERAL'!G161</f>
        <v>660051.31458722567</v>
      </c>
      <c r="H142" s="515">
        <f t="shared" si="20"/>
        <v>660051.31458722567</v>
      </c>
      <c r="I142" s="83">
        <f t="shared" si="17"/>
        <v>0</v>
      </c>
      <c r="J142" s="83">
        <f t="shared" si="18"/>
        <v>0</v>
      </c>
      <c r="K142" s="83">
        <f t="shared" si="19"/>
        <v>660051.31458722567</v>
      </c>
    </row>
    <row r="143" spans="1:12" s="98" customFormat="1" ht="31.5">
      <c r="A143" s="81" t="s">
        <v>1333</v>
      </c>
      <c r="B143" s="508" t="s">
        <v>1452</v>
      </c>
      <c r="C143" s="510"/>
      <c r="D143" s="82"/>
      <c r="E143" s="83"/>
      <c r="F143" s="82" t="e">
        <f>#REF!</f>
        <v>#REF!</v>
      </c>
      <c r="G143" s="83">
        <f>'RESUMO GERAL'!G162</f>
        <v>5351313.9773039231</v>
      </c>
      <c r="H143" s="515">
        <f t="shared" si="20"/>
        <v>5351313.9773039231</v>
      </c>
      <c r="I143" s="83">
        <f t="shared" si="17"/>
        <v>0</v>
      </c>
      <c r="J143" s="83">
        <f t="shared" si="18"/>
        <v>0</v>
      </c>
      <c r="K143" s="83">
        <f t="shared" si="19"/>
        <v>5351313.9773039231</v>
      </c>
    </row>
    <row r="144" spans="1:12" s="98" customFormat="1" ht="31.5">
      <c r="A144" s="81" t="s">
        <v>1352</v>
      </c>
      <c r="B144" s="508" t="s">
        <v>1453</v>
      </c>
      <c r="C144" s="510"/>
      <c r="D144" s="82"/>
      <c r="E144" s="83"/>
      <c r="F144" s="82" t="e">
        <f>#REF!</f>
        <v>#REF!</v>
      </c>
      <c r="G144" s="83">
        <f>'RESUMO GERAL'!G163</f>
        <v>5108787.5532295676</v>
      </c>
      <c r="H144" s="515">
        <f t="shared" si="20"/>
        <v>5108787.5532295676</v>
      </c>
      <c r="I144" s="515">
        <f t="shared" si="17"/>
        <v>0</v>
      </c>
      <c r="J144" s="515">
        <f t="shared" si="18"/>
        <v>0</v>
      </c>
      <c r="K144" s="83">
        <f t="shared" si="19"/>
        <v>5108787.5532295676</v>
      </c>
    </row>
    <row r="145" spans="1:13" s="98" customFormat="1" ht="31.5">
      <c r="A145" s="81" t="s">
        <v>1361</v>
      </c>
      <c r="B145" s="508" t="s">
        <v>1454</v>
      </c>
      <c r="C145" s="510"/>
      <c r="D145" s="82"/>
      <c r="E145" s="83"/>
      <c r="F145" s="82" t="e">
        <f>#REF!</f>
        <v>#REF!</v>
      </c>
      <c r="G145" s="83">
        <f>'RESUMO GERAL'!G164</f>
        <v>15267687.40768311</v>
      </c>
      <c r="H145" s="515">
        <f t="shared" si="20"/>
        <v>15267687.40768311</v>
      </c>
      <c r="I145" s="515">
        <f t="shared" si="17"/>
        <v>0</v>
      </c>
      <c r="J145" s="515">
        <f t="shared" si="18"/>
        <v>0</v>
      </c>
      <c r="K145" s="83">
        <f t="shared" si="19"/>
        <v>15267687.40768311</v>
      </c>
    </row>
    <row r="146" spans="1:13" s="98" customFormat="1">
      <c r="A146" s="81" t="s">
        <v>1371</v>
      </c>
      <c r="B146" s="508" t="s">
        <v>1455</v>
      </c>
      <c r="C146" s="510"/>
      <c r="D146" s="82"/>
      <c r="E146" s="83"/>
      <c r="F146" s="82" t="e">
        <f>#REF!</f>
        <v>#REF!</v>
      </c>
      <c r="G146" s="83">
        <f>'RESUMO GERAL'!G165</f>
        <v>127763.14366865918</v>
      </c>
      <c r="H146" s="515">
        <f t="shared" si="20"/>
        <v>127763.14366865918</v>
      </c>
      <c r="I146" s="515">
        <f t="shared" si="17"/>
        <v>0</v>
      </c>
      <c r="J146" s="515">
        <f t="shared" si="18"/>
        <v>0</v>
      </c>
      <c r="K146" s="83">
        <f t="shared" si="19"/>
        <v>127763.14366865918</v>
      </c>
    </row>
    <row r="147" spans="1:13" s="98" customFormat="1">
      <c r="A147" s="81"/>
      <c r="B147" s="508" t="s">
        <v>1456</v>
      </c>
      <c r="C147" s="510"/>
      <c r="D147" s="82"/>
      <c r="E147" s="83"/>
      <c r="F147" s="82" t="e">
        <f>#REF!</f>
        <v>#REF!</v>
      </c>
      <c r="G147" s="83">
        <f>'RESUMO GERAL'!G166</f>
        <v>178534.84696319999</v>
      </c>
      <c r="H147" s="515">
        <f t="shared" si="20"/>
        <v>178534.84696319999</v>
      </c>
      <c r="I147" s="515">
        <f t="shared" si="17"/>
        <v>0</v>
      </c>
      <c r="J147" s="515">
        <f t="shared" si="18"/>
        <v>0</v>
      </c>
      <c r="K147" s="83">
        <f t="shared" si="19"/>
        <v>178534.84696319999</v>
      </c>
    </row>
    <row r="148" spans="1:13" s="98" customFormat="1">
      <c r="A148" s="99"/>
      <c r="B148" s="100"/>
      <c r="C148" s="183"/>
      <c r="D148" s="20"/>
      <c r="E148" s="20"/>
      <c r="F148" s="19"/>
      <c r="G148" s="19"/>
      <c r="H148" s="19"/>
      <c r="I148" s="19"/>
      <c r="J148" s="210"/>
      <c r="K148" s="210"/>
    </row>
    <row r="149" spans="1:13" s="98" customFormat="1">
      <c r="A149" s="74" t="s">
        <v>1379</v>
      </c>
      <c r="B149" s="101" t="s">
        <v>1457</v>
      </c>
      <c r="C149" s="74"/>
      <c r="D149" s="75"/>
      <c r="E149" s="75"/>
      <c r="F149" s="75" t="e">
        <f>#REF!</f>
        <v>#REF!</v>
      </c>
      <c r="G149" s="75">
        <f>SUM(G150:G151)</f>
        <v>11410546.450620295</v>
      </c>
      <c r="H149" s="75">
        <f>SUM(H150:H152)</f>
        <v>2649421.6387969898</v>
      </c>
      <c r="I149" s="75">
        <f>SUM(I150:I152)</f>
        <v>10183107.552823305</v>
      </c>
      <c r="J149" s="579">
        <f>SUM(J150:J152)</f>
        <v>10183107.552823305</v>
      </c>
      <c r="K149" s="75">
        <f>SUM(K150:K152)</f>
        <v>2649421.6387969898</v>
      </c>
    </row>
    <row r="150" spans="1:13" s="98" customFormat="1">
      <c r="A150" s="85" t="s">
        <v>1380</v>
      </c>
      <c r="B150" s="116" t="s">
        <v>1458</v>
      </c>
      <c r="C150" s="85"/>
      <c r="D150" s="62"/>
      <c r="E150" s="62"/>
      <c r="F150" s="62" t="e">
        <f>#REF!</f>
        <v>#REF!</v>
      </c>
      <c r="G150" s="62">
        <f>'RESUMO GERAL'!G169</f>
        <v>4111788.2767932564</v>
      </c>
      <c r="H150" s="904">
        <f>'RESUMO GERAL'!H169</f>
        <v>969699.27282156958</v>
      </c>
      <c r="I150" s="62">
        <f>G150-H150</f>
        <v>3142089.0039716866</v>
      </c>
      <c r="J150" s="915">
        <f>I150</f>
        <v>3142089.0039716866</v>
      </c>
      <c r="K150" s="572">
        <f>H150</f>
        <v>969699.27282156958</v>
      </c>
    </row>
    <row r="151" spans="1:13" s="98" customFormat="1">
      <c r="A151" s="85" t="s">
        <v>1381</v>
      </c>
      <c r="B151" s="116" t="s">
        <v>1459</v>
      </c>
      <c r="C151" s="85"/>
      <c r="D151" s="62"/>
      <c r="E151" s="62">
        <v>0</v>
      </c>
      <c r="F151" s="62" t="e">
        <f>#REF!</f>
        <v>#REF!</v>
      </c>
      <c r="G151" s="62">
        <f>'RESUMO GERAL'!G170</f>
        <v>7298758.1738270391</v>
      </c>
      <c r="H151" s="904">
        <f>'RESUMO GERAL'!H170</f>
        <v>257739.62497542001</v>
      </c>
      <c r="I151" s="62">
        <f>G151-H151</f>
        <v>7041018.5488516195</v>
      </c>
      <c r="J151" s="915">
        <f>I151</f>
        <v>7041018.5488516195</v>
      </c>
      <c r="K151" s="572">
        <f>H151</f>
        <v>257739.62497542001</v>
      </c>
    </row>
    <row r="152" spans="1:13" s="98" customFormat="1">
      <c r="A152" s="522"/>
      <c r="B152" s="437" t="s">
        <v>3148</v>
      </c>
      <c r="C152" s="438" t="s">
        <v>3219</v>
      </c>
      <c r="D152" s="246"/>
      <c r="E152" s="246"/>
      <c r="F152" s="383"/>
      <c r="G152" s="490">
        <f>RECUP.!I72</f>
        <v>1421982.7409999999</v>
      </c>
      <c r="H152" s="383">
        <f>G152</f>
        <v>1421982.7409999999</v>
      </c>
      <c r="I152" s="383">
        <f>G152-H152</f>
        <v>0</v>
      </c>
      <c r="J152" s="114"/>
      <c r="K152" s="572">
        <f>H152</f>
        <v>1421982.7409999999</v>
      </c>
    </row>
    <row r="153" spans="1:13" s="98" customFormat="1">
      <c r="A153" s="99"/>
      <c r="B153" s="100"/>
      <c r="C153" s="99"/>
      <c r="D153" s="20"/>
      <c r="E153" s="20"/>
      <c r="F153" s="19"/>
      <c r="G153" s="19"/>
      <c r="H153" s="19"/>
      <c r="I153" s="19"/>
      <c r="J153" s="114"/>
      <c r="K153" s="210"/>
    </row>
    <row r="154" spans="1:13" s="98" customFormat="1">
      <c r="A154" s="74" t="s">
        <v>1382</v>
      </c>
      <c r="B154" s="101" t="s">
        <v>1460</v>
      </c>
      <c r="C154" s="74"/>
      <c r="D154" s="75"/>
      <c r="E154" s="75"/>
      <c r="F154" s="75" t="e">
        <f>#REF!</f>
        <v>#REF!</v>
      </c>
      <c r="G154" s="75">
        <f>SUM(G155)</f>
        <v>3909619.6234998936</v>
      </c>
      <c r="H154" s="75">
        <f>SUM(H155:H156)</f>
        <v>884716.14496651117</v>
      </c>
      <c r="I154" s="75">
        <f>SUM(I155:I156)</f>
        <v>3755728.7451333823</v>
      </c>
      <c r="J154" s="579">
        <f>SUM(J155:J156)</f>
        <v>3755728.7451333823</v>
      </c>
      <c r="K154" s="75">
        <f>SUM(K155:K156)</f>
        <v>884716.14496651117</v>
      </c>
    </row>
    <row r="155" spans="1:13" s="98" customFormat="1">
      <c r="A155" s="85" t="s">
        <v>1383</v>
      </c>
      <c r="B155" s="116" t="s">
        <v>1400</v>
      </c>
      <c r="C155" s="85"/>
      <c r="D155" s="62"/>
      <c r="E155" s="62"/>
      <c r="F155" s="62" t="e">
        <f>#REF!</f>
        <v>#REF!</v>
      </c>
      <c r="G155" s="62">
        <f>'RESUMO GERAL'!G174</f>
        <v>3909619.6234998936</v>
      </c>
      <c r="H155" s="62">
        <f>'RESUMO GERAL'!H174</f>
        <v>153890.87836651117</v>
      </c>
      <c r="I155" s="62">
        <f>G155-H155</f>
        <v>3755728.7451333823</v>
      </c>
      <c r="J155" s="915">
        <f t="shared" ref="J155:J156" si="21">I155</f>
        <v>3755728.7451333823</v>
      </c>
      <c r="K155" s="572">
        <f>H155</f>
        <v>153890.87836651117</v>
      </c>
    </row>
    <row r="156" spans="1:13" s="98" customFormat="1">
      <c r="A156" s="522"/>
      <c r="B156" s="437" t="s">
        <v>3148</v>
      </c>
      <c r="C156" s="438" t="s">
        <v>3219</v>
      </c>
      <c r="D156" s="246"/>
      <c r="E156" s="246"/>
      <c r="F156" s="383"/>
      <c r="G156" s="490">
        <f>RECUP.!I68</f>
        <v>730825.26659999997</v>
      </c>
      <c r="H156" s="904">
        <f>G156</f>
        <v>730825.26659999997</v>
      </c>
      <c r="I156" s="383">
        <f>G156-H156</f>
        <v>0</v>
      </c>
      <c r="J156" s="915">
        <f t="shared" si="21"/>
        <v>0</v>
      </c>
      <c r="K156" s="572">
        <f>H156</f>
        <v>730825.26659999997</v>
      </c>
    </row>
    <row r="157" spans="1:13" s="98" customFormat="1">
      <c r="A157" s="99"/>
      <c r="B157" s="100"/>
      <c r="C157" s="99"/>
      <c r="D157" s="20"/>
      <c r="E157" s="20"/>
      <c r="F157" s="19"/>
      <c r="G157" s="19"/>
      <c r="H157" s="19"/>
      <c r="I157" s="19"/>
      <c r="J157" s="114"/>
      <c r="K157" s="210"/>
    </row>
    <row r="158" spans="1:13" s="98" customFormat="1">
      <c r="A158" s="74" t="s">
        <v>1384</v>
      </c>
      <c r="B158" s="101" t="s">
        <v>1461</v>
      </c>
      <c r="C158" s="74"/>
      <c r="D158" s="75"/>
      <c r="E158" s="75"/>
      <c r="F158" s="216" t="e">
        <f>#REF!</f>
        <v>#REF!</v>
      </c>
      <c r="G158" s="75">
        <f>'RESUMO GERAL'!G177</f>
        <v>74401.459999999992</v>
      </c>
      <c r="H158" s="904">
        <f>'RESUMO GERAL'!H177</f>
        <v>21199.589607060025</v>
      </c>
      <c r="I158" s="75">
        <f>G158-H158</f>
        <v>53201.870392939963</v>
      </c>
      <c r="J158" s="580">
        <f>I158</f>
        <v>53201.870392939963</v>
      </c>
      <c r="K158" s="75">
        <f>H158</f>
        <v>21199.589607060025</v>
      </c>
      <c r="L158" s="906"/>
      <c r="M158" s="906" t="s">
        <v>3844</v>
      </c>
    </row>
    <row r="159" spans="1:13" s="98" customFormat="1">
      <c r="A159" s="99"/>
      <c r="B159" s="100"/>
      <c r="C159" s="99"/>
      <c r="D159" s="20"/>
      <c r="E159" s="20"/>
      <c r="F159" s="19"/>
      <c r="G159" s="19"/>
      <c r="H159" s="19"/>
      <c r="I159" s="19"/>
      <c r="J159" s="114"/>
      <c r="K159" s="210"/>
    </row>
    <row r="160" spans="1:13" s="98" customFormat="1">
      <c r="A160" s="74" t="s">
        <v>1385</v>
      </c>
      <c r="B160" s="101" t="s">
        <v>1463</v>
      </c>
      <c r="C160" s="74"/>
      <c r="D160" s="75"/>
      <c r="E160" s="75"/>
      <c r="F160" s="75" t="e">
        <f>#REF!</f>
        <v>#REF!</v>
      </c>
      <c r="G160" s="908">
        <f>G161</f>
        <v>0</v>
      </c>
      <c r="H160" s="75">
        <f>H161</f>
        <v>0</v>
      </c>
      <c r="I160" s="75">
        <f>I161</f>
        <v>0</v>
      </c>
      <c r="J160" s="75">
        <f>J161</f>
        <v>0</v>
      </c>
      <c r="K160" s="75">
        <f>K161</f>
        <v>0</v>
      </c>
    </row>
    <row r="161" spans="1:11" s="98" customFormat="1">
      <c r="A161" s="85" t="s">
        <v>1386</v>
      </c>
      <c r="B161" s="116" t="s">
        <v>1464</v>
      </c>
      <c r="C161" s="85"/>
      <c r="D161" s="54"/>
      <c r="E161" s="62">
        <v>0</v>
      </c>
      <c r="F161" s="54" t="e">
        <f>#REF!</f>
        <v>#REF!</v>
      </c>
      <c r="G161" s="909">
        <f>'RESUMO GERAL'!G180</f>
        <v>0</v>
      </c>
      <c r="H161" s="54">
        <v>0</v>
      </c>
      <c r="I161" s="54">
        <v>0</v>
      </c>
      <c r="J161" s="54">
        <f>I161</f>
        <v>0</v>
      </c>
      <c r="K161" s="83">
        <f>H161</f>
        <v>0</v>
      </c>
    </row>
    <row r="162" spans="1:11" s="98" customFormat="1">
      <c r="A162" s="99"/>
      <c r="B162" s="100"/>
      <c r="C162" s="99"/>
      <c r="D162" s="20"/>
      <c r="E162" s="20"/>
      <c r="F162" s="19"/>
      <c r="G162" s="19"/>
      <c r="H162" s="19"/>
      <c r="I162" s="19"/>
      <c r="J162" s="114"/>
      <c r="K162" s="210"/>
    </row>
    <row r="163" spans="1:11" s="98" customFormat="1">
      <c r="A163" s="74" t="s">
        <v>1387</v>
      </c>
      <c r="B163" s="101" t="s">
        <v>1465</v>
      </c>
      <c r="C163" s="74"/>
      <c r="D163" s="75"/>
      <c r="E163" s="75"/>
      <c r="F163" s="75" t="e">
        <f>#REF!</f>
        <v>#REF!</v>
      </c>
      <c r="G163" s="213">
        <v>0</v>
      </c>
      <c r="H163" s="384">
        <f>G163</f>
        <v>0</v>
      </c>
      <c r="I163" s="213">
        <v>0</v>
      </c>
      <c r="J163" s="213">
        <f>I163</f>
        <v>0</v>
      </c>
      <c r="K163" s="213">
        <f>H163</f>
        <v>0</v>
      </c>
    </row>
    <row r="164" spans="1:11" s="98" customFormat="1">
      <c r="A164" s="99"/>
      <c r="B164" s="100"/>
      <c r="C164" s="99"/>
      <c r="D164" s="20"/>
      <c r="E164" s="20"/>
      <c r="F164" s="19"/>
      <c r="G164" s="19"/>
      <c r="H164" s="19"/>
      <c r="I164" s="19"/>
      <c r="J164" s="19"/>
      <c r="K164" s="210"/>
    </row>
    <row r="165" spans="1:11" s="98" customFormat="1">
      <c r="A165" s="74" t="s">
        <v>1544</v>
      </c>
      <c r="B165" s="101" t="s">
        <v>3234</v>
      </c>
      <c r="C165" s="74"/>
      <c r="D165" s="75"/>
      <c r="E165" s="75"/>
      <c r="F165" s="75" t="e">
        <f>#REF!</f>
        <v>#REF!</v>
      </c>
      <c r="G165" s="75">
        <f>H165</f>
        <v>10869129.7806735</v>
      </c>
      <c r="H165" s="904">
        <f>'RESUMO GERAL'!H184</f>
        <v>10869129.7806735</v>
      </c>
      <c r="I165" s="75">
        <f>G165-H165</f>
        <v>0</v>
      </c>
      <c r="J165" s="75">
        <f>I165</f>
        <v>0</v>
      </c>
      <c r="K165" s="573">
        <f>H165</f>
        <v>10869129.7806735</v>
      </c>
    </row>
    <row r="166" spans="1:11" s="98" customFormat="1">
      <c r="A166" s="99"/>
      <c r="B166" s="100"/>
      <c r="C166" s="99"/>
      <c r="D166" s="20"/>
      <c r="E166" s="20"/>
      <c r="F166" s="19"/>
      <c r="G166" s="19"/>
      <c r="H166" s="19"/>
      <c r="I166" s="19"/>
      <c r="J166" s="19"/>
      <c r="K166" s="210"/>
    </row>
    <row r="167" spans="1:11" s="98" customFormat="1">
      <c r="A167" s="74" t="s">
        <v>3049</v>
      </c>
      <c r="B167" s="101" t="s">
        <v>3235</v>
      </c>
      <c r="C167" s="74"/>
      <c r="D167" s="75"/>
      <c r="E167" s="75"/>
      <c r="F167" s="75" t="e">
        <f>#REF!</f>
        <v>#REF!</v>
      </c>
      <c r="G167" s="75">
        <f>H167</f>
        <v>2271842.1845200001</v>
      </c>
      <c r="H167" s="904">
        <f>'RESUMO GERAL'!H188</f>
        <v>2271842.1845200001</v>
      </c>
      <c r="I167" s="75">
        <f>G167-H167</f>
        <v>0</v>
      </c>
      <c r="J167" s="75">
        <f>I167</f>
        <v>0</v>
      </c>
      <c r="K167" s="573">
        <f>H167</f>
        <v>2271842.1845200001</v>
      </c>
    </row>
    <row r="168" spans="1:11" s="98" customFormat="1">
      <c r="A168" s="181"/>
      <c r="B168" s="100"/>
      <c r="C168" s="181"/>
      <c r="D168" s="20"/>
      <c r="E168" s="20"/>
      <c r="F168" s="19"/>
      <c r="G168" s="19"/>
      <c r="H168" s="19"/>
      <c r="I168" s="19"/>
      <c r="J168" s="19"/>
      <c r="K168" s="210"/>
    </row>
    <row r="169" spans="1:11" s="98" customFormat="1" ht="47.25">
      <c r="A169" s="74" t="s">
        <v>1553</v>
      </c>
      <c r="B169" s="101" t="s">
        <v>3236</v>
      </c>
      <c r="C169" s="74"/>
      <c r="D169" s="75"/>
      <c r="E169" s="75"/>
      <c r="F169" s="75" t="e">
        <f>#REF!</f>
        <v>#REF!</v>
      </c>
      <c r="G169" s="75">
        <f>H169</f>
        <v>5649109.8717897246</v>
      </c>
      <c r="H169" s="904">
        <f>'RESUMO GERAL'!H192</f>
        <v>5649109.8717897246</v>
      </c>
      <c r="I169" s="75">
        <f>G169-H169</f>
        <v>0</v>
      </c>
      <c r="J169" s="75">
        <f>I169</f>
        <v>0</v>
      </c>
      <c r="K169" s="573">
        <f>H169</f>
        <v>5649109.8717897246</v>
      </c>
    </row>
    <row r="170" spans="1:11" s="98" customFormat="1">
      <c r="A170" s="181"/>
      <c r="B170" s="100"/>
      <c r="C170" s="99"/>
      <c r="D170" s="20"/>
      <c r="E170" s="20"/>
      <c r="F170" s="19"/>
      <c r="G170" s="19"/>
      <c r="H170" s="19"/>
      <c r="I170" s="19"/>
      <c r="J170" s="19"/>
      <c r="K170" s="210"/>
    </row>
    <row r="171" spans="1:11" s="98" customFormat="1" ht="31.5">
      <c r="A171" s="74" t="s">
        <v>1550</v>
      </c>
      <c r="B171" s="101" t="s">
        <v>3237</v>
      </c>
      <c r="C171" s="74"/>
      <c r="D171" s="75"/>
      <c r="E171" s="75"/>
      <c r="F171" s="75" t="e">
        <f>#REF!</f>
        <v>#REF!</v>
      </c>
      <c r="G171" s="75">
        <f>H171</f>
        <v>2237359.1702051763</v>
      </c>
      <c r="H171" s="904">
        <f>'RESUMO GERAL'!H196</f>
        <v>2237359.1702051763</v>
      </c>
      <c r="I171" s="75">
        <f>G171-H171</f>
        <v>0</v>
      </c>
      <c r="J171" s="75">
        <f>I171</f>
        <v>0</v>
      </c>
      <c r="K171" s="573">
        <f>H171</f>
        <v>2237359.1702051763</v>
      </c>
    </row>
    <row r="172" spans="1:11" s="98" customFormat="1">
      <c r="A172" s="181"/>
      <c r="B172" s="100"/>
      <c r="C172" s="181"/>
      <c r="D172" s="20"/>
      <c r="E172" s="20"/>
      <c r="F172" s="19"/>
      <c r="G172" s="19"/>
      <c r="H172" s="19"/>
      <c r="I172" s="19"/>
      <c r="J172" s="19"/>
      <c r="K172" s="210"/>
    </row>
    <row r="173" spans="1:11" s="98" customFormat="1">
      <c r="A173" s="74" t="s">
        <v>3045</v>
      </c>
      <c r="B173" s="101" t="s">
        <v>3849</v>
      </c>
      <c r="C173" s="74"/>
      <c r="D173" s="75"/>
      <c r="E173" s="75"/>
      <c r="F173" s="75" t="e">
        <f>#REF!</f>
        <v>#REF!</v>
      </c>
      <c r="G173" s="75">
        <f>H173</f>
        <v>2285164.587508</v>
      </c>
      <c r="H173" s="904">
        <f>'RESUMO GERAL'!H200</f>
        <v>2285164.587508</v>
      </c>
      <c r="I173" s="75">
        <f>G173-H173</f>
        <v>0</v>
      </c>
      <c r="J173" s="75">
        <f>I173</f>
        <v>0</v>
      </c>
      <c r="K173" s="573">
        <f>H173</f>
        <v>2285164.587508</v>
      </c>
    </row>
    <row r="174" spans="1:11" s="98" customFormat="1">
      <c r="A174" s="408"/>
      <c r="B174" s="100"/>
      <c r="C174" s="99"/>
      <c r="D174" s="20"/>
      <c r="E174" s="20"/>
      <c r="F174" s="19"/>
      <c r="G174" s="19"/>
      <c r="H174" s="19"/>
      <c r="I174" s="19"/>
      <c r="J174" s="114"/>
      <c r="K174" s="210"/>
    </row>
    <row r="175" spans="1:11" s="98" customFormat="1">
      <c r="A175" s="74" t="s">
        <v>3063</v>
      </c>
      <c r="B175" s="101" t="s">
        <v>3214</v>
      </c>
      <c r="C175" s="74"/>
      <c r="D175" s="75"/>
      <c r="E175" s="75"/>
      <c r="F175" s="75"/>
      <c r="G175" s="75">
        <f>SUM(G176:G178)</f>
        <v>5416795.6103203846</v>
      </c>
      <c r="H175" s="75">
        <f>SUM(H176:H179)</f>
        <v>606680.06880000001</v>
      </c>
      <c r="I175" s="75">
        <f>SUM(I176:I179)</f>
        <v>5416795.6103203846</v>
      </c>
      <c r="J175" s="574">
        <f>SUM(J176:J179)</f>
        <v>4068930.6773719187</v>
      </c>
      <c r="K175" s="75">
        <f>SUM(K176:K179)</f>
        <v>606680.06880000001</v>
      </c>
    </row>
    <row r="176" spans="1:11" s="98" customFormat="1">
      <c r="A176" s="409"/>
      <c r="B176" s="385" t="s">
        <v>3215</v>
      </c>
      <c r="C176" s="218"/>
      <c r="D176" s="219"/>
      <c r="E176" s="219"/>
      <c r="F176" s="220"/>
      <c r="G176" s="350">
        <f>'RESUMO GERAL'!G205</f>
        <v>4836424.6520717721</v>
      </c>
      <c r="H176" s="350">
        <v>0</v>
      </c>
      <c r="I176" s="350">
        <f>G176-H176</f>
        <v>4836424.6520717721</v>
      </c>
      <c r="J176" s="576">
        <f>I176*$P$7</f>
        <v>3632973.8190820701</v>
      </c>
      <c r="K176" s="575">
        <f>H176</f>
        <v>0</v>
      </c>
    </row>
    <row r="177" spans="1:11" s="98" customFormat="1">
      <c r="A177" s="409"/>
      <c r="B177" s="385" t="s">
        <v>3114</v>
      </c>
      <c r="C177" s="218"/>
      <c r="D177" s="219"/>
      <c r="E177" s="219"/>
      <c r="F177" s="220"/>
      <c r="G177" s="350">
        <f>'RESUMO GERAL'!G206</f>
        <v>483642.46520717721</v>
      </c>
      <c r="H177" s="350">
        <v>0</v>
      </c>
      <c r="I177" s="350">
        <f>G177-H177</f>
        <v>483642.46520717721</v>
      </c>
      <c r="J177" s="576">
        <f>I177*$P$7</f>
        <v>363297.38190820697</v>
      </c>
      <c r="K177" s="575">
        <f>H177</f>
        <v>0</v>
      </c>
    </row>
    <row r="178" spans="1:11" s="98" customFormat="1">
      <c r="A178" s="409"/>
      <c r="B178" s="385" t="s">
        <v>3119</v>
      </c>
      <c r="C178" s="218"/>
      <c r="D178" s="219"/>
      <c r="E178" s="219"/>
      <c r="F178" s="220"/>
      <c r="G178" s="350">
        <f>'RESUMO GERAL'!G207</f>
        <v>96728.493041435446</v>
      </c>
      <c r="H178" s="350">
        <v>0</v>
      </c>
      <c r="I178" s="350">
        <f>G178-H178</f>
        <v>96728.493041435446</v>
      </c>
      <c r="J178" s="576">
        <f>I178*$P$7</f>
        <v>72659.476381641405</v>
      </c>
      <c r="K178" s="575">
        <f>H178</f>
        <v>0</v>
      </c>
    </row>
    <row r="179" spans="1:11" s="98" customFormat="1">
      <c r="A179" s="524"/>
      <c r="B179" s="437" t="s">
        <v>3148</v>
      </c>
      <c r="C179" s="438" t="s">
        <v>3219</v>
      </c>
      <c r="D179" s="219"/>
      <c r="E179" s="219"/>
      <c r="F179" s="220"/>
      <c r="G179" s="492">
        <f>RECUP.!I32</f>
        <v>606680.06880000001</v>
      </c>
      <c r="H179" s="492">
        <f>G179</f>
        <v>606680.06880000001</v>
      </c>
      <c r="I179" s="492">
        <f>G179-H179</f>
        <v>0</v>
      </c>
      <c r="J179" s="576">
        <f>I179*$P$7</f>
        <v>0</v>
      </c>
      <c r="K179" s="575">
        <f>H179</f>
        <v>606680.06880000001</v>
      </c>
    </row>
    <row r="180" spans="1:11" s="98" customFormat="1">
      <c r="A180" s="409"/>
      <c r="B180" s="217"/>
      <c r="C180" s="218"/>
      <c r="D180" s="219"/>
      <c r="E180" s="219"/>
      <c r="F180" s="220"/>
      <c r="G180" s="220"/>
      <c r="H180" s="220"/>
      <c r="I180" s="220"/>
      <c r="J180" s="221"/>
      <c r="K180" s="222"/>
    </row>
    <row r="181" spans="1:11" s="98" customFormat="1">
      <c r="A181" s="74" t="s">
        <v>3064</v>
      </c>
      <c r="B181" s="101" t="s">
        <v>3217</v>
      </c>
      <c r="C181" s="74"/>
      <c r="D181" s="75"/>
      <c r="E181" s="75"/>
      <c r="F181" s="75"/>
      <c r="G181" s="75">
        <f>SUM(G182:G185)</f>
        <v>15522900.56520051</v>
      </c>
      <c r="H181" s="75">
        <f>SUM(H182:H186)</f>
        <v>474175.62588129146</v>
      </c>
      <c r="I181" s="75">
        <f>SUM(I182:I186)</f>
        <v>15522900.56520051</v>
      </c>
      <c r="J181" s="574">
        <f>SUM(J182:J186)</f>
        <v>11660326.668261062</v>
      </c>
      <c r="K181" s="75">
        <f>SUM(K182:K186)</f>
        <v>474175.62588129146</v>
      </c>
    </row>
    <row r="182" spans="1:11" s="98" customFormat="1">
      <c r="A182" s="409"/>
      <c r="B182" s="385" t="s">
        <v>3216</v>
      </c>
      <c r="C182" s="218"/>
      <c r="D182" s="219"/>
      <c r="E182" s="219"/>
      <c r="F182" s="220"/>
      <c r="G182" s="350">
        <f>'RESUMO GERAL'!G211</f>
        <v>14960581.543382594</v>
      </c>
      <c r="H182" s="350">
        <v>0</v>
      </c>
      <c r="I182" s="350">
        <f>G182-H182</f>
        <v>14960581.543382594</v>
      </c>
      <c r="J182" s="576">
        <f>I182*$P$7</f>
        <v>11237929.870791838</v>
      </c>
      <c r="K182" s="575">
        <f>H182</f>
        <v>0</v>
      </c>
    </row>
    <row r="183" spans="1:11" s="98" customFormat="1">
      <c r="A183" s="409"/>
      <c r="B183" s="385" t="s">
        <v>3132</v>
      </c>
      <c r="C183" s="218"/>
      <c r="D183" s="219"/>
      <c r="E183" s="219"/>
      <c r="F183" s="220"/>
      <c r="G183" s="350">
        <f>'RESUMO GERAL'!G212</f>
        <v>259306.94582592597</v>
      </c>
      <c r="H183" s="350">
        <v>0</v>
      </c>
      <c r="I183" s="350">
        <f>G183-H183</f>
        <v>259306.94582592597</v>
      </c>
      <c r="J183" s="576">
        <f>I183*$P$7</f>
        <v>194783.42227210649</v>
      </c>
      <c r="K183" s="575">
        <f>H183</f>
        <v>0</v>
      </c>
    </row>
    <row r="184" spans="1:11" s="98" customFormat="1">
      <c r="A184" s="409"/>
      <c r="B184" s="385" t="s">
        <v>3134</v>
      </c>
      <c r="C184" s="218"/>
      <c r="D184" s="219"/>
      <c r="E184" s="219"/>
      <c r="F184" s="220"/>
      <c r="G184" s="350">
        <f>'RESUMO GERAL'!G213</f>
        <v>252510.06332665842</v>
      </c>
      <c r="H184" s="350">
        <v>0</v>
      </c>
      <c r="I184" s="350">
        <f>G184-H184</f>
        <v>252510.06332665842</v>
      </c>
      <c r="J184" s="576">
        <f>I184*$P$7</f>
        <v>189677.8126642656</v>
      </c>
      <c r="K184" s="575">
        <f>H184</f>
        <v>0</v>
      </c>
    </row>
    <row r="185" spans="1:11" s="98" customFormat="1">
      <c r="A185" s="409"/>
      <c r="B185" s="385" t="s">
        <v>3135</v>
      </c>
      <c r="C185" s="218"/>
      <c r="D185" s="219"/>
      <c r="E185" s="219"/>
      <c r="F185" s="220"/>
      <c r="G185" s="350">
        <f>'RESUMO GERAL'!G214</f>
        <v>50502.012665331684</v>
      </c>
      <c r="H185" s="350">
        <v>0</v>
      </c>
      <c r="I185" s="350">
        <f>G185-H185</f>
        <v>50502.012665331684</v>
      </c>
      <c r="J185" s="576">
        <f>I185*$P$7</f>
        <v>37935.562532853124</v>
      </c>
      <c r="K185" s="575">
        <f>H185</f>
        <v>0</v>
      </c>
    </row>
    <row r="186" spans="1:11" s="98" customFormat="1">
      <c r="A186" s="409"/>
      <c r="B186" s="437" t="s">
        <v>3148</v>
      </c>
      <c r="C186" s="438" t="s">
        <v>3219</v>
      </c>
      <c r="D186" s="219"/>
      <c r="E186" s="219"/>
      <c r="F186" s="220"/>
      <c r="G186" s="492">
        <f>RECUP.!I78</f>
        <v>474175.62588129146</v>
      </c>
      <c r="H186" s="492">
        <f>G186</f>
        <v>474175.62588129146</v>
      </c>
      <c r="I186" s="492">
        <v>0</v>
      </c>
      <c r="J186" s="575">
        <f>I186*$P$7</f>
        <v>0</v>
      </c>
      <c r="K186" s="575">
        <f>H186</f>
        <v>474175.62588129146</v>
      </c>
    </row>
    <row r="187" spans="1:11" s="98" customFormat="1">
      <c r="A187" s="409"/>
      <c r="B187" s="217"/>
      <c r="C187" s="218"/>
      <c r="D187" s="219"/>
      <c r="E187" s="219"/>
      <c r="F187" s="220"/>
      <c r="G187" s="220"/>
      <c r="H187" s="220"/>
      <c r="I187" s="220"/>
      <c r="J187" s="221"/>
      <c r="K187" s="222"/>
    </row>
    <row r="188" spans="1:11" s="98" customFormat="1" ht="15.75" customHeight="1">
      <c r="A188" s="74" t="s">
        <v>3065</v>
      </c>
      <c r="B188" s="101" t="s">
        <v>3821</v>
      </c>
      <c r="C188" s="74"/>
      <c r="D188" s="75"/>
      <c r="E188" s="75"/>
      <c r="F188" s="75"/>
      <c r="G188" s="75">
        <f>SUM(G189:G191)</f>
        <v>8884226.5137052517</v>
      </c>
      <c r="H188" s="75">
        <f>SUM(H189:H192)</f>
        <v>9009698.9385776781</v>
      </c>
      <c r="I188" s="75">
        <f>SUM(I189:I192)</f>
        <v>0</v>
      </c>
      <c r="J188" s="75">
        <f>SUM(J189:J192)</f>
        <v>0</v>
      </c>
      <c r="K188" s="75">
        <f>SUM(K189:K192)</f>
        <v>9009698.9385776781</v>
      </c>
    </row>
    <row r="189" spans="1:11" s="98" customFormat="1">
      <c r="A189" s="409"/>
      <c r="B189" s="385" t="s">
        <v>3060</v>
      </c>
      <c r="C189" s="218"/>
      <c r="D189" s="219"/>
      <c r="E189" s="219"/>
      <c r="F189" s="220"/>
      <c r="G189" s="350">
        <f>'RESUMO GERAL'!G218</f>
        <v>1006840.1931666333</v>
      </c>
      <c r="H189" s="350">
        <f>[2]RESUMO!$G$64</f>
        <v>1006840.1931666333</v>
      </c>
      <c r="I189" s="350">
        <f>G189-H189</f>
        <v>0</v>
      </c>
      <c r="J189" s="350">
        <f>I189</f>
        <v>0</v>
      </c>
      <c r="K189" s="575">
        <f>H189</f>
        <v>1006840.1931666333</v>
      </c>
    </row>
    <row r="190" spans="1:11" s="98" customFormat="1">
      <c r="A190" s="409"/>
      <c r="B190" s="385" t="s">
        <v>3114</v>
      </c>
      <c r="C190" s="218"/>
      <c r="D190" s="219"/>
      <c r="E190" s="219"/>
      <c r="F190" s="220"/>
      <c r="G190" s="350">
        <f>'RESUMO GERAL'!G219</f>
        <v>6836077.0368122794</v>
      </c>
      <c r="H190" s="350">
        <f>[2]RESUMO!$G$65</f>
        <v>6836077.0368122794</v>
      </c>
      <c r="I190" s="350">
        <f>G190-H190</f>
        <v>0</v>
      </c>
      <c r="J190" s="350">
        <f>I190</f>
        <v>0</v>
      </c>
      <c r="K190" s="575">
        <f>H190</f>
        <v>6836077.0368122794</v>
      </c>
    </row>
    <row r="191" spans="1:11" s="98" customFormat="1">
      <c r="A191" s="409"/>
      <c r="B191" s="385" t="s">
        <v>3177</v>
      </c>
      <c r="C191" s="218"/>
      <c r="D191" s="219"/>
      <c r="E191" s="219"/>
      <c r="F191" s="220"/>
      <c r="G191" s="350">
        <f>'RESUMO GERAL'!G220</f>
        <v>1041309.2837263396</v>
      </c>
      <c r="H191" s="350">
        <f>[2]RESUMO!$G$66</f>
        <v>1041309.2837263396</v>
      </c>
      <c r="I191" s="350">
        <f>G191-H191</f>
        <v>0</v>
      </c>
      <c r="J191" s="350">
        <f>I191</f>
        <v>0</v>
      </c>
      <c r="K191" s="575">
        <f>H191</f>
        <v>1041309.2837263396</v>
      </c>
    </row>
    <row r="192" spans="1:11" s="98" customFormat="1">
      <c r="A192" s="409"/>
      <c r="B192" s="437" t="s">
        <v>3148</v>
      </c>
      <c r="C192" s="438" t="s">
        <v>3219</v>
      </c>
      <c r="D192" s="219"/>
      <c r="E192" s="219"/>
      <c r="F192" s="220"/>
      <c r="G192" s="492">
        <f>RECUP.!I79</f>
        <v>125472.42487242584</v>
      </c>
      <c r="H192" s="492">
        <f>G192</f>
        <v>125472.42487242584</v>
      </c>
      <c r="I192" s="492">
        <v>0</v>
      </c>
      <c r="J192" s="492">
        <f>I192</f>
        <v>0</v>
      </c>
      <c r="K192" s="575">
        <f>H192</f>
        <v>125472.42487242584</v>
      </c>
    </row>
    <row r="193" spans="1:16" s="98" customFormat="1">
      <c r="A193" s="409"/>
      <c r="B193" s="217"/>
      <c r="C193" s="218"/>
      <c r="D193" s="219"/>
      <c r="E193" s="219"/>
      <c r="F193" s="220"/>
      <c r="G193" s="220"/>
      <c r="H193" s="220"/>
      <c r="I193" s="220"/>
      <c r="J193" s="220"/>
      <c r="K193" s="222"/>
    </row>
    <row r="194" spans="1:16" s="98" customFormat="1">
      <c r="A194" s="74" t="s">
        <v>3118</v>
      </c>
      <c r="B194" s="101" t="s">
        <v>3128</v>
      </c>
      <c r="C194" s="74"/>
      <c r="D194" s="75"/>
      <c r="E194" s="75"/>
      <c r="F194" s="75"/>
      <c r="G194" s="75">
        <f>SUM(G195:G197)</f>
        <v>85966584.754908741</v>
      </c>
      <c r="H194" s="75">
        <f>SUM(H195:H197)</f>
        <v>85966584.754908741</v>
      </c>
      <c r="I194" s="75">
        <f>SUM(I195:I197)</f>
        <v>0</v>
      </c>
      <c r="J194" s="75">
        <f>SUM(J195:J197)</f>
        <v>0</v>
      </c>
      <c r="K194" s="75">
        <f>SUM(K195:K197)</f>
        <v>85966584.754908741</v>
      </c>
    </row>
    <row r="195" spans="1:16" customFormat="1">
      <c r="A195" s="256"/>
      <c r="B195" s="386" t="s">
        <v>3124</v>
      </c>
      <c r="C195" s="256"/>
      <c r="D195" s="258"/>
      <c r="E195" s="259"/>
      <c r="F195" s="260"/>
      <c r="G195" s="350">
        <f>'RESUMO GERAL'!G224</f>
        <v>81105636.854908735</v>
      </c>
      <c r="H195" s="350">
        <f>AUX.!K50</f>
        <v>81105636.854908735</v>
      </c>
      <c r="I195" s="350">
        <f>G195-H195</f>
        <v>0</v>
      </c>
      <c r="J195" s="350">
        <f>I195</f>
        <v>0</v>
      </c>
      <c r="K195" s="575">
        <f>H195</f>
        <v>81105636.854908735</v>
      </c>
      <c r="L195" s="98"/>
      <c r="M195" s="98"/>
      <c r="N195" s="98"/>
      <c r="O195" s="98"/>
      <c r="P195" s="98"/>
    </row>
    <row r="196" spans="1:16" customFormat="1">
      <c r="A196" s="256"/>
      <c r="B196" s="386" t="s">
        <v>3125</v>
      </c>
      <c r="C196" s="256"/>
      <c r="D196" s="257"/>
      <c r="E196" s="256"/>
      <c r="F196" s="257"/>
      <c r="G196" s="351">
        <f>H196</f>
        <v>4860947.9000000004</v>
      </c>
      <c r="H196" s="904">
        <f>'[2]RESUMO GERAL'!$C$15</f>
        <v>4860947.9000000004</v>
      </c>
      <c r="I196" s="351">
        <f>G196-H196</f>
        <v>0</v>
      </c>
      <c r="J196" s="351">
        <f>I196</f>
        <v>0</v>
      </c>
      <c r="K196" s="575">
        <f>H196</f>
        <v>4860947.9000000004</v>
      </c>
      <c r="L196" s="906"/>
      <c r="M196" s="906" t="s">
        <v>3845</v>
      </c>
      <c r="N196" s="98"/>
      <c r="O196" s="98"/>
      <c r="P196" s="98"/>
    </row>
    <row r="197" spans="1:16" customFormat="1">
      <c r="A197" s="256"/>
      <c r="B197" s="386" t="s">
        <v>3126</v>
      </c>
      <c r="C197" s="256"/>
      <c r="D197" s="261"/>
      <c r="E197" s="259"/>
      <c r="F197" s="260"/>
      <c r="G197" s="514"/>
      <c r="H197" s="514"/>
      <c r="I197" s="514"/>
      <c r="J197" s="514"/>
      <c r="K197" s="514"/>
      <c r="L197" s="98"/>
      <c r="M197" s="98"/>
      <c r="N197" s="98"/>
      <c r="O197" s="98"/>
      <c r="P197" s="98"/>
    </row>
    <row r="198" spans="1:16" s="98" customFormat="1">
      <c r="A198" s="409"/>
      <c r="B198" s="217"/>
      <c r="C198" s="218"/>
      <c r="D198" s="219"/>
      <c r="E198" s="219"/>
      <c r="F198" s="220"/>
      <c r="G198" s="220"/>
      <c r="H198" s="220"/>
      <c r="I198" s="220"/>
      <c r="J198" s="221"/>
      <c r="K198" s="222"/>
    </row>
    <row r="199" spans="1:16" s="98" customFormat="1">
      <c r="A199" s="74" t="s">
        <v>3183</v>
      </c>
      <c r="B199" s="101" t="s">
        <v>3184</v>
      </c>
      <c r="C199" s="74"/>
      <c r="D199" s="75"/>
      <c r="E199" s="75"/>
      <c r="F199" s="75" t="e">
        <f>SUM(F200:F203)</f>
        <v>#REF!</v>
      </c>
      <c r="G199" s="75">
        <f>SUM(G200:G205)</f>
        <v>20565079.459455431</v>
      </c>
      <c r="H199" s="75">
        <f>SUM(H200:H205)</f>
        <v>20565079.459455431</v>
      </c>
      <c r="I199" s="75">
        <f>SUM(I200:I205)</f>
        <v>0</v>
      </c>
      <c r="J199" s="75">
        <f>SUM(J200:J205)</f>
        <v>0</v>
      </c>
      <c r="K199" s="75">
        <f>SUM(K200:K205)</f>
        <v>20565079.459455431</v>
      </c>
    </row>
    <row r="200" spans="1:16" customFormat="1">
      <c r="A200" s="256" t="s">
        <v>15</v>
      </c>
      <c r="B200" s="386" t="s">
        <v>3314</v>
      </c>
      <c r="C200" s="348"/>
      <c r="D200" s="344" t="e">
        <f>#REF!</f>
        <v>#REF!</v>
      </c>
      <c r="E200" s="220" t="e">
        <f>#REF!</f>
        <v>#REF!</v>
      </c>
      <c r="F200" s="220" t="e">
        <f>#REF!</f>
        <v>#REF!</v>
      </c>
      <c r="G200" s="350">
        <f>'RESUMO GERAL'!G229</f>
        <v>1189449.9938334946</v>
      </c>
      <c r="H200" s="904">
        <f>[2]RESUMO!$G14</f>
        <v>1189449.9938334946</v>
      </c>
      <c r="I200" s="350">
        <f t="shared" ref="I200:I205" si="22">G200-H200</f>
        <v>0</v>
      </c>
      <c r="J200" s="350">
        <v>0</v>
      </c>
      <c r="K200" s="575">
        <f t="shared" ref="K200:K205" si="23">H200</f>
        <v>1189449.9938334946</v>
      </c>
      <c r="L200" s="98"/>
      <c r="M200" s="98"/>
      <c r="N200" s="98"/>
      <c r="O200" s="98"/>
      <c r="P200" s="98"/>
    </row>
    <row r="201" spans="1:16" customFormat="1">
      <c r="A201" s="256" t="s">
        <v>16</v>
      </c>
      <c r="B201" s="386" t="s">
        <v>3208</v>
      </c>
      <c r="C201" s="256"/>
      <c r="D201" s="345" t="e">
        <f>#REF!</f>
        <v>#REF!</v>
      </c>
      <c r="E201" s="220" t="e">
        <f>#REF!</f>
        <v>#REF!</v>
      </c>
      <c r="F201" s="220" t="e">
        <f>#REF!</f>
        <v>#REF!</v>
      </c>
      <c r="G201" s="350">
        <f>'RESUMO GERAL'!G230</f>
        <v>509764.28307149769</v>
      </c>
      <c r="H201" s="904">
        <f>[2]RESUMO!$G15</f>
        <v>509764.28307149769</v>
      </c>
      <c r="I201" s="351">
        <f t="shared" si="22"/>
        <v>0</v>
      </c>
      <c r="J201" s="351">
        <v>0</v>
      </c>
      <c r="K201" s="575">
        <f t="shared" si="23"/>
        <v>509764.28307149769</v>
      </c>
      <c r="L201" s="98"/>
      <c r="M201" s="98"/>
      <c r="N201" s="98"/>
      <c r="O201" s="98"/>
      <c r="P201" s="98"/>
    </row>
    <row r="202" spans="1:16" customFormat="1">
      <c r="A202" s="256" t="s">
        <v>17</v>
      </c>
      <c r="B202" s="386" t="s">
        <v>3209</v>
      </c>
      <c r="C202" s="256"/>
      <c r="D202" s="346" t="e">
        <f>#REF!</f>
        <v>#REF!</v>
      </c>
      <c r="E202" s="220" t="e">
        <f>#REF!</f>
        <v>#REF!</v>
      </c>
      <c r="F202" s="220" t="e">
        <f>#REF!</f>
        <v>#REF!</v>
      </c>
      <c r="G202" s="350">
        <f>'RESUMO GERAL'!G231</f>
        <v>1699214.2769049923</v>
      </c>
      <c r="H202" s="904">
        <f>[2]RESUMO!$G16</f>
        <v>1699214.2769049923</v>
      </c>
      <c r="I202" s="350">
        <f t="shared" si="22"/>
        <v>0</v>
      </c>
      <c r="J202" s="351">
        <v>0</v>
      </c>
      <c r="K202" s="575">
        <f t="shared" si="23"/>
        <v>1699214.2769049923</v>
      </c>
      <c r="L202" s="98"/>
      <c r="M202" s="98"/>
      <c r="N202" s="98"/>
      <c r="O202" s="98"/>
      <c r="P202" s="98"/>
    </row>
    <row r="203" spans="1:16" s="98" customFormat="1">
      <c r="A203" s="409" t="s">
        <v>18</v>
      </c>
      <c r="B203" s="385" t="s">
        <v>3210</v>
      </c>
      <c r="C203" s="218"/>
      <c r="D203" s="347" t="e">
        <f>#REF!</f>
        <v>#REF!</v>
      </c>
      <c r="E203" s="220" t="e">
        <f>#REF!</f>
        <v>#REF!</v>
      </c>
      <c r="F203" s="220" t="e">
        <f>#REF!</f>
        <v>#REF!</v>
      </c>
      <c r="G203" s="350">
        <f>'RESUMO GERAL'!G232</f>
        <v>15467436.628740454</v>
      </c>
      <c r="H203" s="904">
        <f>[2]RESUMO!$G17</f>
        <v>15467436.628740454</v>
      </c>
      <c r="I203" s="350">
        <f t="shared" si="22"/>
        <v>0</v>
      </c>
      <c r="J203" s="351">
        <v>0</v>
      </c>
      <c r="K203" s="575">
        <f t="shared" si="23"/>
        <v>15467436.628740454</v>
      </c>
    </row>
    <row r="204" spans="1:16" s="98" customFormat="1">
      <c r="A204" s="256" t="s">
        <v>3218</v>
      </c>
      <c r="B204" s="385" t="s">
        <v>3838</v>
      </c>
      <c r="C204" s="218"/>
      <c r="D204" s="347"/>
      <c r="E204" s="220"/>
      <c r="F204" s="220"/>
      <c r="G204" s="350">
        <f>'RESUMO GERAL'!G233</f>
        <v>1189449.9938334946</v>
      </c>
      <c r="H204" s="904">
        <f>[2]RESUMO!$G18</f>
        <v>1189449.9938334946</v>
      </c>
      <c r="I204" s="350">
        <f t="shared" si="22"/>
        <v>0</v>
      </c>
      <c r="J204" s="351">
        <v>0</v>
      </c>
      <c r="K204" s="575">
        <f t="shared" si="23"/>
        <v>1189449.9938334946</v>
      </c>
    </row>
    <row r="205" spans="1:16" s="98" customFormat="1">
      <c r="A205" s="409" t="s">
        <v>3703</v>
      </c>
      <c r="B205" s="385" t="s">
        <v>3839</v>
      </c>
      <c r="C205" s="218"/>
      <c r="D205" s="219"/>
      <c r="E205" s="219"/>
      <c r="F205" s="220"/>
      <c r="G205" s="350">
        <f>'RESUMO GERAL'!G234</f>
        <v>509764.28307149769</v>
      </c>
      <c r="H205" s="904">
        <f>[2]RESUMO!$G19</f>
        <v>509764.28307149769</v>
      </c>
      <c r="I205" s="350">
        <f t="shared" si="22"/>
        <v>0</v>
      </c>
      <c r="J205" s="351">
        <v>0</v>
      </c>
      <c r="K205" s="575">
        <f t="shared" si="23"/>
        <v>509764.28307149769</v>
      </c>
    </row>
    <row r="206" spans="1:16" s="98" customFormat="1">
      <c r="A206" s="74">
        <v>29</v>
      </c>
      <c r="B206" s="101" t="s">
        <v>3367</v>
      </c>
      <c r="C206" s="74"/>
      <c r="D206" s="75"/>
      <c r="E206" s="75"/>
      <c r="F206" s="75"/>
      <c r="G206" s="75">
        <f>SUM(G207:G210)</f>
        <v>31479363.298860144</v>
      </c>
      <c r="H206" s="75">
        <f>SUM(H207:H210)</f>
        <v>31479363.298860144</v>
      </c>
      <c r="I206" s="75">
        <f t="shared" ref="I206:J206" si="24">SUM(I207:I210)</f>
        <v>0</v>
      </c>
      <c r="J206" s="75">
        <f t="shared" si="24"/>
        <v>0</v>
      </c>
      <c r="K206" s="75">
        <f>SUM(K207:K210)</f>
        <v>31479363.298860144</v>
      </c>
    </row>
    <row r="207" spans="1:16" s="98" customFormat="1">
      <c r="A207" s="409"/>
      <c r="B207" s="386" t="s">
        <v>3224</v>
      </c>
      <c r="C207" s="218"/>
      <c r="D207" s="219"/>
      <c r="E207" s="219"/>
      <c r="F207" s="220"/>
      <c r="G207" s="488">
        <f>'RESUMO GERAL'!G237</f>
        <v>4778118.3174596066</v>
      </c>
      <c r="H207" s="518">
        <f>G207</f>
        <v>4778118.3174596066</v>
      </c>
      <c r="I207" s="518">
        <f>G207-H207</f>
        <v>0</v>
      </c>
      <c r="J207" s="518">
        <f>I207</f>
        <v>0</v>
      </c>
      <c r="K207" s="575">
        <f>H207</f>
        <v>4778118.3174596066</v>
      </c>
    </row>
    <row r="208" spans="1:16" s="98" customFormat="1">
      <c r="A208" s="409"/>
      <c r="B208" s="386" t="s">
        <v>3231</v>
      </c>
      <c r="C208" s="218"/>
      <c r="D208" s="219"/>
      <c r="E208" s="219"/>
      <c r="F208" s="220"/>
      <c r="G208" s="488">
        <f>'RESUMO GERAL'!G238</f>
        <v>9122909.6651625447</v>
      </c>
      <c r="H208" s="518">
        <f>G208</f>
        <v>9122909.6651625447</v>
      </c>
      <c r="I208" s="518">
        <f>G208-H208</f>
        <v>0</v>
      </c>
      <c r="J208" s="518">
        <f>I208</f>
        <v>0</v>
      </c>
      <c r="K208" s="575">
        <f>H208</f>
        <v>9122909.6651625447</v>
      </c>
    </row>
    <row r="209" spans="1:64" s="98" customFormat="1">
      <c r="A209" s="409"/>
      <c r="B209" s="386" t="s">
        <v>3233</v>
      </c>
      <c r="C209" s="218"/>
      <c r="D209" s="219"/>
      <c r="E209" s="219"/>
      <c r="F209" s="220"/>
      <c r="G209" s="488">
        <f>'RESUMO GERAL'!G239</f>
        <v>13901167.13766137</v>
      </c>
      <c r="H209" s="518">
        <f>G209</f>
        <v>13901167.13766137</v>
      </c>
      <c r="I209" s="518">
        <f>G209-H209</f>
        <v>0</v>
      </c>
      <c r="J209" s="518">
        <f>I209</f>
        <v>0</v>
      </c>
      <c r="K209" s="575">
        <f>H209</f>
        <v>13901167.13766137</v>
      </c>
    </row>
    <row r="210" spans="1:64" s="98" customFormat="1">
      <c r="A210" s="409"/>
      <c r="B210" s="386" t="s">
        <v>3832</v>
      </c>
      <c r="C210" s="218"/>
      <c r="D210" s="219"/>
      <c r="E210" s="219"/>
      <c r="F210" s="220"/>
      <c r="G210" s="488">
        <f>'RESUMO GERAL'!G240</f>
        <v>3677168.1785766236</v>
      </c>
      <c r="H210" s="518">
        <f>G210</f>
        <v>3677168.1785766236</v>
      </c>
      <c r="I210" s="220"/>
      <c r="J210" s="221"/>
      <c r="K210" s="575">
        <f>H210</f>
        <v>3677168.1785766236</v>
      </c>
    </row>
    <row r="211" spans="1:64" s="98" customFormat="1" ht="16.5" thickBot="1">
      <c r="A211" s="409"/>
      <c r="B211" s="262"/>
      <c r="C211" s="263"/>
      <c r="D211" s="264"/>
      <c r="E211" s="264"/>
      <c r="F211" s="265"/>
      <c r="G211" s="265"/>
      <c r="H211" s="265"/>
      <c r="I211" s="265"/>
      <c r="J211" s="266"/>
      <c r="K211" s="267"/>
    </row>
    <row r="212" spans="1:64" s="98" customFormat="1" ht="19.5" thickBot="1">
      <c r="A212" s="1110" t="s">
        <v>3312</v>
      </c>
      <c r="B212" s="1110"/>
      <c r="C212" s="1110"/>
      <c r="D212" s="127"/>
      <c r="E212" s="127"/>
      <c r="F212" s="127" t="e">
        <f>F5+F9+F23+F30+F39+F47+F55+F60+F91+F110+F120+F128+F133+F149+F154+F158+F160+F163+F165+F167+F169+F171+F173+F175+F181+F188+F194+F199</f>
        <v>#REF!</v>
      </c>
      <c r="G212" s="127">
        <f>G5+G9+G23+G30+G39+G47+G55+G60+G91+G110+G120+G128+G133+G149+G154+G158+G160+G163+G165+G167+G169+G171+G173+G175+G181+G188+G194+G199+G206</f>
        <v>721879221.0588218</v>
      </c>
      <c r="H212" s="378">
        <f t="shared" ref="H212:I212" si="25">H5+H9+H23+H30+H39+H47+H55+H60+H91+H110+H120+H128+H133+H149+H154+H158+H160+H163+H165+H167+H169+H171+H173+H175+H181+H188+H194+H199+H206</f>
        <v>311130934.07802391</v>
      </c>
      <c r="I212" s="378">
        <f t="shared" si="25"/>
        <v>423269744.54176766</v>
      </c>
      <c r="J212" s="127"/>
      <c r="K212" s="378">
        <f>K5+K9+K23+K30+K39+K47+K55+K60+K91+K110+K120+K128+K133+K149+K154+K158+K160+K163+K165+K167+K169+K171+K173+K175+K181+K188+K194+K199+K206</f>
        <v>311130934.07802391</v>
      </c>
    </row>
    <row r="213" spans="1:64" s="98" customFormat="1" ht="19.5" thickBot="1">
      <c r="A213" s="1110" t="s">
        <v>3308</v>
      </c>
      <c r="B213" s="1110"/>
      <c r="C213" s="1110" t="s">
        <v>3299</v>
      </c>
      <c r="D213" s="127"/>
      <c r="E213" s="127"/>
      <c r="F213" s="127"/>
      <c r="G213" s="516">
        <f>G7+G14+G21+G89+G118+G152+G156+G179+G186+G192+G108</f>
        <v>12711833.479753718</v>
      </c>
      <c r="H213" s="1159" t="s">
        <v>3315</v>
      </c>
      <c r="I213" s="1160"/>
      <c r="J213" s="574">
        <f>J5+J10+J16+J23+J30+J39+J47+J55+J86+J175+J181</f>
        <v>138698650.79822266</v>
      </c>
      <c r="K213" s="918" t="s">
        <v>3846</v>
      </c>
      <c r="L213" s="919"/>
      <c r="M213" s="919"/>
      <c r="N213" s="919"/>
    </row>
    <row r="214" spans="1:64" ht="19.5" thickBot="1">
      <c r="A214" s="1110" t="s">
        <v>3301</v>
      </c>
      <c r="B214" s="1110"/>
      <c r="C214" s="1110"/>
      <c r="D214" s="127"/>
      <c r="E214" s="127"/>
      <c r="F214" s="127"/>
      <c r="G214" s="127">
        <f>G212+G213</f>
        <v>734591054.53857553</v>
      </c>
      <c r="J214" s="579">
        <f>J61+J66+J69+J74+J76+J79+J82+J91+J110+J120+J149+J154+J158</f>
        <v>238626086.93921757</v>
      </c>
      <c r="K214" s="920" t="s">
        <v>3414</v>
      </c>
      <c r="L214" s="921"/>
      <c r="M214" s="921"/>
      <c r="N214" s="921"/>
      <c r="O214" s="98"/>
      <c r="P214" s="98"/>
    </row>
    <row r="215" spans="1:64" ht="18.75">
      <c r="C215" s="202"/>
      <c r="D215" s="129"/>
      <c r="E215" s="349" t="s">
        <v>3185</v>
      </c>
      <c r="F215" s="129" t="e">
        <f>#REF!-'RESUMO GERAL'!F242</f>
        <v>#REF!</v>
      </c>
      <c r="G215" s="249">
        <v>6016.7550000000001</v>
      </c>
      <c r="H215" s="250" t="s">
        <v>3109</v>
      </c>
      <c r="I215" s="332"/>
      <c r="J215" s="922">
        <f>J213+J214</f>
        <v>377324737.73744023</v>
      </c>
      <c r="K215" s="98"/>
      <c r="L215" s="98"/>
      <c r="M215" s="98"/>
      <c r="N215" s="98"/>
      <c r="O215" s="98"/>
      <c r="P215" s="98"/>
    </row>
    <row r="216" spans="1:64">
      <c r="G216" s="249">
        <f>G214/G215</f>
        <v>122090.90357486311</v>
      </c>
      <c r="H216" s="250" t="s">
        <v>3110</v>
      </c>
      <c r="I216" s="332"/>
    </row>
    <row r="217" spans="1:64" ht="12.75">
      <c r="B217" s="79"/>
      <c r="C217" s="79"/>
      <c r="D217" s="79"/>
      <c r="E217" s="79"/>
      <c r="F217" s="79"/>
      <c r="G217" s="79"/>
      <c r="H217" s="79"/>
      <c r="I217" s="79"/>
    </row>
    <row r="218" spans="1:64">
      <c r="B218" s="49" t="s">
        <v>3852</v>
      </c>
      <c r="C218" s="924">
        <v>7.0000000000000001E-3</v>
      </c>
      <c r="D218" s="79"/>
      <c r="E218" s="79"/>
      <c r="F218" s="79"/>
      <c r="G218" s="925">
        <f>C218*$K$212</f>
        <v>2177916.5385461673</v>
      </c>
      <c r="H218" s="79"/>
      <c r="I218" s="925"/>
      <c r="K218" s="581" t="s">
        <v>3415</v>
      </c>
      <c r="L218" s="582"/>
      <c r="M218" s="582"/>
      <c r="N218" s="583"/>
    </row>
    <row r="219" spans="1:64" s="166" customFormat="1">
      <c r="A219" s="79"/>
      <c r="B219" s="49" t="s">
        <v>3853</v>
      </c>
      <c r="C219" s="924">
        <v>3.0000000000000001E-3</v>
      </c>
      <c r="D219" s="50"/>
      <c r="E219" s="50"/>
      <c r="F219" s="50"/>
      <c r="G219" s="925">
        <f t="shared" ref="G219:G223" si="26">C219*$K$212</f>
        <v>933392.80223407177</v>
      </c>
      <c r="H219" s="50"/>
      <c r="I219" s="50"/>
      <c r="J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row>
    <row r="220" spans="1:64" s="166" customFormat="1">
      <c r="A220" s="79"/>
      <c r="B220" s="48" t="s">
        <v>3854</v>
      </c>
      <c r="C220" s="924">
        <v>0.01</v>
      </c>
      <c r="D220" s="50"/>
      <c r="E220" s="50"/>
      <c r="F220" s="50"/>
      <c r="G220" s="925">
        <f t="shared" si="26"/>
        <v>3111309.3407802391</v>
      </c>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row>
    <row r="221" spans="1:64" s="166" customFormat="1" ht="12.75">
      <c r="A221" s="79"/>
      <c r="B221" s="48" t="s">
        <v>3855</v>
      </c>
      <c r="C221" s="166">
        <f>6*12</f>
        <v>72</v>
      </c>
      <c r="D221" s="50"/>
      <c r="E221" s="50"/>
      <c r="F221" s="50"/>
      <c r="G221" s="925">
        <f>60000*C221</f>
        <v>4320000</v>
      </c>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row>
    <row r="222" spans="1:64" s="166" customFormat="1">
      <c r="A222" s="79"/>
      <c r="B222" s="49" t="s">
        <v>3850</v>
      </c>
      <c r="C222" s="924">
        <v>7.0000000000000001E-3</v>
      </c>
      <c r="D222" s="50"/>
      <c r="E222" s="50"/>
      <c r="F222" s="50"/>
      <c r="G222" s="925">
        <f t="shared" si="26"/>
        <v>2177916.5385461673</v>
      </c>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row>
    <row r="223" spans="1:64" s="166" customFormat="1">
      <c r="A223" s="79"/>
      <c r="B223" s="49" t="s">
        <v>3851</v>
      </c>
      <c r="C223" s="924">
        <v>3.0000000000000001E-3</v>
      </c>
      <c r="D223" s="50"/>
      <c r="E223" s="50"/>
      <c r="F223" s="50"/>
      <c r="G223" s="925">
        <f t="shared" si="26"/>
        <v>933392.80223407177</v>
      </c>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row>
    <row r="224" spans="1:64" s="166" customFormat="1">
      <c r="A224" s="79"/>
      <c r="B224" s="49"/>
      <c r="C224" s="141"/>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row>
    <row r="225" spans="1:64" s="166" customFormat="1">
      <c r="A225" s="79"/>
      <c r="B225" s="49"/>
      <c r="C225" s="141"/>
      <c r="D225" s="50"/>
      <c r="E225" s="50"/>
      <c r="F225" s="50"/>
      <c r="G225" s="212">
        <f>SUM(G218:G224)</f>
        <v>13653928.022340719</v>
      </c>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row>
    <row r="226" spans="1:64" s="166" customFormat="1">
      <c r="A226" s="79"/>
      <c r="B226" s="49"/>
      <c r="C226" s="141"/>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row>
    <row r="227" spans="1:64" s="166" customFormat="1">
      <c r="A227" s="79"/>
      <c r="B227" s="49"/>
      <c r="C227" s="141"/>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row>
    <row r="228" spans="1:64" s="166" customFormat="1">
      <c r="A228" s="79"/>
      <c r="B228" s="49"/>
      <c r="C228" s="141"/>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row>
    <row r="229" spans="1:64" s="166" customFormat="1">
      <c r="A229" s="79"/>
      <c r="B229" s="49"/>
      <c r="C229" s="141"/>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row>
    <row r="230" spans="1:64" s="166" customFormat="1">
      <c r="A230" s="79"/>
      <c r="B230" s="49"/>
      <c r="C230" s="141"/>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row>
    <row r="231" spans="1:64" s="166" customFormat="1">
      <c r="A231" s="79"/>
      <c r="B231" s="49"/>
      <c r="C231" s="141"/>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row>
    <row r="232" spans="1:64" s="166" customFormat="1">
      <c r="A232" s="79"/>
      <c r="B232" s="49"/>
      <c r="C232" s="141"/>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row>
    <row r="233" spans="1:64" s="166" customFormat="1">
      <c r="A233" s="79"/>
      <c r="B233" s="49"/>
      <c r="C233" s="141"/>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row>
    <row r="235" spans="1:64" s="166" customFormat="1">
      <c r="A235" s="79"/>
      <c r="B235" s="49"/>
      <c r="C235" s="141"/>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row>
    <row r="236" spans="1:64" s="166" customFormat="1">
      <c r="A236" s="79"/>
      <c r="B236" s="49"/>
      <c r="C236" s="141"/>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row>
    <row r="237" spans="1:64" s="166" customFormat="1">
      <c r="A237" s="79"/>
      <c r="B237" s="49"/>
      <c r="C237" s="141"/>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row>
    <row r="238" spans="1:64" s="166" customFormat="1">
      <c r="A238" s="79"/>
      <c r="B238" s="49"/>
      <c r="C238" s="141"/>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row>
    <row r="239" spans="1:64" s="166" customFormat="1">
      <c r="A239" s="79"/>
      <c r="B239" s="49"/>
      <c r="C239" s="141"/>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row>
    <row r="240" spans="1:64" s="166" customFormat="1">
      <c r="A240" s="79"/>
      <c r="B240" s="49"/>
      <c r="C240" s="141"/>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row>
    <row r="241" spans="1:64" s="166" customFormat="1">
      <c r="A241" s="79"/>
      <c r="B241" s="49"/>
      <c r="C241" s="141"/>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row>
    <row r="242" spans="1:64" s="166" customFormat="1">
      <c r="A242" s="79"/>
      <c r="B242" s="49"/>
      <c r="C242" s="141"/>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row>
    <row r="243" spans="1:64" s="166" customFormat="1">
      <c r="A243" s="79"/>
      <c r="B243" s="49"/>
      <c r="C243" s="141"/>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row>
    <row r="244" spans="1:64" s="166" customFormat="1">
      <c r="A244" s="79"/>
      <c r="B244" s="49"/>
      <c r="C244" s="141"/>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row>
    <row r="245" spans="1:64" s="166" customFormat="1">
      <c r="A245" s="79"/>
      <c r="B245" s="49"/>
      <c r="C245" s="141"/>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row>
    <row r="246" spans="1:64" s="166" customFormat="1">
      <c r="A246" s="79"/>
      <c r="B246" s="49"/>
      <c r="C246" s="141"/>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row>
    <row r="247" spans="1:64" s="166" customFormat="1">
      <c r="A247" s="79"/>
      <c r="B247" s="49"/>
      <c r="C247" s="141"/>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row>
    <row r="248" spans="1:64" s="166" customFormat="1">
      <c r="A248" s="79"/>
      <c r="B248" s="49"/>
      <c r="C248" s="141"/>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row>
    <row r="249" spans="1:64" s="166" customFormat="1">
      <c r="A249" s="79"/>
      <c r="B249" s="49"/>
      <c r="C249" s="141"/>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row>
    <row r="250" spans="1:64" s="166" customFormat="1">
      <c r="A250" s="79"/>
      <c r="B250" s="49"/>
      <c r="C250" s="141"/>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c r="BL250" s="50"/>
    </row>
    <row r="251" spans="1:64" s="166" customFormat="1">
      <c r="A251" s="79"/>
      <c r="B251" s="49"/>
      <c r="C251" s="141"/>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row>
  </sheetData>
  <mergeCells count="13">
    <mergeCell ref="J1:K2"/>
    <mergeCell ref="A212:C212"/>
    <mergeCell ref="A213:C213"/>
    <mergeCell ref="H213:I213"/>
    <mergeCell ref="A214:C214"/>
    <mergeCell ref="A3:A4"/>
    <mergeCell ref="B3:B4"/>
    <mergeCell ref="C3:C4"/>
    <mergeCell ref="D3:F3"/>
    <mergeCell ref="G3:G4"/>
    <mergeCell ref="H3:H4"/>
    <mergeCell ref="I3:I4"/>
    <mergeCell ref="J3:K3"/>
  </mergeCells>
  <conditionalFormatting sqref="A166">
    <cfRule type="duplicateValues" dxfId="7" priority="1"/>
  </conditionalFormatting>
  <pageMargins left="0.511811024" right="0.511811024" top="0.78740157499999996" bottom="0.78740157499999996" header="0.31496062000000002" footer="0.31496062000000002"/>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3:Y108"/>
  <sheetViews>
    <sheetView tabSelected="1" topLeftCell="A36" zoomScale="80" zoomScaleNormal="80" workbookViewId="0">
      <selection activeCell="I43" sqref="I43"/>
    </sheetView>
  </sheetViews>
  <sheetFormatPr defaultRowHeight="15"/>
  <cols>
    <col min="1" max="1" width="9.140625" style="77"/>
    <col min="2" max="2" width="44.5703125" customWidth="1"/>
    <col min="3" max="3" width="6.7109375" style="77" bestFit="1" customWidth="1"/>
    <col min="4" max="4" width="30.42578125" style="77" customWidth="1"/>
    <col min="5" max="5" width="15.85546875" style="77" bestFit="1" customWidth="1"/>
    <col min="6" max="6" width="13.5703125" bestFit="1" customWidth="1"/>
    <col min="7" max="7" width="16.5703125" bestFit="1" customWidth="1"/>
    <col min="8" max="8" width="11.5703125" style="229" bestFit="1" customWidth="1"/>
    <col min="9" max="9" width="26.42578125" style="230" bestFit="1" customWidth="1"/>
    <col min="10" max="10" width="10.28515625" style="201" customWidth="1"/>
    <col min="11" max="11" width="17.28515625" style="201" customWidth="1"/>
    <col min="12" max="12" width="10.7109375" customWidth="1"/>
    <col min="13" max="13" width="14.7109375" customWidth="1"/>
    <col min="14" max="14" width="36" customWidth="1"/>
  </cols>
  <sheetData>
    <row r="3" spans="1:13" ht="20.100000000000001" customHeight="1">
      <c r="B3" s="1168" t="s">
        <v>3067</v>
      </c>
      <c r="C3" s="1168" t="s">
        <v>11</v>
      </c>
      <c r="D3" s="1170" t="s">
        <v>3068</v>
      </c>
      <c r="E3" s="1171"/>
      <c r="F3" s="1172" t="s">
        <v>3069</v>
      </c>
      <c r="G3" s="1172" t="s">
        <v>3070</v>
      </c>
      <c r="H3" s="1172" t="s">
        <v>3071</v>
      </c>
      <c r="I3" s="1164" t="s">
        <v>3072</v>
      </c>
      <c r="J3" s="1165"/>
      <c r="K3" s="1166" t="s">
        <v>3223</v>
      </c>
    </row>
    <row r="4" spans="1:13" ht="20.100000000000001" customHeight="1">
      <c r="B4" s="1169"/>
      <c r="C4" s="1169"/>
      <c r="D4" s="366"/>
      <c r="E4" s="367"/>
      <c r="F4" s="1173"/>
      <c r="G4" s="1173"/>
      <c r="H4" s="1173"/>
      <c r="I4" s="226" t="s">
        <v>1539</v>
      </c>
      <c r="J4" s="226" t="s">
        <v>3073</v>
      </c>
      <c r="K4" s="1167"/>
    </row>
    <row r="6" spans="1:13">
      <c r="A6" s="972">
        <v>1</v>
      </c>
      <c r="B6" s="973" t="s">
        <v>3096</v>
      </c>
      <c r="C6" s="972"/>
      <c r="D6" s="972"/>
      <c r="E6" s="972"/>
      <c r="F6" s="974" t="s">
        <v>3318</v>
      </c>
      <c r="G6" s="974"/>
      <c r="H6" s="975"/>
      <c r="I6" s="976"/>
      <c r="J6" s="977"/>
      <c r="K6" s="978">
        <f>SUM(K7:K12)</f>
        <v>9651137.0682450011</v>
      </c>
    </row>
    <row r="7" spans="1:13">
      <c r="A7" s="972"/>
      <c r="B7" s="974" t="s">
        <v>3195</v>
      </c>
      <c r="C7" s="972"/>
      <c r="D7" s="972" t="s">
        <v>3098</v>
      </c>
      <c r="E7" s="972"/>
      <c r="F7" s="979">
        <f>519475.32/4.02/131</f>
        <v>986.4329497550417</v>
      </c>
      <c r="G7" s="972" t="s">
        <v>3097</v>
      </c>
      <c r="H7" s="975"/>
      <c r="I7" s="980" t="s">
        <v>3075</v>
      </c>
      <c r="J7" s="981">
        <v>2.0599709530508776</v>
      </c>
      <c r="K7" s="982">
        <f>(681.87*9.5*1317)</f>
        <v>8531216.5050000008</v>
      </c>
    </row>
    <row r="8" spans="1:13">
      <c r="A8" s="972"/>
      <c r="B8" s="974" t="s">
        <v>3099</v>
      </c>
      <c r="C8" s="972"/>
      <c r="D8" s="974" t="s">
        <v>3100</v>
      </c>
      <c r="E8" s="974"/>
      <c r="F8" s="983">
        <v>223360.65</v>
      </c>
      <c r="G8" s="974"/>
      <c r="H8" s="975"/>
      <c r="I8" s="984" t="s">
        <v>1523</v>
      </c>
      <c r="J8" s="977">
        <f>VLOOKUP(I8,'Reajuste Atual'!$L$19:$M$25,2,FALSE)</f>
        <v>2.4544999999999999</v>
      </c>
      <c r="K8" s="982">
        <f>F8*J8</f>
        <v>548238.71542499994</v>
      </c>
      <c r="L8" s="240"/>
      <c r="M8" s="240"/>
    </row>
    <row r="9" spans="1:13">
      <c r="A9" s="972"/>
      <c r="B9" s="974" t="s">
        <v>3101</v>
      </c>
      <c r="C9" s="972"/>
      <c r="D9" s="974" t="s">
        <v>3193</v>
      </c>
      <c r="E9" s="974"/>
      <c r="F9" s="983">
        <v>152076.22974943978</v>
      </c>
      <c r="G9" s="974"/>
      <c r="H9" s="975"/>
      <c r="I9" s="984" t="s">
        <v>1523</v>
      </c>
      <c r="J9" s="977">
        <f>VLOOKUP(I9,'Reajuste Atual'!$L$19:$M$25,2,FALSE)</f>
        <v>2.4544999999999999</v>
      </c>
      <c r="K9" s="982">
        <f>F9*J9</f>
        <v>373271.10591999994</v>
      </c>
      <c r="L9" s="240"/>
      <c r="M9" s="240"/>
    </row>
    <row r="10" spans="1:13">
      <c r="A10" s="972"/>
      <c r="B10" s="974" t="s">
        <v>3196</v>
      </c>
      <c r="C10" s="972"/>
      <c r="D10" s="974" t="s">
        <v>3197</v>
      </c>
      <c r="E10" s="974"/>
      <c r="F10" s="983">
        <v>44383.775514361398</v>
      </c>
      <c r="G10" s="974"/>
      <c r="H10" s="975"/>
      <c r="I10" s="984" t="s">
        <v>1523</v>
      </c>
      <c r="J10" s="977">
        <f>VLOOKUP(I10,'Reajuste Atual'!$L$19:$M$25,2,FALSE)</f>
        <v>2.4544999999999999</v>
      </c>
      <c r="K10" s="982">
        <f>F10*J10</f>
        <v>108939.97700000004</v>
      </c>
      <c r="L10" s="240"/>
      <c r="M10" s="240"/>
    </row>
    <row r="11" spans="1:13">
      <c r="A11" s="972"/>
      <c r="B11" s="974" t="s">
        <v>3194</v>
      </c>
      <c r="C11" s="972"/>
      <c r="D11" s="974" t="s">
        <v>3198</v>
      </c>
      <c r="E11" s="974"/>
      <c r="F11" s="983">
        <v>36451.727398655523</v>
      </c>
      <c r="G11" s="974"/>
      <c r="H11" s="975"/>
      <c r="I11" s="984" t="s">
        <v>1523</v>
      </c>
      <c r="J11" s="977">
        <f>VLOOKUP(I11,'Reajuste Atual'!$L$19:$M$25,2,FALSE)</f>
        <v>2.4544999999999999</v>
      </c>
      <c r="K11" s="982">
        <f>F11*J11</f>
        <v>89470.76489999998</v>
      </c>
      <c r="L11" s="240"/>
      <c r="M11" s="240"/>
    </row>
    <row r="12" spans="1:13">
      <c r="B12" s="231"/>
      <c r="C12" s="232"/>
      <c r="D12" s="233"/>
      <c r="E12" s="234"/>
      <c r="F12" s="231"/>
      <c r="G12" s="231"/>
      <c r="H12" s="231"/>
      <c r="I12" s="232"/>
      <c r="J12" s="231"/>
      <c r="K12" s="235"/>
    </row>
    <row r="14" spans="1:13">
      <c r="A14" s="972" t="s">
        <v>20</v>
      </c>
      <c r="B14" s="973" t="s">
        <v>3081</v>
      </c>
      <c r="C14" s="972"/>
      <c r="D14" s="972"/>
      <c r="E14" s="972"/>
      <c r="F14" s="972" t="s">
        <v>3082</v>
      </c>
      <c r="G14" s="985"/>
      <c r="H14" s="986"/>
      <c r="I14" s="987"/>
      <c r="J14" s="985"/>
      <c r="K14" s="988">
        <f>SUM(K15:K20)</f>
        <v>9328866.2865740545</v>
      </c>
    </row>
    <row r="15" spans="1:13" ht="15" customHeight="1">
      <c r="A15" s="972"/>
      <c r="B15" s="974" t="s">
        <v>3060</v>
      </c>
      <c r="C15" s="972" t="s">
        <v>2755</v>
      </c>
      <c r="D15" s="1163" t="s">
        <v>3080</v>
      </c>
      <c r="E15" s="972" t="s">
        <v>3083</v>
      </c>
      <c r="F15" s="989">
        <v>280410.55166065134</v>
      </c>
      <c r="G15" s="974" t="s">
        <v>3089</v>
      </c>
      <c r="H15" s="975">
        <v>2023</v>
      </c>
      <c r="I15" s="976"/>
      <c r="J15" s="990"/>
      <c r="K15" s="982">
        <f>F15*6.05</f>
        <v>1696483.8375469407</v>
      </c>
    </row>
    <row r="16" spans="1:13">
      <c r="A16" s="972"/>
      <c r="B16" s="974" t="s">
        <v>3085</v>
      </c>
      <c r="C16" s="972" t="s">
        <v>2755</v>
      </c>
      <c r="D16" s="1163"/>
      <c r="E16" s="972" t="s">
        <v>3084</v>
      </c>
      <c r="F16" s="991">
        <v>1715233.3578561572</v>
      </c>
      <c r="G16" s="974"/>
      <c r="H16" s="975"/>
      <c r="I16" s="984"/>
      <c r="J16" s="992"/>
      <c r="K16" s="982">
        <f>F16*2.6</f>
        <v>4459606.7304260088</v>
      </c>
    </row>
    <row r="17" spans="1:25">
      <c r="A17" s="972"/>
      <c r="B17" s="974" t="s">
        <v>3086</v>
      </c>
      <c r="C17" s="972" t="s">
        <v>2755</v>
      </c>
      <c r="D17" s="1163"/>
      <c r="E17" s="972" t="str">
        <f>E16</f>
        <v>2,60 m³/s</v>
      </c>
      <c r="F17" s="991">
        <v>93152.708539587882</v>
      </c>
      <c r="G17" s="974"/>
      <c r="H17" s="975"/>
      <c r="I17" s="976"/>
      <c r="J17" s="993"/>
      <c r="K17" s="982">
        <f>F17*2.6</f>
        <v>242197.04220292851</v>
      </c>
    </row>
    <row r="18" spans="1:25">
      <c r="A18" s="972"/>
      <c r="B18" s="974" t="s">
        <v>3087</v>
      </c>
      <c r="C18" s="972" t="s">
        <v>2755</v>
      </c>
      <c r="D18" s="1163"/>
      <c r="E18" s="972" t="str">
        <f>E17</f>
        <v>2,60 m³/s</v>
      </c>
      <c r="F18" s="991">
        <v>740551.93315030902</v>
      </c>
      <c r="G18" s="974"/>
      <c r="H18" s="975"/>
      <c r="I18" s="984"/>
      <c r="J18" s="993"/>
      <c r="K18" s="982">
        <f>F18*2.6</f>
        <v>1925435.0261908036</v>
      </c>
    </row>
    <row r="19" spans="1:25">
      <c r="A19" s="972"/>
      <c r="B19" s="974" t="s">
        <v>3088</v>
      </c>
      <c r="C19" s="972" t="s">
        <v>2755</v>
      </c>
      <c r="D19" s="1163"/>
      <c r="E19" s="972" t="str">
        <f>E18</f>
        <v>2,60 m³/s</v>
      </c>
      <c r="F19" s="989">
        <v>321344.33325103042</v>
      </c>
      <c r="G19" s="974"/>
      <c r="H19" s="975"/>
      <c r="I19" s="976"/>
      <c r="J19" s="994"/>
      <c r="K19" s="982">
        <f>F19*2.6</f>
        <v>835495.26645267906</v>
      </c>
    </row>
    <row r="20" spans="1:25">
      <c r="B20" s="231" t="s">
        <v>3076</v>
      </c>
      <c r="C20" s="232" t="s">
        <v>2755</v>
      </c>
      <c r="D20" s="233">
        <v>0.1</v>
      </c>
      <c r="E20" s="234" t="s">
        <v>3077</v>
      </c>
      <c r="F20" s="231"/>
      <c r="G20" s="231"/>
      <c r="H20" s="231"/>
      <c r="I20" s="232"/>
      <c r="J20" s="231"/>
      <c r="K20" s="235">
        <f>K15*D20</f>
        <v>169648.38375469408</v>
      </c>
    </row>
    <row r="21" spans="1:25">
      <c r="C21"/>
      <c r="D21"/>
      <c r="E21"/>
      <c r="H21"/>
      <c r="I21"/>
      <c r="J21"/>
      <c r="K21"/>
    </row>
    <row r="22" spans="1:25">
      <c r="A22" s="972" t="s">
        <v>21</v>
      </c>
      <c r="B22" s="973" t="s">
        <v>3104</v>
      </c>
      <c r="C22" s="972"/>
      <c r="D22" s="972"/>
      <c r="E22" s="972"/>
      <c r="F22" s="985"/>
      <c r="G22" s="985"/>
      <c r="H22" s="986"/>
      <c r="I22" s="987"/>
      <c r="J22" s="985"/>
      <c r="K22" s="988">
        <f>SUM(K23:K27)</f>
        <v>15370079.443092</v>
      </c>
      <c r="O22" s="238"/>
    </row>
    <row r="23" spans="1:25">
      <c r="A23" s="972"/>
      <c r="B23" s="974" t="s">
        <v>3102</v>
      </c>
      <c r="C23" s="972" t="s">
        <v>2755</v>
      </c>
      <c r="D23" s="974"/>
      <c r="E23" s="974"/>
      <c r="F23" s="974" t="s">
        <v>3103</v>
      </c>
      <c r="G23" s="974"/>
      <c r="H23" s="975"/>
      <c r="I23" s="976"/>
      <c r="J23" s="995"/>
      <c r="K23" s="982">
        <f>0.1*SUM(K24:K26)</f>
        <v>1384691.8417199999</v>
      </c>
    </row>
    <row r="24" spans="1:25">
      <c r="A24" s="972"/>
      <c r="B24" s="974" t="s">
        <v>3090</v>
      </c>
      <c r="C24" s="972" t="s">
        <v>2755</v>
      </c>
      <c r="D24" s="996" t="s">
        <v>3093</v>
      </c>
      <c r="E24" s="972" t="s">
        <v>3084</v>
      </c>
      <c r="F24" s="974">
        <v>7273.41</v>
      </c>
      <c r="G24" s="974" t="s">
        <v>3089</v>
      </c>
      <c r="H24" s="975">
        <v>2023</v>
      </c>
      <c r="I24" s="980"/>
      <c r="J24" s="997"/>
      <c r="K24" s="998">
        <f>1*(1510*F24)</f>
        <v>10982849.1</v>
      </c>
    </row>
    <row r="25" spans="1:25">
      <c r="A25" s="972"/>
      <c r="B25" s="974" t="s">
        <v>3091</v>
      </c>
      <c r="C25" s="972" t="s">
        <v>2755</v>
      </c>
      <c r="D25" s="972" t="s">
        <v>3092</v>
      </c>
      <c r="E25" s="972" t="s">
        <v>3079</v>
      </c>
      <c r="F25" s="974" t="s">
        <v>3095</v>
      </c>
      <c r="G25" s="999" t="s">
        <v>3094</v>
      </c>
      <c r="H25" s="975">
        <v>2023</v>
      </c>
      <c r="I25" s="1000"/>
      <c r="J25" s="997"/>
      <c r="K25" s="998">
        <f>((1*263375)*1.25)*1.2</f>
        <v>395062.5</v>
      </c>
    </row>
    <row r="26" spans="1:25">
      <c r="A26" s="972"/>
      <c r="B26" s="974" t="s">
        <v>3078</v>
      </c>
      <c r="C26" s="972" t="s">
        <v>2755</v>
      </c>
      <c r="D26" s="972"/>
      <c r="E26" s="972"/>
      <c r="F26" s="974"/>
      <c r="G26" s="974" t="s">
        <v>3074</v>
      </c>
      <c r="H26" s="975">
        <v>2013</v>
      </c>
      <c r="I26" s="984" t="s">
        <v>3199</v>
      </c>
      <c r="J26" s="977">
        <v>2.17</v>
      </c>
      <c r="K26" s="982">
        <f>0.1*SUM(K24:K25)*J26</f>
        <v>2469006.8171999999</v>
      </c>
    </row>
    <row r="27" spans="1:25">
      <c r="B27" s="231" t="s">
        <v>3076</v>
      </c>
      <c r="C27" s="232" t="s">
        <v>2755</v>
      </c>
      <c r="D27" s="233">
        <v>0.1</v>
      </c>
      <c r="E27" s="234" t="s">
        <v>3077</v>
      </c>
      <c r="F27" s="231"/>
      <c r="G27" s="231"/>
      <c r="H27" s="231"/>
      <c r="I27" s="232"/>
      <c r="J27" s="241"/>
      <c r="K27" s="235">
        <f>K23*D27</f>
        <v>138469.18417200001</v>
      </c>
    </row>
    <row r="28" spans="1:25">
      <c r="E28" s="529"/>
    </row>
    <row r="29" spans="1:25">
      <c r="A29" s="972">
        <v>26</v>
      </c>
      <c r="B29" s="973" t="s">
        <v>3439</v>
      </c>
      <c r="C29" s="972"/>
      <c r="D29" s="1001">
        <v>26</v>
      </c>
      <c r="E29" s="1002" t="s">
        <v>3113</v>
      </c>
      <c r="F29" s="1003">
        <v>1783.8</v>
      </c>
      <c r="G29" s="1004" t="s">
        <v>3825</v>
      </c>
      <c r="H29" s="975">
        <v>4233</v>
      </c>
      <c r="I29" s="1005" t="s">
        <v>3827</v>
      </c>
      <c r="J29" s="985"/>
      <c r="K29" s="978">
        <f>SUM(K30:K33)</f>
        <v>8330841.7285017297</v>
      </c>
      <c r="M29" s="227"/>
      <c r="N29" s="227"/>
      <c r="O29" s="227"/>
      <c r="P29" s="227"/>
      <c r="Q29" s="227"/>
      <c r="R29" s="227"/>
      <c r="S29" s="227"/>
      <c r="T29" s="227"/>
      <c r="U29" s="227"/>
      <c r="V29" s="251"/>
      <c r="W29" s="227"/>
      <c r="X29" s="227"/>
      <c r="Y29" s="227"/>
    </row>
    <row r="30" spans="1:25">
      <c r="A30" s="972"/>
      <c r="B30" s="974" t="s">
        <v>3060</v>
      </c>
      <c r="C30" s="972" t="s">
        <v>2755</v>
      </c>
      <c r="D30" s="972"/>
      <c r="E30" s="1006">
        <f>248593.30967165/8</f>
        <v>31074.16370895625</v>
      </c>
      <c r="F30" s="1007" t="s">
        <v>3115</v>
      </c>
      <c r="G30" s="1007" t="s">
        <v>3320</v>
      </c>
      <c r="H30" s="975">
        <v>2023</v>
      </c>
      <c r="I30" s="1005"/>
      <c r="J30" s="985"/>
      <c r="K30" s="995">
        <f>(E30*D29)</f>
        <v>807928.25643286249</v>
      </c>
      <c r="M30" s="520">
        <f>[3]RESUMO!$G$29/[3]RESUMO!$D$29</f>
        <v>31074.163708956294</v>
      </c>
      <c r="N30" t="s">
        <v>3321</v>
      </c>
      <c r="O30" s="252"/>
      <c r="P30" s="252"/>
      <c r="S30" s="254"/>
      <c r="T30" s="252"/>
      <c r="U30" s="252"/>
      <c r="V30" s="252"/>
    </row>
    <row r="31" spans="1:25">
      <c r="A31" s="972"/>
      <c r="B31" s="974" t="s">
        <v>3114</v>
      </c>
      <c r="C31" s="972" t="s">
        <v>2755</v>
      </c>
      <c r="D31" s="1008"/>
      <c r="E31" s="1006">
        <f>6368356.5/86</f>
        <v>74050.656976744183</v>
      </c>
      <c r="F31" s="1007" t="s">
        <v>3115</v>
      </c>
      <c r="G31" s="1007" t="s">
        <v>3116</v>
      </c>
      <c r="H31" s="975">
        <v>2013</v>
      </c>
      <c r="I31" s="1009" t="s">
        <v>3117</v>
      </c>
      <c r="J31" s="995">
        <v>3.08</v>
      </c>
      <c r="K31" s="982">
        <f>D29*E31*J31</f>
        <v>5929976.6106976746</v>
      </c>
      <c r="M31" s="521">
        <f>6368356.5/86</f>
        <v>74050.656976744183</v>
      </c>
      <c r="N31" s="252" t="s">
        <v>3317</v>
      </c>
      <c r="O31" s="252"/>
      <c r="P31" s="252"/>
      <c r="S31" s="254"/>
      <c r="T31" s="252"/>
      <c r="U31" s="252"/>
      <c r="V31" s="252"/>
    </row>
    <row r="32" spans="1:25">
      <c r="A32" s="972"/>
      <c r="B32" s="974" t="s">
        <v>3322</v>
      </c>
      <c r="C32" s="972" t="s">
        <v>2755</v>
      </c>
      <c r="D32" s="1010">
        <v>0.2</v>
      </c>
      <c r="E32" s="1011">
        <f>E31*D32</f>
        <v>14810.131395348837</v>
      </c>
      <c r="F32" s="1007" t="s">
        <v>3115</v>
      </c>
      <c r="G32" s="1007" t="s">
        <v>3116</v>
      </c>
      <c r="H32" s="975">
        <v>2013</v>
      </c>
      <c r="I32" s="1009" t="s">
        <v>3075</v>
      </c>
      <c r="J32" s="995">
        <v>2.17</v>
      </c>
      <c r="K32" s="982">
        <f>D29*E32*J32</f>
        <v>835587.61332558142</v>
      </c>
      <c r="N32" s="252"/>
      <c r="O32" s="252"/>
      <c r="P32" s="252"/>
      <c r="S32" s="254"/>
      <c r="T32" s="252"/>
      <c r="U32" s="252"/>
      <c r="V32" s="252"/>
    </row>
    <row r="33" spans="1:22">
      <c r="B33" s="231" t="s">
        <v>3076</v>
      </c>
      <c r="C33" s="232" t="s">
        <v>2755</v>
      </c>
      <c r="D33" s="233">
        <v>0.1</v>
      </c>
      <c r="E33" s="234" t="s">
        <v>3077</v>
      </c>
      <c r="F33" s="231"/>
      <c r="G33" s="231"/>
      <c r="H33" s="231"/>
      <c r="I33" s="255"/>
      <c r="J33" s="231"/>
      <c r="K33" s="235">
        <f>SUM(K30:K32)*D33</f>
        <v>757349.24804561178</v>
      </c>
      <c r="M33" s="252"/>
      <c r="O33" s="238"/>
    </row>
    <row r="35" spans="1:22">
      <c r="A35" s="972">
        <v>24</v>
      </c>
      <c r="B35" s="973" t="s">
        <v>3120</v>
      </c>
      <c r="C35" s="972"/>
      <c r="D35" s="972"/>
      <c r="E35" s="972"/>
      <c r="F35" s="974"/>
      <c r="G35" s="974"/>
      <c r="H35" s="975"/>
      <c r="I35" s="976"/>
      <c r="J35" s="977"/>
      <c r="K35" s="978">
        <f>SUM(K36:K39)</f>
        <v>5900438.0755275618</v>
      </c>
    </row>
    <row r="36" spans="1:22">
      <c r="A36" s="972"/>
      <c r="B36" s="974" t="s">
        <v>3060</v>
      </c>
      <c r="C36" s="972" t="s">
        <v>2755</v>
      </c>
      <c r="D36" s="1010">
        <v>0.8</v>
      </c>
      <c r="E36" s="1012">
        <v>413.90026975368181</v>
      </c>
      <c r="F36" s="1013" t="s">
        <v>3121</v>
      </c>
      <c r="G36" s="1007" t="s">
        <v>3131</v>
      </c>
      <c r="H36" s="975">
        <v>2010</v>
      </c>
      <c r="I36" s="1009" t="s">
        <v>3075</v>
      </c>
      <c r="J36" s="1014">
        <v>2.46</v>
      </c>
      <c r="K36" s="1014">
        <f>(E36*9.5*500)*J36</f>
        <v>4836424.6520717721</v>
      </c>
    </row>
    <row r="37" spans="1:22">
      <c r="A37" s="972"/>
      <c r="B37" s="974" t="s">
        <v>3114</v>
      </c>
      <c r="C37" s="972" t="s">
        <v>2755</v>
      </c>
      <c r="D37" s="974" t="s">
        <v>3175</v>
      </c>
      <c r="E37" s="1010">
        <v>0.1</v>
      </c>
      <c r="F37" s="1007"/>
      <c r="G37" s="1007"/>
      <c r="H37" s="975"/>
      <c r="I37" s="1009"/>
      <c r="J37" s="1015"/>
      <c r="K37" s="1014">
        <f>K36*E37</f>
        <v>483642.46520717721</v>
      </c>
    </row>
    <row r="38" spans="1:22">
      <c r="A38" s="972"/>
      <c r="B38" s="974" t="s">
        <v>3319</v>
      </c>
      <c r="C38" s="972" t="s">
        <v>2755</v>
      </c>
      <c r="D38" s="974"/>
      <c r="E38" s="1010">
        <v>0.2</v>
      </c>
      <c r="F38" s="1007"/>
      <c r="G38" s="1007"/>
      <c r="H38" s="975"/>
      <c r="I38" s="1009"/>
      <c r="J38" s="995"/>
      <c r="K38" s="1014">
        <f>K37*E38</f>
        <v>96728.493041435446</v>
      </c>
    </row>
    <row r="39" spans="1:22">
      <c r="B39" s="231" t="s">
        <v>3076</v>
      </c>
      <c r="C39" s="232" t="s">
        <v>2755</v>
      </c>
      <c r="D39" s="233">
        <v>0.1</v>
      </c>
      <c r="E39" s="234" t="s">
        <v>3077</v>
      </c>
      <c r="F39" s="231"/>
      <c r="G39" s="231"/>
      <c r="H39" s="231"/>
      <c r="I39" s="255"/>
      <c r="J39" s="231"/>
      <c r="K39" s="235">
        <f>K36*D39</f>
        <v>483642.46520717721</v>
      </c>
    </row>
    <row r="41" spans="1:22">
      <c r="A41" s="972">
        <v>25</v>
      </c>
      <c r="B41" s="973" t="s">
        <v>3200</v>
      </c>
      <c r="C41" s="972"/>
      <c r="D41" s="972"/>
      <c r="E41" s="972"/>
      <c r="F41" s="985"/>
      <c r="G41" s="985"/>
      <c r="H41" s="986"/>
      <c r="I41" s="1005"/>
      <c r="J41" s="985"/>
      <c r="K41" s="988">
        <f>SUM(K42:K46)</f>
        <v>15903397.777430722</v>
      </c>
      <c r="O41" s="238"/>
    </row>
    <row r="42" spans="1:22">
      <c r="A42" s="972"/>
      <c r="B42" s="974" t="s">
        <v>3129</v>
      </c>
      <c r="C42" s="972" t="s">
        <v>2755</v>
      </c>
      <c r="D42" s="1016">
        <v>1547</v>
      </c>
      <c r="E42" s="1012">
        <v>413.90026975368181</v>
      </c>
      <c r="F42" s="1007" t="s">
        <v>3130</v>
      </c>
      <c r="G42" s="1007" t="s">
        <v>3131</v>
      </c>
      <c r="H42" s="975">
        <v>2010</v>
      </c>
      <c r="I42" s="1009" t="s">
        <v>3075</v>
      </c>
      <c r="J42" s="1014">
        <v>2.4594548096904609</v>
      </c>
      <c r="K42" s="995">
        <f>$D$42*E42*9.5*J42</f>
        <v>14960581.543382594</v>
      </c>
      <c r="O42" s="252"/>
      <c r="P42" s="252"/>
      <c r="S42" s="254"/>
      <c r="T42" s="252"/>
      <c r="U42" s="252"/>
      <c r="V42" s="252"/>
    </row>
    <row r="43" spans="1:22">
      <c r="A43" s="972"/>
      <c r="B43" s="974" t="s">
        <v>3132</v>
      </c>
      <c r="C43" s="972" t="s">
        <v>2755</v>
      </c>
      <c r="D43" s="1016"/>
      <c r="E43" s="1012">
        <v>8.6285201626412125</v>
      </c>
      <c r="F43" s="1007" t="s">
        <v>3130</v>
      </c>
      <c r="G43" s="1007" t="s">
        <v>3131</v>
      </c>
      <c r="H43" s="975">
        <v>2010</v>
      </c>
      <c r="I43" s="1009" t="s">
        <v>3133</v>
      </c>
      <c r="J43" s="1014">
        <v>2.044861568155242</v>
      </c>
      <c r="K43" s="995">
        <f>$D$42*E43*9.5*J43</f>
        <v>259306.94582592597</v>
      </c>
      <c r="O43" s="252"/>
      <c r="P43" s="252"/>
      <c r="S43" s="254"/>
      <c r="T43" s="252"/>
      <c r="U43" s="252"/>
      <c r="V43" s="252"/>
    </row>
    <row r="44" spans="1:22">
      <c r="A44" s="972"/>
      <c r="B44" s="974" t="s">
        <v>3134</v>
      </c>
      <c r="C44" s="972" t="s">
        <v>2755</v>
      </c>
      <c r="D44" s="1017"/>
      <c r="E44" s="1012">
        <v>8.4223755865128087</v>
      </c>
      <c r="F44" s="1007" t="s">
        <v>3130</v>
      </c>
      <c r="G44" s="1007" t="s">
        <v>3131</v>
      </c>
      <c r="H44" s="975">
        <v>2010</v>
      </c>
      <c r="I44" s="1009" t="s">
        <v>3117</v>
      </c>
      <c r="J44" s="1014">
        <v>2.04</v>
      </c>
      <c r="K44" s="995">
        <f>$D$42*E44*9.5*J44</f>
        <v>252510.06332665842</v>
      </c>
      <c r="O44" s="252"/>
      <c r="P44" s="252"/>
      <c r="S44" s="254"/>
      <c r="T44" s="252"/>
      <c r="U44" s="252"/>
      <c r="V44" s="252"/>
    </row>
    <row r="45" spans="1:22">
      <c r="A45" s="972"/>
      <c r="B45" s="974" t="s">
        <v>3135</v>
      </c>
      <c r="C45" s="972" t="s">
        <v>2755</v>
      </c>
      <c r="D45" s="972"/>
      <c r="E45" s="1018">
        <v>0.2</v>
      </c>
      <c r="F45" s="1019"/>
      <c r="G45" s="1007"/>
      <c r="H45" s="975"/>
      <c r="I45" s="1009"/>
      <c r="J45" s="995"/>
      <c r="K45" s="1014">
        <f>K44*E45</f>
        <v>50502.012665331684</v>
      </c>
      <c r="S45" s="204"/>
    </row>
    <row r="46" spans="1:22">
      <c r="B46" s="231" t="s">
        <v>3076</v>
      </c>
      <c r="C46" s="232" t="s">
        <v>2755</v>
      </c>
      <c r="D46" s="233">
        <v>2.5000000000000001E-2</v>
      </c>
      <c r="E46" s="234" t="s">
        <v>3077</v>
      </c>
      <c r="F46" s="231"/>
      <c r="G46" s="231"/>
      <c r="H46" s="231"/>
      <c r="I46" s="255"/>
      <c r="J46" s="231"/>
      <c r="K46" s="235">
        <f>SUM(K42:K43)*D46</f>
        <v>380497.21223021299</v>
      </c>
      <c r="O46" s="238"/>
    </row>
    <row r="48" spans="1:22">
      <c r="A48" s="972">
        <v>27</v>
      </c>
      <c r="B48" s="1020" t="s">
        <v>3122</v>
      </c>
      <c r="C48" s="1021"/>
      <c r="D48" s="1021"/>
      <c r="E48" s="1021"/>
      <c r="F48" s="1022"/>
      <c r="G48" s="1022"/>
      <c r="H48" s="1023"/>
      <c r="I48" s="1024"/>
      <c r="J48" s="1025"/>
      <c r="K48" s="1026">
        <f>SUM(K49:K51)</f>
        <v>95045419.262908727</v>
      </c>
    </row>
    <row r="49" spans="1:14">
      <c r="A49" s="972"/>
      <c r="B49" s="974"/>
      <c r="C49" s="972"/>
      <c r="D49" s="1027"/>
      <c r="E49" s="1028"/>
      <c r="F49" s="1029"/>
      <c r="G49" s="974"/>
      <c r="H49" s="975"/>
      <c r="I49" s="1009"/>
      <c r="J49" s="977"/>
      <c r="K49" s="1014"/>
      <c r="L49" s="623" t="s">
        <v>3211</v>
      </c>
    </row>
    <row r="50" spans="1:14">
      <c r="A50" s="972"/>
      <c r="B50" s="974" t="s">
        <v>3205</v>
      </c>
      <c r="C50" s="972" t="s">
        <v>2755</v>
      </c>
      <c r="D50" s="1027">
        <v>6016.8</v>
      </c>
      <c r="E50" s="1030">
        <v>81105636.854908735</v>
      </c>
      <c r="F50" s="1031" t="s">
        <v>3207</v>
      </c>
      <c r="G50" s="974" t="s">
        <v>3206</v>
      </c>
      <c r="H50" s="975">
        <v>2023</v>
      </c>
      <c r="I50" s="984"/>
      <c r="J50" s="977"/>
      <c r="K50" s="1014">
        <f>E50</f>
        <v>81105636.854908735</v>
      </c>
      <c r="L50" s="623" t="s">
        <v>3127</v>
      </c>
    </row>
    <row r="51" spans="1:14">
      <c r="A51" s="972"/>
      <c r="B51" s="1032" t="s">
        <v>3126</v>
      </c>
      <c r="C51" s="1033" t="s">
        <v>2755</v>
      </c>
      <c r="D51" s="1034">
        <f>D50</f>
        <v>6016.8</v>
      </c>
      <c r="E51" s="1035">
        <v>2316.81</v>
      </c>
      <c r="F51" s="1029" t="s">
        <v>3123</v>
      </c>
      <c r="G51" s="1032" t="s">
        <v>3316</v>
      </c>
      <c r="H51" s="1036">
        <v>2023</v>
      </c>
      <c r="I51" s="1037"/>
      <c r="J51" s="1038" t="s">
        <v>1477</v>
      </c>
      <c r="K51" s="1039">
        <f>D51*E51</f>
        <v>13939782.408</v>
      </c>
      <c r="L51" s="623" t="s">
        <v>3127</v>
      </c>
    </row>
    <row r="53" spans="1:14">
      <c r="A53" s="972">
        <v>28</v>
      </c>
      <c r="B53" s="973" t="s">
        <v>3823</v>
      </c>
      <c r="C53" s="972"/>
      <c r="D53" s="972"/>
      <c r="E53" s="972"/>
      <c r="F53" s="1003">
        <v>1783.8</v>
      </c>
      <c r="G53" s="1004" t="s">
        <v>3825</v>
      </c>
      <c r="H53" s="1040">
        <v>4233</v>
      </c>
      <c r="I53" s="1041" t="s">
        <v>3827</v>
      </c>
      <c r="K53" s="228">
        <f>SUM(K54:K57)</f>
        <v>31479363.298860144</v>
      </c>
    </row>
    <row r="54" spans="1:14">
      <c r="A54" s="972"/>
      <c r="B54" s="974" t="s">
        <v>3225</v>
      </c>
      <c r="C54" s="972"/>
      <c r="D54" s="1042" t="s">
        <v>3110</v>
      </c>
      <c r="E54" s="1043">
        <v>2678.6177359903613</v>
      </c>
      <c r="F54" s="974" t="s">
        <v>3226</v>
      </c>
      <c r="G54" s="1043">
        <v>1783.8</v>
      </c>
      <c r="H54" s="1044" t="s">
        <v>3227</v>
      </c>
      <c r="I54" s="976"/>
      <c r="K54" s="393">
        <f>E54*G54</f>
        <v>4778118.3174596066</v>
      </c>
      <c r="M54" s="139">
        <f>(K54+(K57*0.2))/1.2462</f>
        <v>4424291.4084215462</v>
      </c>
      <c r="N54" s="139">
        <v>4424291.4084215499</v>
      </c>
    </row>
    <row r="55" spans="1:14">
      <c r="A55" s="972"/>
      <c r="B55" s="974" t="s">
        <v>3229</v>
      </c>
      <c r="C55" s="972"/>
      <c r="D55" s="1042" t="s">
        <v>3110</v>
      </c>
      <c r="E55" s="1043">
        <v>5114.3119549066851</v>
      </c>
      <c r="F55" s="974"/>
      <c r="G55" s="1043">
        <v>1783.8</v>
      </c>
      <c r="H55" s="1044" t="s">
        <v>3227</v>
      </c>
      <c r="I55" s="976"/>
      <c r="K55" s="393">
        <f>E55*G54</f>
        <v>9122909.6651625447</v>
      </c>
      <c r="M55" s="139">
        <f>(K55+K56+(K57*0.8))/1.1528</f>
        <v>22524125.039629783</v>
      </c>
      <c r="N55" s="139">
        <v>22524125.039629798</v>
      </c>
    </row>
    <row r="56" spans="1:14">
      <c r="A56" s="972"/>
      <c r="B56" s="974" t="s">
        <v>3230</v>
      </c>
      <c r="C56" s="972"/>
      <c r="D56" s="1042" t="s">
        <v>3110</v>
      </c>
      <c r="E56" s="1043">
        <v>7793.0077013462105</v>
      </c>
      <c r="F56" s="974"/>
      <c r="G56" s="1043">
        <v>1783.8</v>
      </c>
      <c r="H56" s="1044" t="s">
        <v>3227</v>
      </c>
      <c r="I56" s="976"/>
      <c r="K56" s="393">
        <f>E56*G55</f>
        <v>13901167.13766137</v>
      </c>
    </row>
    <row r="57" spans="1:14">
      <c r="A57" s="972"/>
      <c r="B57" s="974" t="s">
        <v>3831</v>
      </c>
      <c r="C57" s="972"/>
      <c r="D57" s="1042"/>
      <c r="E57" s="1043">
        <v>28200</v>
      </c>
      <c r="F57" s="1042" t="s">
        <v>3830</v>
      </c>
      <c r="G57" s="979">
        <f>'REDE PRESSURIZADA'!H229/'REDE PRESSURIZADA'!E229+'REDE PRESSURIZADA'!H43/'REDE PRESSURIZADA'!E43</f>
        <v>130.3960347012987</v>
      </c>
      <c r="H57" s="1044" t="s">
        <v>3829</v>
      </c>
      <c r="I57" s="976"/>
      <c r="K57" s="237">
        <f>E57*G57</f>
        <v>3677168.1785766236</v>
      </c>
      <c r="L57" t="s">
        <v>3828</v>
      </c>
    </row>
    <row r="58" spans="1:14" ht="18">
      <c r="A58" s="387"/>
      <c r="B58" s="388" t="s">
        <v>3222</v>
      </c>
      <c r="C58" s="387"/>
      <c r="D58" s="387"/>
      <c r="E58" s="387"/>
      <c r="F58" s="388"/>
      <c r="G58" s="388"/>
      <c r="H58" s="389"/>
      <c r="I58" s="390"/>
      <c r="J58" s="391"/>
      <c r="K58" s="392">
        <f>K6+K14+K22+K29+K35+K41+K48+K53</f>
        <v>191009542.94113994</v>
      </c>
    </row>
    <row r="61" spans="1:14">
      <c r="A61" s="618">
        <v>15</v>
      </c>
      <c r="B61" s="236" t="s">
        <v>3440</v>
      </c>
      <c r="E61" s="77" t="s">
        <v>3445</v>
      </c>
      <c r="K61" s="243">
        <f>SUM(K62:K63)</f>
        <v>11283749.53346727</v>
      </c>
    </row>
    <row r="62" spans="1:14">
      <c r="B62" s="239" t="s">
        <v>3441</v>
      </c>
      <c r="C62" s="77" t="s">
        <v>3443</v>
      </c>
      <c r="D62" s="77" t="s">
        <v>3444</v>
      </c>
      <c r="E62" s="517">
        <v>554739.64</v>
      </c>
      <c r="H62" s="229">
        <v>1995</v>
      </c>
      <c r="I62" s="253" t="s">
        <v>3075</v>
      </c>
      <c r="J62" s="619">
        <v>8.1633923278855107</v>
      </c>
      <c r="K62" s="393">
        <f>E62*J62</f>
        <v>4528557.3211499704</v>
      </c>
    </row>
    <row r="63" spans="1:14">
      <c r="B63" s="239" t="s">
        <v>3442</v>
      </c>
      <c r="C63" s="77" t="s">
        <v>3443</v>
      </c>
      <c r="D63" s="77" t="s">
        <v>3444</v>
      </c>
      <c r="E63" s="517">
        <v>827498.17</v>
      </c>
      <c r="H63" s="229">
        <v>1995</v>
      </c>
      <c r="I63" s="253" t="s">
        <v>3133</v>
      </c>
      <c r="J63" s="619">
        <v>8.1633923278855107</v>
      </c>
      <c r="K63" s="393">
        <f>E63*J63</f>
        <v>6755192.2123173</v>
      </c>
    </row>
    <row r="66" spans="1:11">
      <c r="A66" s="618">
        <v>14</v>
      </c>
      <c r="B66" s="236" t="s">
        <v>3448</v>
      </c>
      <c r="E66" s="77" t="s">
        <v>3445</v>
      </c>
      <c r="K66" s="243">
        <f>SUM(K67:K68)</f>
        <v>8478696.5809344575</v>
      </c>
    </row>
    <row r="67" spans="1:11">
      <c r="B67" t="s">
        <v>3446</v>
      </c>
      <c r="C67" s="77" t="s">
        <v>3443</v>
      </c>
      <c r="D67" s="77" t="s">
        <v>3444</v>
      </c>
      <c r="E67" s="252">
        <v>523251.92</v>
      </c>
      <c r="H67" s="229">
        <v>1995</v>
      </c>
      <c r="I67" s="253" t="s">
        <v>3075</v>
      </c>
      <c r="J67" s="619">
        <v>8.1633923278855107</v>
      </c>
      <c r="K67" s="393">
        <f>E67*J67</f>
        <v>4271510.709279363</v>
      </c>
    </row>
    <row r="68" spans="1:11">
      <c r="B68" t="s">
        <v>3447</v>
      </c>
      <c r="C68" s="77" t="s">
        <v>3443</v>
      </c>
      <c r="D68" s="77" t="s">
        <v>3444</v>
      </c>
      <c r="E68" s="252">
        <v>515372.25</v>
      </c>
      <c r="H68" s="229">
        <v>1995</v>
      </c>
      <c r="I68" s="253" t="s">
        <v>3133</v>
      </c>
      <c r="J68" s="619">
        <v>8.1633923278855107</v>
      </c>
      <c r="K68" s="393">
        <f>E68*J68</f>
        <v>4207185.8716550935</v>
      </c>
    </row>
    <row r="70" spans="1:11">
      <c r="A70" s="618" t="s">
        <v>186</v>
      </c>
      <c r="B70" s="236" t="s">
        <v>3449</v>
      </c>
      <c r="E70" s="77" t="s">
        <v>3445</v>
      </c>
      <c r="K70" s="243">
        <f>SUM(K71:K74)</f>
        <v>1108324.5923850453</v>
      </c>
    </row>
    <row r="71" spans="1:11">
      <c r="B71" t="s">
        <v>3450</v>
      </c>
      <c r="C71" s="77" t="s">
        <v>3443</v>
      </c>
      <c r="D71" s="77" t="s">
        <v>3444</v>
      </c>
      <c r="E71" s="252">
        <v>35878.370000000003</v>
      </c>
      <c r="H71" s="229">
        <v>1995</v>
      </c>
      <c r="I71" s="253" t="s">
        <v>3133</v>
      </c>
      <c r="J71" s="619">
        <v>8.1633923278855107</v>
      </c>
      <c r="K71" s="393">
        <f t="shared" ref="K71:K74" si="0">E71*J71</f>
        <v>292889.21039503772</v>
      </c>
    </row>
    <row r="72" spans="1:11">
      <c r="B72" t="s">
        <v>3451</v>
      </c>
      <c r="C72" s="77" t="s">
        <v>3443</v>
      </c>
      <c r="D72" s="77" t="s">
        <v>3444</v>
      </c>
      <c r="E72" s="252">
        <v>31502.32</v>
      </c>
      <c r="H72" s="229">
        <v>1995</v>
      </c>
      <c r="I72" s="253" t="s">
        <v>3133</v>
      </c>
      <c r="J72" s="619">
        <v>8.1633923278855107</v>
      </c>
      <c r="K72" s="393">
        <f t="shared" si="0"/>
        <v>257165.79739859427</v>
      </c>
    </row>
    <row r="73" spans="1:11">
      <c r="B73" t="s">
        <v>3452</v>
      </c>
      <c r="C73" s="77" t="s">
        <v>3443</v>
      </c>
      <c r="D73" s="77" t="s">
        <v>3444</v>
      </c>
      <c r="E73" s="252">
        <v>36574.589999999997</v>
      </c>
      <c r="H73" s="229">
        <v>1995</v>
      </c>
      <c r="I73" s="253" t="s">
        <v>3133</v>
      </c>
      <c r="J73" s="619">
        <v>8.1633923278855107</v>
      </c>
      <c r="K73" s="393">
        <f t="shared" si="0"/>
        <v>298572.72740155808</v>
      </c>
    </row>
    <row r="74" spans="1:11">
      <c r="B74" t="s">
        <v>3453</v>
      </c>
      <c r="C74" s="77" t="s">
        <v>3443</v>
      </c>
      <c r="D74" s="77" t="s">
        <v>3444</v>
      </c>
      <c r="E74" s="252">
        <v>31812.37</v>
      </c>
      <c r="H74" s="229">
        <v>1995</v>
      </c>
      <c r="I74" s="253" t="s">
        <v>3133</v>
      </c>
      <c r="J74" s="619">
        <v>8.1633923278855107</v>
      </c>
      <c r="K74" s="393">
        <f t="shared" si="0"/>
        <v>259696.85718985519</v>
      </c>
    </row>
    <row r="77" spans="1:11">
      <c r="A77" s="618" t="s">
        <v>206</v>
      </c>
      <c r="B77" s="236" t="s">
        <v>3455</v>
      </c>
      <c r="E77" s="77" t="s">
        <v>3445</v>
      </c>
      <c r="K77" s="243">
        <f>SUM(K78:K79)</f>
        <v>457390.54553349141</v>
      </c>
    </row>
    <row r="78" spans="1:11">
      <c r="B78" t="s">
        <v>3224</v>
      </c>
      <c r="C78" s="77" t="s">
        <v>3443</v>
      </c>
      <c r="D78" s="77" t="s">
        <v>3444</v>
      </c>
      <c r="E78" s="252">
        <v>14293.15</v>
      </c>
      <c r="H78" s="229">
        <v>1995</v>
      </c>
      <c r="I78" s="253" t="s">
        <v>3133</v>
      </c>
      <c r="J78" s="619">
        <v>8.1633923278855107</v>
      </c>
      <c r="K78" s="393">
        <f t="shared" ref="K78:K79" si="1">E78*J78</f>
        <v>116680.59105131679</v>
      </c>
    </row>
    <row r="79" spans="1:11">
      <c r="B79" t="s">
        <v>3454</v>
      </c>
      <c r="C79" s="77" t="s">
        <v>3443</v>
      </c>
      <c r="D79" s="77" t="s">
        <v>3457</v>
      </c>
      <c r="E79" s="252">
        <v>41736.32</v>
      </c>
      <c r="H79" s="229">
        <v>1995</v>
      </c>
      <c r="I79" s="253" t="s">
        <v>3460</v>
      </c>
      <c r="J79" s="619">
        <v>8.1633923278855107</v>
      </c>
      <c r="K79" s="393">
        <f t="shared" si="1"/>
        <v>340709.95448217459</v>
      </c>
    </row>
    <row r="81" spans="1:11">
      <c r="A81" s="618" t="s">
        <v>255</v>
      </c>
      <c r="B81" s="236" t="s">
        <v>3456</v>
      </c>
      <c r="E81" s="77" t="s">
        <v>3445</v>
      </c>
      <c r="K81" s="243">
        <f>SUM(K82:K83)</f>
        <v>6361422.0852841046</v>
      </c>
    </row>
    <row r="82" spans="1:11">
      <c r="B82" t="s">
        <v>3224</v>
      </c>
      <c r="D82" s="77" t="s">
        <v>3444</v>
      </c>
      <c r="E82" s="252">
        <v>103745.12</v>
      </c>
      <c r="H82" s="229">
        <v>1995</v>
      </c>
      <c r="I82" s="253" t="s">
        <v>3133</v>
      </c>
      <c r="J82" s="619">
        <v>8.1633923278855107</v>
      </c>
      <c r="K82" s="393">
        <f t="shared" ref="K82:K83" si="2">E82*J82</f>
        <v>846912.11666356167</v>
      </c>
    </row>
    <row r="83" spans="1:11">
      <c r="B83" t="s">
        <v>3454</v>
      </c>
      <c r="D83" s="77" t="s">
        <v>3458</v>
      </c>
      <c r="E83" s="252">
        <v>675516.96</v>
      </c>
      <c r="H83" s="229">
        <v>1995</v>
      </c>
      <c r="I83" s="253" t="s">
        <v>3460</v>
      </c>
      <c r="J83" s="619">
        <v>8.1633923278855107</v>
      </c>
      <c r="K83" s="393">
        <f t="shared" si="2"/>
        <v>5514509.9686205434</v>
      </c>
    </row>
    <row r="86" spans="1:11">
      <c r="A86" s="618" t="s">
        <v>98</v>
      </c>
      <c r="B86" s="236" t="s">
        <v>3288</v>
      </c>
      <c r="E86" s="77" t="s">
        <v>3445</v>
      </c>
      <c r="K86" s="243">
        <f>SUM(K87:K88)</f>
        <v>1442850.0424735369</v>
      </c>
    </row>
    <row r="87" spans="1:11">
      <c r="B87" t="s">
        <v>3224</v>
      </c>
      <c r="D87" s="77" t="s">
        <v>3444</v>
      </c>
      <c r="E87" s="252">
        <v>86256.86</v>
      </c>
      <c r="H87" s="229">
        <v>1995</v>
      </c>
      <c r="I87" s="253" t="s">
        <v>3133</v>
      </c>
      <c r="J87" s="619">
        <v>8.1633923278855107</v>
      </c>
      <c r="K87" s="393">
        <f t="shared" ref="K87:K88" si="3">E87*J87</f>
        <v>704148.58915149455</v>
      </c>
    </row>
    <row r="88" spans="1:11">
      <c r="B88" t="s">
        <v>3454</v>
      </c>
      <c r="D88" s="77" t="s">
        <v>3459</v>
      </c>
      <c r="E88" s="252">
        <v>90489.51999999999</v>
      </c>
      <c r="H88" s="229">
        <v>1995</v>
      </c>
      <c r="I88" s="253" t="s">
        <v>3460</v>
      </c>
      <c r="J88" s="619">
        <v>8.1633923278855107</v>
      </c>
      <c r="K88" s="393">
        <f t="shared" si="3"/>
        <v>738701.45332204236</v>
      </c>
    </row>
    <row r="91" spans="1:11">
      <c r="A91" s="618" t="s">
        <v>227</v>
      </c>
      <c r="B91" s="236" t="s">
        <v>3824</v>
      </c>
      <c r="D91" s="77" t="s">
        <v>3444</v>
      </c>
      <c r="E91" s="77" t="s">
        <v>3445</v>
      </c>
      <c r="K91" s="243">
        <f>SUM(K92:K93)</f>
        <v>586524.96301846043</v>
      </c>
    </row>
    <row r="92" spans="1:11">
      <c r="B92" t="s">
        <v>3224</v>
      </c>
      <c r="E92" s="252">
        <v>11602.39</v>
      </c>
      <c r="H92" s="229">
        <v>1995</v>
      </c>
      <c r="I92" s="253" t="s">
        <v>3133</v>
      </c>
      <c r="J92" s="619">
        <v>8.1633923278855107</v>
      </c>
      <c r="K92" s="393">
        <f t="shared" ref="K92:K93" si="4">E92*J92</f>
        <v>94714.861511135561</v>
      </c>
    </row>
    <row r="93" spans="1:11">
      <c r="B93" t="s">
        <v>3454</v>
      </c>
      <c r="E93" s="252">
        <v>60245.8</v>
      </c>
      <c r="H93" s="229">
        <v>1995</v>
      </c>
      <c r="I93" s="253" t="s">
        <v>3460</v>
      </c>
      <c r="J93" s="619">
        <v>8.1633923278855107</v>
      </c>
      <c r="K93" s="393">
        <f t="shared" si="4"/>
        <v>491810.1015073249</v>
      </c>
    </row>
    <row r="94" spans="1:11">
      <c r="E94" s="252"/>
      <c r="I94" s="253"/>
      <c r="J94" s="620"/>
      <c r="K94" s="393"/>
    </row>
    <row r="95" spans="1:11">
      <c r="A95" s="618" t="s">
        <v>3461</v>
      </c>
      <c r="B95" s="236" t="s">
        <v>3462</v>
      </c>
      <c r="D95" s="77" t="s">
        <v>3444</v>
      </c>
      <c r="E95" s="77" t="s">
        <v>3445</v>
      </c>
      <c r="K95" s="243">
        <f>SUM(K96:K99)</f>
        <v>33277153.136907868</v>
      </c>
    </row>
    <row r="96" spans="1:11">
      <c r="B96" t="s">
        <v>3463</v>
      </c>
      <c r="E96" s="252">
        <v>197918.47</v>
      </c>
      <c r="H96" s="229">
        <v>1995</v>
      </c>
      <c r="I96" s="253" t="s">
        <v>3133</v>
      </c>
      <c r="J96" s="619">
        <v>8.1633923278855107</v>
      </c>
      <c r="K96" s="393">
        <f t="shared" ref="K96:K99" si="5">E96*J96</f>
        <v>1615686.1195448386</v>
      </c>
    </row>
    <row r="97" spans="1:13">
      <c r="B97" t="s">
        <v>3464</v>
      </c>
      <c r="E97" s="252">
        <v>1950896.72</v>
      </c>
      <c r="F97" s="77"/>
      <c r="G97" s="77"/>
      <c r="H97" s="229">
        <v>1995</v>
      </c>
      <c r="I97" s="253" t="s">
        <v>3133</v>
      </c>
      <c r="J97" s="619">
        <v>8.1633923278855107</v>
      </c>
      <c r="K97" s="393">
        <f t="shared" si="5"/>
        <v>15925935.316545008</v>
      </c>
      <c r="L97" s="77"/>
      <c r="M97" s="77"/>
    </row>
    <row r="98" spans="1:13">
      <c r="B98" t="s">
        <v>3465</v>
      </c>
      <c r="E98" s="252">
        <v>1434723.26</v>
      </c>
      <c r="H98" s="229">
        <v>1995</v>
      </c>
      <c r="I98" s="253" t="s">
        <v>3133</v>
      </c>
      <c r="J98" s="619">
        <v>8.1633923278855107</v>
      </c>
      <c r="K98" s="393">
        <f t="shared" si="5"/>
        <v>11712208.85332289</v>
      </c>
    </row>
    <row r="99" spans="1:13">
      <c r="B99" t="s">
        <v>3466</v>
      </c>
      <c r="E99" s="252">
        <v>492849.38</v>
      </c>
      <c r="H99" s="229">
        <v>1995</v>
      </c>
      <c r="I99" s="253" t="s">
        <v>3133</v>
      </c>
      <c r="J99" s="619">
        <v>8.1633923278855107</v>
      </c>
      <c r="K99" s="393">
        <f t="shared" si="5"/>
        <v>4023322.8474951307</v>
      </c>
    </row>
    <row r="102" spans="1:13">
      <c r="A102" s="621" t="s">
        <v>127</v>
      </c>
      <c r="B102" s="622" t="s">
        <v>3157</v>
      </c>
      <c r="D102" s="77" t="s">
        <v>3444</v>
      </c>
      <c r="E102" s="77" t="s">
        <v>3445</v>
      </c>
      <c r="K102" s="243">
        <f>SUM(K103:K104)</f>
        <v>4956298.1641819794</v>
      </c>
    </row>
    <row r="103" spans="1:13">
      <c r="E103" s="252">
        <v>462979.25</v>
      </c>
      <c r="H103" s="229">
        <v>1995</v>
      </c>
      <c r="I103" s="253" t="s">
        <v>3133</v>
      </c>
      <c r="J103" s="619">
        <v>8.1633923278855107</v>
      </c>
      <c r="K103" s="393">
        <f t="shared" ref="K103" si="6">E103*J103</f>
        <v>3779481.2574201878</v>
      </c>
    </row>
    <row r="104" spans="1:13">
      <c r="E104" s="252">
        <v>128425.9</v>
      </c>
      <c r="H104" s="229">
        <v>1996</v>
      </c>
      <c r="I104" s="253" t="s">
        <v>3133</v>
      </c>
      <c r="J104" s="619">
        <v>9.1633923278855107</v>
      </c>
      <c r="K104" s="393">
        <f t="shared" ref="K104" si="7">E104*J104</f>
        <v>1176816.9067617918</v>
      </c>
    </row>
    <row r="108" spans="1:13">
      <c r="E108" s="242">
        <v>12728489.869999999</v>
      </c>
      <c r="J108" s="619">
        <v>9.1633923278855107</v>
      </c>
      <c r="K108" s="393">
        <f t="shared" ref="K108" si="8">E108*J108</f>
        <v>116636146.42032644</v>
      </c>
    </row>
  </sheetData>
  <mergeCells count="9">
    <mergeCell ref="D15:D19"/>
    <mergeCell ref="I3:J3"/>
    <mergeCell ref="K3:K4"/>
    <mergeCell ref="B3:B4"/>
    <mergeCell ref="C3:C4"/>
    <mergeCell ref="D3:E3"/>
    <mergeCell ref="F3:F4"/>
    <mergeCell ref="G3:G4"/>
    <mergeCell ref="H3:H4"/>
  </mergeCells>
  <pageMargins left="0.511811024" right="0.511811024" top="0.78740157499999996" bottom="0.78740157499999996" header="0.31496062000000002" footer="0.31496062000000002"/>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opLeftCell="A74" workbookViewId="0">
      <selection activeCell="F36" sqref="F36"/>
    </sheetView>
  </sheetViews>
  <sheetFormatPr defaultRowHeight="15"/>
  <cols>
    <col min="1" max="1" width="14.140625" style="484" customWidth="1"/>
    <col min="2" max="2" width="79.5703125" style="484" customWidth="1"/>
    <col min="3" max="3" width="9.140625" style="484" customWidth="1"/>
    <col min="4" max="4" width="13.28515625" style="484" bestFit="1" customWidth="1"/>
    <col min="5" max="5" width="11.85546875" style="484" customWidth="1"/>
    <col min="6" max="6" width="16.140625" style="484" customWidth="1"/>
    <col min="7" max="7" width="13.85546875" style="439" customWidth="1"/>
    <col min="8" max="8" width="9.140625" style="439"/>
    <col min="9" max="9" width="10.7109375" style="439" customWidth="1"/>
    <col min="10" max="254" width="9.140625" style="439"/>
    <col min="255" max="257" width="10.7109375" style="439" customWidth="1"/>
    <col min="258" max="258" width="77.28515625" style="439" customWidth="1"/>
    <col min="259" max="259" width="10.7109375" style="439" customWidth="1"/>
    <col min="260" max="260" width="13.28515625" style="439" bestFit="1" customWidth="1"/>
    <col min="261" max="261" width="11.85546875" style="439" customWidth="1"/>
    <col min="262" max="262" width="16.140625" style="439" customWidth="1"/>
    <col min="263" max="510" width="9.140625" style="439"/>
    <col min="511" max="513" width="10.7109375" style="439" customWidth="1"/>
    <col min="514" max="514" width="77.28515625" style="439" customWidth="1"/>
    <col min="515" max="515" width="10.7109375" style="439" customWidth="1"/>
    <col min="516" max="516" width="13.28515625" style="439" bestFit="1" customWidth="1"/>
    <col min="517" max="517" width="11.85546875" style="439" customWidth="1"/>
    <col min="518" max="518" width="16.140625" style="439" customWidth="1"/>
    <col min="519" max="766" width="9.140625" style="439"/>
    <col min="767" max="769" width="10.7109375" style="439" customWidth="1"/>
    <col min="770" max="770" width="77.28515625" style="439" customWidth="1"/>
    <col min="771" max="771" width="10.7109375" style="439" customWidth="1"/>
    <col min="772" max="772" width="13.28515625" style="439" bestFit="1" customWidth="1"/>
    <col min="773" max="773" width="11.85546875" style="439" customWidth="1"/>
    <col min="774" max="774" width="16.140625" style="439" customWidth="1"/>
    <col min="775" max="1022" width="9.140625" style="439"/>
    <col min="1023" max="1025" width="10.7109375" style="439" customWidth="1"/>
    <col min="1026" max="1026" width="77.28515625" style="439" customWidth="1"/>
    <col min="1027" max="1027" width="10.7109375" style="439" customWidth="1"/>
    <col min="1028" max="1028" width="13.28515625" style="439" bestFit="1" customWidth="1"/>
    <col min="1029" max="1029" width="11.85546875" style="439" customWidth="1"/>
    <col min="1030" max="1030" width="16.140625" style="439" customWidth="1"/>
    <col min="1031" max="1278" width="9.140625" style="439"/>
    <col min="1279" max="1281" width="10.7109375" style="439" customWidth="1"/>
    <col min="1282" max="1282" width="77.28515625" style="439" customWidth="1"/>
    <col min="1283" max="1283" width="10.7109375" style="439" customWidth="1"/>
    <col min="1284" max="1284" width="13.28515625" style="439" bestFit="1" customWidth="1"/>
    <col min="1285" max="1285" width="11.85546875" style="439" customWidth="1"/>
    <col min="1286" max="1286" width="16.140625" style="439" customWidth="1"/>
    <col min="1287" max="1534" width="9.140625" style="439"/>
    <col min="1535" max="1537" width="10.7109375" style="439" customWidth="1"/>
    <col min="1538" max="1538" width="77.28515625" style="439" customWidth="1"/>
    <col min="1539" max="1539" width="10.7109375" style="439" customWidth="1"/>
    <col min="1540" max="1540" width="13.28515625" style="439" bestFit="1" customWidth="1"/>
    <col min="1541" max="1541" width="11.85546875" style="439" customWidth="1"/>
    <col min="1542" max="1542" width="16.140625" style="439" customWidth="1"/>
    <col min="1543" max="1790" width="9.140625" style="439"/>
    <col min="1791" max="1793" width="10.7109375" style="439" customWidth="1"/>
    <col min="1794" max="1794" width="77.28515625" style="439" customWidth="1"/>
    <col min="1795" max="1795" width="10.7109375" style="439" customWidth="1"/>
    <col min="1796" max="1796" width="13.28515625" style="439" bestFit="1" customWidth="1"/>
    <col min="1797" max="1797" width="11.85546875" style="439" customWidth="1"/>
    <col min="1798" max="1798" width="16.140625" style="439" customWidth="1"/>
    <col min="1799" max="2046" width="9.140625" style="439"/>
    <col min="2047" max="2049" width="10.7109375" style="439" customWidth="1"/>
    <col min="2050" max="2050" width="77.28515625" style="439" customWidth="1"/>
    <col min="2051" max="2051" width="10.7109375" style="439" customWidth="1"/>
    <col min="2052" max="2052" width="13.28515625" style="439" bestFit="1" customWidth="1"/>
    <col min="2053" max="2053" width="11.85546875" style="439" customWidth="1"/>
    <col min="2054" max="2054" width="16.140625" style="439" customWidth="1"/>
    <col min="2055" max="2302" width="9.140625" style="439"/>
    <col min="2303" max="2305" width="10.7109375" style="439" customWidth="1"/>
    <col min="2306" max="2306" width="77.28515625" style="439" customWidth="1"/>
    <col min="2307" max="2307" width="10.7109375" style="439" customWidth="1"/>
    <col min="2308" max="2308" width="13.28515625" style="439" bestFit="1" customWidth="1"/>
    <col min="2309" max="2309" width="11.85546875" style="439" customWidth="1"/>
    <col min="2310" max="2310" width="16.140625" style="439" customWidth="1"/>
    <col min="2311" max="2558" width="9.140625" style="439"/>
    <col min="2559" max="2561" width="10.7109375" style="439" customWidth="1"/>
    <col min="2562" max="2562" width="77.28515625" style="439" customWidth="1"/>
    <col min="2563" max="2563" width="10.7109375" style="439" customWidth="1"/>
    <col min="2564" max="2564" width="13.28515625" style="439" bestFit="1" customWidth="1"/>
    <col min="2565" max="2565" width="11.85546875" style="439" customWidth="1"/>
    <col min="2566" max="2566" width="16.140625" style="439" customWidth="1"/>
    <col min="2567" max="2814" width="9.140625" style="439"/>
    <col min="2815" max="2817" width="10.7109375" style="439" customWidth="1"/>
    <col min="2818" max="2818" width="77.28515625" style="439" customWidth="1"/>
    <col min="2819" max="2819" width="10.7109375" style="439" customWidth="1"/>
    <col min="2820" max="2820" width="13.28515625" style="439" bestFit="1" customWidth="1"/>
    <col min="2821" max="2821" width="11.85546875" style="439" customWidth="1"/>
    <col min="2822" max="2822" width="16.140625" style="439" customWidth="1"/>
    <col min="2823" max="3070" width="9.140625" style="439"/>
    <col min="3071" max="3073" width="10.7109375" style="439" customWidth="1"/>
    <col min="3074" max="3074" width="77.28515625" style="439" customWidth="1"/>
    <col min="3075" max="3075" width="10.7109375" style="439" customWidth="1"/>
    <col min="3076" max="3076" width="13.28515625" style="439" bestFit="1" customWidth="1"/>
    <col min="3077" max="3077" width="11.85546875" style="439" customWidth="1"/>
    <col min="3078" max="3078" width="16.140625" style="439" customWidth="1"/>
    <col min="3079" max="3326" width="9.140625" style="439"/>
    <col min="3327" max="3329" width="10.7109375" style="439" customWidth="1"/>
    <col min="3330" max="3330" width="77.28515625" style="439" customWidth="1"/>
    <col min="3331" max="3331" width="10.7109375" style="439" customWidth="1"/>
    <col min="3332" max="3332" width="13.28515625" style="439" bestFit="1" customWidth="1"/>
    <col min="3333" max="3333" width="11.85546875" style="439" customWidth="1"/>
    <col min="3334" max="3334" width="16.140625" style="439" customWidth="1"/>
    <col min="3335" max="3582" width="9.140625" style="439"/>
    <col min="3583" max="3585" width="10.7109375" style="439" customWidth="1"/>
    <col min="3586" max="3586" width="77.28515625" style="439" customWidth="1"/>
    <col min="3587" max="3587" width="10.7109375" style="439" customWidth="1"/>
    <col min="3588" max="3588" width="13.28515625" style="439" bestFit="1" customWidth="1"/>
    <col min="3589" max="3589" width="11.85546875" style="439" customWidth="1"/>
    <col min="3590" max="3590" width="16.140625" style="439" customWidth="1"/>
    <col min="3591" max="3838" width="9.140625" style="439"/>
    <col min="3839" max="3841" width="10.7109375" style="439" customWidth="1"/>
    <col min="3842" max="3842" width="77.28515625" style="439" customWidth="1"/>
    <col min="3843" max="3843" width="10.7109375" style="439" customWidth="1"/>
    <col min="3844" max="3844" width="13.28515625" style="439" bestFit="1" customWidth="1"/>
    <col min="3845" max="3845" width="11.85546875" style="439" customWidth="1"/>
    <col min="3846" max="3846" width="16.140625" style="439" customWidth="1"/>
    <col min="3847" max="4094" width="9.140625" style="439"/>
    <col min="4095" max="4097" width="10.7109375" style="439" customWidth="1"/>
    <col min="4098" max="4098" width="77.28515625" style="439" customWidth="1"/>
    <col min="4099" max="4099" width="10.7109375" style="439" customWidth="1"/>
    <col min="4100" max="4100" width="13.28515625" style="439" bestFit="1" customWidth="1"/>
    <col min="4101" max="4101" width="11.85546875" style="439" customWidth="1"/>
    <col min="4102" max="4102" width="16.140625" style="439" customWidth="1"/>
    <col min="4103" max="4350" width="9.140625" style="439"/>
    <col min="4351" max="4353" width="10.7109375" style="439" customWidth="1"/>
    <col min="4354" max="4354" width="77.28515625" style="439" customWidth="1"/>
    <col min="4355" max="4355" width="10.7109375" style="439" customWidth="1"/>
    <col min="4356" max="4356" width="13.28515625" style="439" bestFit="1" customWidth="1"/>
    <col min="4357" max="4357" width="11.85546875" style="439" customWidth="1"/>
    <col min="4358" max="4358" width="16.140625" style="439" customWidth="1"/>
    <col min="4359" max="4606" width="9.140625" style="439"/>
    <col min="4607" max="4609" width="10.7109375" style="439" customWidth="1"/>
    <col min="4610" max="4610" width="77.28515625" style="439" customWidth="1"/>
    <col min="4611" max="4611" width="10.7109375" style="439" customWidth="1"/>
    <col min="4612" max="4612" width="13.28515625" style="439" bestFit="1" customWidth="1"/>
    <col min="4613" max="4613" width="11.85546875" style="439" customWidth="1"/>
    <col min="4614" max="4614" width="16.140625" style="439" customWidth="1"/>
    <col min="4615" max="4862" width="9.140625" style="439"/>
    <col min="4863" max="4865" width="10.7109375" style="439" customWidth="1"/>
    <col min="4866" max="4866" width="77.28515625" style="439" customWidth="1"/>
    <col min="4867" max="4867" width="10.7109375" style="439" customWidth="1"/>
    <col min="4868" max="4868" width="13.28515625" style="439" bestFit="1" customWidth="1"/>
    <col min="4869" max="4869" width="11.85546875" style="439" customWidth="1"/>
    <col min="4870" max="4870" width="16.140625" style="439" customWidth="1"/>
    <col min="4871" max="5118" width="9.140625" style="439"/>
    <col min="5119" max="5121" width="10.7109375" style="439" customWidth="1"/>
    <col min="5122" max="5122" width="77.28515625" style="439" customWidth="1"/>
    <col min="5123" max="5123" width="10.7109375" style="439" customWidth="1"/>
    <col min="5124" max="5124" width="13.28515625" style="439" bestFit="1" customWidth="1"/>
    <col min="5125" max="5125" width="11.85546875" style="439" customWidth="1"/>
    <col min="5126" max="5126" width="16.140625" style="439" customWidth="1"/>
    <col min="5127" max="5374" width="9.140625" style="439"/>
    <col min="5375" max="5377" width="10.7109375" style="439" customWidth="1"/>
    <col min="5378" max="5378" width="77.28515625" style="439" customWidth="1"/>
    <col min="5379" max="5379" width="10.7109375" style="439" customWidth="1"/>
    <col min="5380" max="5380" width="13.28515625" style="439" bestFit="1" customWidth="1"/>
    <col min="5381" max="5381" width="11.85546875" style="439" customWidth="1"/>
    <col min="5382" max="5382" width="16.140625" style="439" customWidth="1"/>
    <col min="5383" max="5630" width="9.140625" style="439"/>
    <col min="5631" max="5633" width="10.7109375" style="439" customWidth="1"/>
    <col min="5634" max="5634" width="77.28515625" style="439" customWidth="1"/>
    <col min="5635" max="5635" width="10.7109375" style="439" customWidth="1"/>
    <col min="5636" max="5636" width="13.28515625" style="439" bestFit="1" customWidth="1"/>
    <col min="5637" max="5637" width="11.85546875" style="439" customWidth="1"/>
    <col min="5638" max="5638" width="16.140625" style="439" customWidth="1"/>
    <col min="5639" max="5886" width="9.140625" style="439"/>
    <col min="5887" max="5889" width="10.7109375" style="439" customWidth="1"/>
    <col min="5890" max="5890" width="77.28515625" style="439" customWidth="1"/>
    <col min="5891" max="5891" width="10.7109375" style="439" customWidth="1"/>
    <col min="5892" max="5892" width="13.28515625" style="439" bestFit="1" customWidth="1"/>
    <col min="5893" max="5893" width="11.85546875" style="439" customWidth="1"/>
    <col min="5894" max="5894" width="16.140625" style="439" customWidth="1"/>
    <col min="5895" max="6142" width="9.140625" style="439"/>
    <col min="6143" max="6145" width="10.7109375" style="439" customWidth="1"/>
    <col min="6146" max="6146" width="77.28515625" style="439" customWidth="1"/>
    <col min="6147" max="6147" width="10.7109375" style="439" customWidth="1"/>
    <col min="6148" max="6148" width="13.28515625" style="439" bestFit="1" customWidth="1"/>
    <col min="6149" max="6149" width="11.85546875" style="439" customWidth="1"/>
    <col min="6150" max="6150" width="16.140625" style="439" customWidth="1"/>
    <col min="6151" max="6398" width="9.140625" style="439"/>
    <col min="6399" max="6401" width="10.7109375" style="439" customWidth="1"/>
    <col min="6402" max="6402" width="77.28515625" style="439" customWidth="1"/>
    <col min="6403" max="6403" width="10.7109375" style="439" customWidth="1"/>
    <col min="6404" max="6404" width="13.28515625" style="439" bestFit="1" customWidth="1"/>
    <col min="6405" max="6405" width="11.85546875" style="439" customWidth="1"/>
    <col min="6406" max="6406" width="16.140625" style="439" customWidth="1"/>
    <col min="6407" max="6654" width="9.140625" style="439"/>
    <col min="6655" max="6657" width="10.7109375" style="439" customWidth="1"/>
    <col min="6658" max="6658" width="77.28515625" style="439" customWidth="1"/>
    <col min="6659" max="6659" width="10.7109375" style="439" customWidth="1"/>
    <col min="6660" max="6660" width="13.28515625" style="439" bestFit="1" customWidth="1"/>
    <col min="6661" max="6661" width="11.85546875" style="439" customWidth="1"/>
    <col min="6662" max="6662" width="16.140625" style="439" customWidth="1"/>
    <col min="6663" max="6910" width="9.140625" style="439"/>
    <col min="6911" max="6913" width="10.7109375" style="439" customWidth="1"/>
    <col min="6914" max="6914" width="77.28515625" style="439" customWidth="1"/>
    <col min="6915" max="6915" width="10.7109375" style="439" customWidth="1"/>
    <col min="6916" max="6916" width="13.28515625" style="439" bestFit="1" customWidth="1"/>
    <col min="6917" max="6917" width="11.85546875" style="439" customWidth="1"/>
    <col min="6918" max="6918" width="16.140625" style="439" customWidth="1"/>
    <col min="6919" max="7166" width="9.140625" style="439"/>
    <col min="7167" max="7169" width="10.7109375" style="439" customWidth="1"/>
    <col min="7170" max="7170" width="77.28515625" style="439" customWidth="1"/>
    <col min="7171" max="7171" width="10.7109375" style="439" customWidth="1"/>
    <col min="7172" max="7172" width="13.28515625" style="439" bestFit="1" customWidth="1"/>
    <col min="7173" max="7173" width="11.85546875" style="439" customWidth="1"/>
    <col min="7174" max="7174" width="16.140625" style="439" customWidth="1"/>
    <col min="7175" max="7422" width="9.140625" style="439"/>
    <col min="7423" max="7425" width="10.7109375" style="439" customWidth="1"/>
    <col min="7426" max="7426" width="77.28515625" style="439" customWidth="1"/>
    <col min="7427" max="7427" width="10.7109375" style="439" customWidth="1"/>
    <col min="7428" max="7428" width="13.28515625" style="439" bestFit="1" customWidth="1"/>
    <col min="7429" max="7429" width="11.85546875" style="439" customWidth="1"/>
    <col min="7430" max="7430" width="16.140625" style="439" customWidth="1"/>
    <col min="7431" max="7678" width="9.140625" style="439"/>
    <col min="7679" max="7681" width="10.7109375" style="439" customWidth="1"/>
    <col min="7682" max="7682" width="77.28515625" style="439" customWidth="1"/>
    <col min="7683" max="7683" width="10.7109375" style="439" customWidth="1"/>
    <col min="7684" max="7684" width="13.28515625" style="439" bestFit="1" customWidth="1"/>
    <col min="7685" max="7685" width="11.85546875" style="439" customWidth="1"/>
    <col min="7686" max="7686" width="16.140625" style="439" customWidth="1"/>
    <col min="7687" max="7934" width="9.140625" style="439"/>
    <col min="7935" max="7937" width="10.7109375" style="439" customWidth="1"/>
    <col min="7938" max="7938" width="77.28515625" style="439" customWidth="1"/>
    <col min="7939" max="7939" width="10.7109375" style="439" customWidth="1"/>
    <col min="7940" max="7940" width="13.28515625" style="439" bestFit="1" customWidth="1"/>
    <col min="7941" max="7941" width="11.85546875" style="439" customWidth="1"/>
    <col min="7942" max="7942" width="16.140625" style="439" customWidth="1"/>
    <col min="7943" max="8190" width="9.140625" style="439"/>
    <col min="8191" max="8193" width="10.7109375" style="439" customWidth="1"/>
    <col min="8194" max="8194" width="77.28515625" style="439" customWidth="1"/>
    <col min="8195" max="8195" width="10.7109375" style="439" customWidth="1"/>
    <col min="8196" max="8196" width="13.28515625" style="439" bestFit="1" customWidth="1"/>
    <col min="8197" max="8197" width="11.85546875" style="439" customWidth="1"/>
    <col min="8198" max="8198" width="16.140625" style="439" customWidth="1"/>
    <col min="8199" max="8446" width="9.140625" style="439"/>
    <col min="8447" max="8449" width="10.7109375" style="439" customWidth="1"/>
    <col min="8450" max="8450" width="77.28515625" style="439" customWidth="1"/>
    <col min="8451" max="8451" width="10.7109375" style="439" customWidth="1"/>
    <col min="8452" max="8452" width="13.28515625" style="439" bestFit="1" customWidth="1"/>
    <col min="8453" max="8453" width="11.85546875" style="439" customWidth="1"/>
    <col min="8454" max="8454" width="16.140625" style="439" customWidth="1"/>
    <col min="8455" max="8702" width="9.140625" style="439"/>
    <col min="8703" max="8705" width="10.7109375" style="439" customWidth="1"/>
    <col min="8706" max="8706" width="77.28515625" style="439" customWidth="1"/>
    <col min="8707" max="8707" width="10.7109375" style="439" customWidth="1"/>
    <col min="8708" max="8708" width="13.28515625" style="439" bestFit="1" customWidth="1"/>
    <col min="8709" max="8709" width="11.85546875" style="439" customWidth="1"/>
    <col min="8710" max="8710" width="16.140625" style="439" customWidth="1"/>
    <col min="8711" max="8958" width="9.140625" style="439"/>
    <col min="8959" max="8961" width="10.7109375" style="439" customWidth="1"/>
    <col min="8962" max="8962" width="77.28515625" style="439" customWidth="1"/>
    <col min="8963" max="8963" width="10.7109375" style="439" customWidth="1"/>
    <col min="8964" max="8964" width="13.28515625" style="439" bestFit="1" customWidth="1"/>
    <col min="8965" max="8965" width="11.85546875" style="439" customWidth="1"/>
    <col min="8966" max="8966" width="16.140625" style="439" customWidth="1"/>
    <col min="8967" max="9214" width="9.140625" style="439"/>
    <col min="9215" max="9217" width="10.7109375" style="439" customWidth="1"/>
    <col min="9218" max="9218" width="77.28515625" style="439" customWidth="1"/>
    <col min="9219" max="9219" width="10.7109375" style="439" customWidth="1"/>
    <col min="9220" max="9220" width="13.28515625" style="439" bestFit="1" customWidth="1"/>
    <col min="9221" max="9221" width="11.85546875" style="439" customWidth="1"/>
    <col min="9222" max="9222" width="16.140625" style="439" customWidth="1"/>
    <col min="9223" max="9470" width="9.140625" style="439"/>
    <col min="9471" max="9473" width="10.7109375" style="439" customWidth="1"/>
    <col min="9474" max="9474" width="77.28515625" style="439" customWidth="1"/>
    <col min="9475" max="9475" width="10.7109375" style="439" customWidth="1"/>
    <col min="9476" max="9476" width="13.28515625" style="439" bestFit="1" customWidth="1"/>
    <col min="9477" max="9477" width="11.85546875" style="439" customWidth="1"/>
    <col min="9478" max="9478" width="16.140625" style="439" customWidth="1"/>
    <col min="9479" max="9726" width="9.140625" style="439"/>
    <col min="9727" max="9729" width="10.7109375" style="439" customWidth="1"/>
    <col min="9730" max="9730" width="77.28515625" style="439" customWidth="1"/>
    <col min="9731" max="9731" width="10.7109375" style="439" customWidth="1"/>
    <col min="9732" max="9732" width="13.28515625" style="439" bestFit="1" customWidth="1"/>
    <col min="9733" max="9733" width="11.85546875" style="439" customWidth="1"/>
    <col min="9734" max="9734" width="16.140625" style="439" customWidth="1"/>
    <col min="9735" max="9982" width="9.140625" style="439"/>
    <col min="9983" max="9985" width="10.7109375" style="439" customWidth="1"/>
    <col min="9986" max="9986" width="77.28515625" style="439" customWidth="1"/>
    <col min="9987" max="9987" width="10.7109375" style="439" customWidth="1"/>
    <col min="9988" max="9988" width="13.28515625" style="439" bestFit="1" customWidth="1"/>
    <col min="9989" max="9989" width="11.85546875" style="439" customWidth="1"/>
    <col min="9990" max="9990" width="16.140625" style="439" customWidth="1"/>
    <col min="9991" max="10238" width="9.140625" style="439"/>
    <col min="10239" max="10241" width="10.7109375" style="439" customWidth="1"/>
    <col min="10242" max="10242" width="77.28515625" style="439" customWidth="1"/>
    <col min="10243" max="10243" width="10.7109375" style="439" customWidth="1"/>
    <col min="10244" max="10244" width="13.28515625" style="439" bestFit="1" customWidth="1"/>
    <col min="10245" max="10245" width="11.85546875" style="439" customWidth="1"/>
    <col min="10246" max="10246" width="16.140625" style="439" customWidth="1"/>
    <col min="10247" max="10494" width="9.140625" style="439"/>
    <col min="10495" max="10497" width="10.7109375" style="439" customWidth="1"/>
    <col min="10498" max="10498" width="77.28515625" style="439" customWidth="1"/>
    <col min="10499" max="10499" width="10.7109375" style="439" customWidth="1"/>
    <col min="10500" max="10500" width="13.28515625" style="439" bestFit="1" customWidth="1"/>
    <col min="10501" max="10501" width="11.85546875" style="439" customWidth="1"/>
    <col min="10502" max="10502" width="16.140625" style="439" customWidth="1"/>
    <col min="10503" max="10750" width="9.140625" style="439"/>
    <col min="10751" max="10753" width="10.7109375" style="439" customWidth="1"/>
    <col min="10754" max="10754" width="77.28515625" style="439" customWidth="1"/>
    <col min="10755" max="10755" width="10.7109375" style="439" customWidth="1"/>
    <col min="10756" max="10756" width="13.28515625" style="439" bestFit="1" customWidth="1"/>
    <col min="10757" max="10757" width="11.85546875" style="439" customWidth="1"/>
    <col min="10758" max="10758" width="16.140625" style="439" customWidth="1"/>
    <col min="10759" max="11006" width="9.140625" style="439"/>
    <col min="11007" max="11009" width="10.7109375" style="439" customWidth="1"/>
    <col min="11010" max="11010" width="77.28515625" style="439" customWidth="1"/>
    <col min="11011" max="11011" width="10.7109375" style="439" customWidth="1"/>
    <col min="11012" max="11012" width="13.28515625" style="439" bestFit="1" customWidth="1"/>
    <col min="11013" max="11013" width="11.85546875" style="439" customWidth="1"/>
    <col min="11014" max="11014" width="16.140625" style="439" customWidth="1"/>
    <col min="11015" max="11262" width="9.140625" style="439"/>
    <col min="11263" max="11265" width="10.7109375" style="439" customWidth="1"/>
    <col min="11266" max="11266" width="77.28515625" style="439" customWidth="1"/>
    <col min="11267" max="11267" width="10.7109375" style="439" customWidth="1"/>
    <col min="11268" max="11268" width="13.28515625" style="439" bestFit="1" customWidth="1"/>
    <col min="11269" max="11269" width="11.85546875" style="439" customWidth="1"/>
    <col min="11270" max="11270" width="16.140625" style="439" customWidth="1"/>
    <col min="11271" max="11518" width="9.140625" style="439"/>
    <col min="11519" max="11521" width="10.7109375" style="439" customWidth="1"/>
    <col min="11522" max="11522" width="77.28515625" style="439" customWidth="1"/>
    <col min="11523" max="11523" width="10.7109375" style="439" customWidth="1"/>
    <col min="11524" max="11524" width="13.28515625" style="439" bestFit="1" customWidth="1"/>
    <col min="11525" max="11525" width="11.85546875" style="439" customWidth="1"/>
    <col min="11526" max="11526" width="16.140625" style="439" customWidth="1"/>
    <col min="11527" max="11774" width="9.140625" style="439"/>
    <col min="11775" max="11777" width="10.7109375" style="439" customWidth="1"/>
    <col min="11778" max="11778" width="77.28515625" style="439" customWidth="1"/>
    <col min="11779" max="11779" width="10.7109375" style="439" customWidth="1"/>
    <col min="11780" max="11780" width="13.28515625" style="439" bestFit="1" customWidth="1"/>
    <col min="11781" max="11781" width="11.85546875" style="439" customWidth="1"/>
    <col min="11782" max="11782" width="16.140625" style="439" customWidth="1"/>
    <col min="11783" max="12030" width="9.140625" style="439"/>
    <col min="12031" max="12033" width="10.7109375" style="439" customWidth="1"/>
    <col min="12034" max="12034" width="77.28515625" style="439" customWidth="1"/>
    <col min="12035" max="12035" width="10.7109375" style="439" customWidth="1"/>
    <col min="12036" max="12036" width="13.28515625" style="439" bestFit="1" customWidth="1"/>
    <col min="12037" max="12037" width="11.85546875" style="439" customWidth="1"/>
    <col min="12038" max="12038" width="16.140625" style="439" customWidth="1"/>
    <col min="12039" max="12286" width="9.140625" style="439"/>
    <col min="12287" max="12289" width="10.7109375" style="439" customWidth="1"/>
    <col min="12290" max="12290" width="77.28515625" style="439" customWidth="1"/>
    <col min="12291" max="12291" width="10.7109375" style="439" customWidth="1"/>
    <col min="12292" max="12292" width="13.28515625" style="439" bestFit="1" customWidth="1"/>
    <col min="12293" max="12293" width="11.85546875" style="439" customWidth="1"/>
    <col min="12294" max="12294" width="16.140625" style="439" customWidth="1"/>
    <col min="12295" max="12542" width="9.140625" style="439"/>
    <col min="12543" max="12545" width="10.7109375" style="439" customWidth="1"/>
    <col min="12546" max="12546" width="77.28515625" style="439" customWidth="1"/>
    <col min="12547" max="12547" width="10.7109375" style="439" customWidth="1"/>
    <col min="12548" max="12548" width="13.28515625" style="439" bestFit="1" customWidth="1"/>
    <col min="12549" max="12549" width="11.85546875" style="439" customWidth="1"/>
    <col min="12550" max="12550" width="16.140625" style="439" customWidth="1"/>
    <col min="12551" max="12798" width="9.140625" style="439"/>
    <col min="12799" max="12801" width="10.7109375" style="439" customWidth="1"/>
    <col min="12802" max="12802" width="77.28515625" style="439" customWidth="1"/>
    <col min="12803" max="12803" width="10.7109375" style="439" customWidth="1"/>
    <col min="12804" max="12804" width="13.28515625" style="439" bestFit="1" customWidth="1"/>
    <col min="12805" max="12805" width="11.85546875" style="439" customWidth="1"/>
    <col min="12806" max="12806" width="16.140625" style="439" customWidth="1"/>
    <col min="12807" max="13054" width="9.140625" style="439"/>
    <col min="13055" max="13057" width="10.7109375" style="439" customWidth="1"/>
    <col min="13058" max="13058" width="77.28515625" style="439" customWidth="1"/>
    <col min="13059" max="13059" width="10.7109375" style="439" customWidth="1"/>
    <col min="13060" max="13060" width="13.28515625" style="439" bestFit="1" customWidth="1"/>
    <col min="13061" max="13061" width="11.85546875" style="439" customWidth="1"/>
    <col min="13062" max="13062" width="16.140625" style="439" customWidth="1"/>
    <col min="13063" max="13310" width="9.140625" style="439"/>
    <col min="13311" max="13313" width="10.7109375" style="439" customWidth="1"/>
    <col min="13314" max="13314" width="77.28515625" style="439" customWidth="1"/>
    <col min="13315" max="13315" width="10.7109375" style="439" customWidth="1"/>
    <col min="13316" max="13316" width="13.28515625" style="439" bestFit="1" customWidth="1"/>
    <col min="13317" max="13317" width="11.85546875" style="439" customWidth="1"/>
    <col min="13318" max="13318" width="16.140625" style="439" customWidth="1"/>
    <col min="13319" max="13566" width="9.140625" style="439"/>
    <col min="13567" max="13569" width="10.7109375" style="439" customWidth="1"/>
    <col min="13570" max="13570" width="77.28515625" style="439" customWidth="1"/>
    <col min="13571" max="13571" width="10.7109375" style="439" customWidth="1"/>
    <col min="13572" max="13572" width="13.28515625" style="439" bestFit="1" customWidth="1"/>
    <col min="13573" max="13573" width="11.85546875" style="439" customWidth="1"/>
    <col min="13574" max="13574" width="16.140625" style="439" customWidth="1"/>
    <col min="13575" max="13822" width="9.140625" style="439"/>
    <col min="13823" max="13825" width="10.7109375" style="439" customWidth="1"/>
    <col min="13826" max="13826" width="77.28515625" style="439" customWidth="1"/>
    <col min="13827" max="13827" width="10.7109375" style="439" customWidth="1"/>
    <col min="13828" max="13828" width="13.28515625" style="439" bestFit="1" customWidth="1"/>
    <col min="13829" max="13829" width="11.85546875" style="439" customWidth="1"/>
    <col min="13830" max="13830" width="16.140625" style="439" customWidth="1"/>
    <col min="13831" max="14078" width="9.140625" style="439"/>
    <col min="14079" max="14081" width="10.7109375" style="439" customWidth="1"/>
    <col min="14082" max="14082" width="77.28515625" style="439" customWidth="1"/>
    <col min="14083" max="14083" width="10.7109375" style="439" customWidth="1"/>
    <col min="14084" max="14084" width="13.28515625" style="439" bestFit="1" customWidth="1"/>
    <col min="14085" max="14085" width="11.85546875" style="439" customWidth="1"/>
    <col min="14086" max="14086" width="16.140625" style="439" customWidth="1"/>
    <col min="14087" max="14334" width="9.140625" style="439"/>
    <col min="14335" max="14337" width="10.7109375" style="439" customWidth="1"/>
    <col min="14338" max="14338" width="77.28515625" style="439" customWidth="1"/>
    <col min="14339" max="14339" width="10.7109375" style="439" customWidth="1"/>
    <col min="14340" max="14340" width="13.28515625" style="439" bestFit="1" customWidth="1"/>
    <col min="14341" max="14341" width="11.85546875" style="439" customWidth="1"/>
    <col min="14342" max="14342" width="16.140625" style="439" customWidth="1"/>
    <col min="14343" max="14590" width="9.140625" style="439"/>
    <col min="14591" max="14593" width="10.7109375" style="439" customWidth="1"/>
    <col min="14594" max="14594" width="77.28515625" style="439" customWidth="1"/>
    <col min="14595" max="14595" width="10.7109375" style="439" customWidth="1"/>
    <col min="14596" max="14596" width="13.28515625" style="439" bestFit="1" customWidth="1"/>
    <col min="14597" max="14597" width="11.85546875" style="439" customWidth="1"/>
    <col min="14598" max="14598" width="16.140625" style="439" customWidth="1"/>
    <col min="14599" max="14846" width="9.140625" style="439"/>
    <col min="14847" max="14849" width="10.7109375" style="439" customWidth="1"/>
    <col min="14850" max="14850" width="77.28515625" style="439" customWidth="1"/>
    <col min="14851" max="14851" width="10.7109375" style="439" customWidth="1"/>
    <col min="14852" max="14852" width="13.28515625" style="439" bestFit="1" customWidth="1"/>
    <col min="14853" max="14853" width="11.85546875" style="439" customWidth="1"/>
    <col min="14854" max="14854" width="16.140625" style="439" customWidth="1"/>
    <col min="14855" max="15102" width="9.140625" style="439"/>
    <col min="15103" max="15105" width="10.7109375" style="439" customWidth="1"/>
    <col min="15106" max="15106" width="77.28515625" style="439" customWidth="1"/>
    <col min="15107" max="15107" width="10.7109375" style="439" customWidth="1"/>
    <col min="15108" max="15108" width="13.28515625" style="439" bestFit="1" customWidth="1"/>
    <col min="15109" max="15109" width="11.85546875" style="439" customWidth="1"/>
    <col min="15110" max="15110" width="16.140625" style="439" customWidth="1"/>
    <col min="15111" max="15358" width="9.140625" style="439"/>
    <col min="15359" max="15361" width="10.7109375" style="439" customWidth="1"/>
    <col min="15362" max="15362" width="77.28515625" style="439" customWidth="1"/>
    <col min="15363" max="15363" width="10.7109375" style="439" customWidth="1"/>
    <col min="15364" max="15364" width="13.28515625" style="439" bestFit="1" customWidth="1"/>
    <col min="15365" max="15365" width="11.85546875" style="439" customWidth="1"/>
    <col min="15366" max="15366" width="16.140625" style="439" customWidth="1"/>
    <col min="15367" max="15614" width="9.140625" style="439"/>
    <col min="15615" max="15617" width="10.7109375" style="439" customWidth="1"/>
    <col min="15618" max="15618" width="77.28515625" style="439" customWidth="1"/>
    <col min="15619" max="15619" width="10.7109375" style="439" customWidth="1"/>
    <col min="15620" max="15620" width="13.28515625" style="439" bestFit="1" customWidth="1"/>
    <col min="15621" max="15621" width="11.85546875" style="439" customWidth="1"/>
    <col min="15622" max="15622" width="16.140625" style="439" customWidth="1"/>
    <col min="15623" max="15870" width="9.140625" style="439"/>
    <col min="15871" max="15873" width="10.7109375" style="439" customWidth="1"/>
    <col min="15874" max="15874" width="77.28515625" style="439" customWidth="1"/>
    <col min="15875" max="15875" width="10.7109375" style="439" customWidth="1"/>
    <col min="15876" max="15876" width="13.28515625" style="439" bestFit="1" customWidth="1"/>
    <col min="15877" max="15877" width="11.85546875" style="439" customWidth="1"/>
    <col min="15878" max="15878" width="16.140625" style="439" customWidth="1"/>
    <col min="15879" max="16126" width="9.140625" style="439"/>
    <col min="16127" max="16129" width="10.7109375" style="439" customWidth="1"/>
    <col min="16130" max="16130" width="77.28515625" style="439" customWidth="1"/>
    <col min="16131" max="16131" width="10.7109375" style="439" customWidth="1"/>
    <col min="16132" max="16132" width="13.28515625" style="439" bestFit="1" customWidth="1"/>
    <col min="16133" max="16133" width="11.85546875" style="439" customWidth="1"/>
    <col min="16134" max="16134" width="16.140625" style="439" customWidth="1"/>
    <col min="16135" max="16384" width="9.140625" style="439"/>
  </cols>
  <sheetData>
    <row r="1" spans="1:9">
      <c r="A1" s="1180" t="s">
        <v>3243</v>
      </c>
      <c r="B1" s="1180"/>
      <c r="C1" s="1180"/>
      <c r="D1" s="1180"/>
      <c r="E1" s="1180"/>
      <c r="F1" s="1180"/>
    </row>
    <row r="2" spans="1:9">
      <c r="A2" s="1059" t="s">
        <v>3244</v>
      </c>
      <c r="B2" s="1059"/>
      <c r="C2" s="1059"/>
      <c r="D2" s="1059"/>
      <c r="E2" s="1059"/>
      <c r="F2" s="1059"/>
    </row>
    <row r="3" spans="1:9">
      <c r="A3" s="440"/>
      <c r="B3" s="440"/>
      <c r="C3" s="440"/>
      <c r="D3" s="440"/>
      <c r="E3" s="440"/>
      <c r="F3" s="440"/>
    </row>
    <row r="4" spans="1:9" ht="12.75">
      <c r="A4" s="1181" t="s">
        <v>3245</v>
      </c>
      <c r="B4" s="1181"/>
      <c r="C4" s="1181"/>
      <c r="D4" s="1181"/>
      <c r="E4" s="1181"/>
      <c r="F4" s="1181"/>
    </row>
    <row r="5" spans="1:9" ht="19.5" customHeight="1">
      <c r="A5" s="1182"/>
      <c r="B5" s="1182"/>
      <c r="C5" s="1182"/>
      <c r="D5" s="1182"/>
      <c r="E5" s="1182"/>
      <c r="F5" s="1182"/>
    </row>
    <row r="6" spans="1:9">
      <c r="A6" s="1183" t="s">
        <v>0</v>
      </c>
      <c r="B6" s="1183" t="s">
        <v>1489</v>
      </c>
      <c r="C6" s="1183" t="s">
        <v>3246</v>
      </c>
      <c r="D6" s="1183" t="s">
        <v>3247</v>
      </c>
      <c r="E6" s="1183" t="s">
        <v>3248</v>
      </c>
      <c r="F6" s="1184"/>
    </row>
    <row r="7" spans="1:9" ht="12.75">
      <c r="A7" s="1183"/>
      <c r="B7" s="1183"/>
      <c r="C7" s="1183"/>
      <c r="D7" s="1183"/>
      <c r="E7" s="441" t="s">
        <v>12</v>
      </c>
      <c r="F7" s="441" t="s">
        <v>2746</v>
      </c>
      <c r="H7" s="496" t="s">
        <v>3309</v>
      </c>
      <c r="I7" s="497">
        <v>0.2462</v>
      </c>
    </row>
    <row r="8" spans="1:9" ht="12.75">
      <c r="A8" s="1174" t="s">
        <v>3249</v>
      </c>
      <c r="B8" s="1175"/>
      <c r="C8" s="1175"/>
      <c r="D8" s="1175"/>
      <c r="E8" s="1175"/>
      <c r="F8" s="1176"/>
    </row>
    <row r="9" spans="1:9" ht="12.75">
      <c r="A9" s="442"/>
      <c r="B9" s="443"/>
      <c r="C9" s="442"/>
      <c r="D9" s="442"/>
      <c r="E9" s="443"/>
      <c r="F9" s="443"/>
    </row>
    <row r="10" spans="1:9" ht="12.75">
      <c r="A10" s="486">
        <v>1</v>
      </c>
      <c r="B10" s="444" t="s">
        <v>3250</v>
      </c>
      <c r="C10" s="442"/>
      <c r="D10" s="442"/>
      <c r="E10" s="443"/>
      <c r="F10" s="606">
        <f>ROUNDUP(SUM(F12:F16),0)</f>
        <v>853975</v>
      </c>
      <c r="I10" s="498">
        <f>F10+(F10*$I$7)</f>
        <v>1064223.645</v>
      </c>
    </row>
    <row r="11" spans="1:9" ht="123.75">
      <c r="A11" s="445"/>
      <c r="B11" s="446" t="s">
        <v>3251</v>
      </c>
      <c r="C11" s="447"/>
      <c r="D11" s="448"/>
      <c r="E11" s="449"/>
      <c r="F11" s="449"/>
    </row>
    <row r="12" spans="1:9" ht="12.75">
      <c r="A12" s="450" t="s">
        <v>3252</v>
      </c>
      <c r="B12" s="451" t="s">
        <v>1567</v>
      </c>
      <c r="C12" s="452" t="s">
        <v>1467</v>
      </c>
      <c r="D12" s="453">
        <v>23669.695999999996</v>
      </c>
      <c r="E12" s="453">
        <v>15.77</v>
      </c>
      <c r="F12" s="449">
        <v>373271.10591999994</v>
      </c>
    </row>
    <row r="13" spans="1:9" ht="12.75">
      <c r="A13" s="450" t="s">
        <v>3253</v>
      </c>
      <c r="B13" s="451" t="s">
        <v>1562</v>
      </c>
      <c r="C13" s="452" t="s">
        <v>1467</v>
      </c>
      <c r="D13" s="453">
        <v>673.55000000000018</v>
      </c>
      <c r="E13" s="453">
        <v>161.74</v>
      </c>
      <c r="F13" s="449">
        <v>108939.97700000004</v>
      </c>
    </row>
    <row r="14" spans="1:9" ht="12.75">
      <c r="A14" s="450" t="s">
        <v>3254</v>
      </c>
      <c r="B14" s="451" t="s">
        <v>1582</v>
      </c>
      <c r="C14" s="452" t="s">
        <v>1475</v>
      </c>
      <c r="D14" s="453">
        <v>45187.25499999999</v>
      </c>
      <c r="E14" s="453">
        <v>1.98</v>
      </c>
      <c r="F14" s="449">
        <v>89470.76489999998</v>
      </c>
    </row>
    <row r="15" spans="1:9" ht="12.75">
      <c r="A15" s="450" t="s">
        <v>3279</v>
      </c>
      <c r="B15" s="451" t="s">
        <v>2761</v>
      </c>
      <c r="C15" s="452" t="s">
        <v>1467</v>
      </c>
      <c r="D15" s="453">
        <v>6645.3</v>
      </c>
      <c r="E15" s="453">
        <v>1.23</v>
      </c>
      <c r="F15" s="449">
        <f>D15*E15</f>
        <v>8173.7190000000001</v>
      </c>
    </row>
    <row r="16" spans="1:9" ht="12.75">
      <c r="A16" s="445"/>
      <c r="B16" s="451" t="s">
        <v>3311</v>
      </c>
      <c r="C16" s="447" t="s">
        <v>1468</v>
      </c>
      <c r="D16" s="448">
        <v>1</v>
      </c>
      <c r="E16" s="449">
        <f>548238.715425*0.5</f>
        <v>274119.35771249997</v>
      </c>
      <c r="F16" s="449">
        <f>D16*E16</f>
        <v>274119.35771249997</v>
      </c>
    </row>
    <row r="17" spans="1:9" ht="12.75">
      <c r="A17" s="445"/>
      <c r="B17" s="454"/>
      <c r="C17" s="447"/>
      <c r="D17" s="448"/>
      <c r="E17" s="449"/>
      <c r="F17" s="449"/>
    </row>
    <row r="18" spans="1:9" ht="12.75">
      <c r="A18" s="445"/>
      <c r="B18" s="455"/>
      <c r="C18" s="447"/>
      <c r="D18" s="448"/>
      <c r="E18" s="449"/>
      <c r="F18" s="449"/>
    </row>
    <row r="19" spans="1:9" ht="22.5">
      <c r="A19" s="486">
        <v>2</v>
      </c>
      <c r="B19" s="456" t="s">
        <v>3255</v>
      </c>
      <c r="C19" s="447" t="s">
        <v>1468</v>
      </c>
      <c r="D19" s="448">
        <v>1</v>
      </c>
      <c r="E19" s="449">
        <f>F22+F25</f>
        <v>1248961.3837546941</v>
      </c>
      <c r="F19" s="606">
        <f>ROUNDUP(D19*E19,0)</f>
        <v>1248962</v>
      </c>
      <c r="I19" s="498">
        <f>F19+(F19*$I$7)</f>
        <v>1556456.4443999999</v>
      </c>
    </row>
    <row r="20" spans="1:9" ht="90">
      <c r="A20" s="445"/>
      <c r="B20" s="446" t="s">
        <v>3256</v>
      </c>
      <c r="C20" s="447"/>
      <c r="D20" s="448"/>
      <c r="E20" s="449"/>
      <c r="F20" s="449"/>
    </row>
    <row r="21" spans="1:9" ht="12.75">
      <c r="A21" s="445"/>
      <c r="B21" s="457" t="s">
        <v>3257</v>
      </c>
      <c r="C21" s="447" t="s">
        <v>3258</v>
      </c>
      <c r="D21" s="448">
        <v>6.05</v>
      </c>
      <c r="E21" s="448">
        <v>280410.55166065134</v>
      </c>
      <c r="F21" s="449">
        <f>D21*E21</f>
        <v>1696483.8375469407</v>
      </c>
    </row>
    <row r="22" spans="1:9" ht="12.75">
      <c r="A22" s="445"/>
      <c r="B22" s="458" t="s">
        <v>3259</v>
      </c>
      <c r="C22" s="447" t="s">
        <v>1466</v>
      </c>
      <c r="D22" s="448">
        <v>10</v>
      </c>
      <c r="E22" s="449">
        <f>F21</f>
        <v>1696483.8375469407</v>
      </c>
      <c r="F22" s="459">
        <f>D22/100*E22</f>
        <v>169648.38375469408</v>
      </c>
    </row>
    <row r="23" spans="1:9" ht="22.5">
      <c r="A23" s="445"/>
      <c r="B23" s="457" t="s">
        <v>3260</v>
      </c>
      <c r="C23" s="447" t="s">
        <v>1468</v>
      </c>
      <c r="D23" s="448">
        <v>1</v>
      </c>
      <c r="E23" s="449">
        <v>3597705.0554219997</v>
      </c>
      <c r="F23" s="449">
        <f>D23*E23</f>
        <v>3597705.0554219997</v>
      </c>
    </row>
    <row r="24" spans="1:9" ht="12.75">
      <c r="A24" s="445"/>
      <c r="B24" s="458" t="s">
        <v>3261</v>
      </c>
      <c r="C24" s="447" t="s">
        <v>1466</v>
      </c>
      <c r="D24" s="448">
        <v>10</v>
      </c>
      <c r="E24" s="449">
        <f>F23</f>
        <v>3597705.0554219997</v>
      </c>
      <c r="F24" s="449">
        <f>ROUNDUP(D24/100*E24,0)</f>
        <v>359771</v>
      </c>
    </row>
    <row r="25" spans="1:9" ht="12.75">
      <c r="A25" s="445"/>
      <c r="B25" s="460" t="s">
        <v>3262</v>
      </c>
      <c r="C25" s="447" t="s">
        <v>1468</v>
      </c>
      <c r="D25" s="448">
        <v>3</v>
      </c>
      <c r="E25" s="449">
        <f>F24</f>
        <v>359771</v>
      </c>
      <c r="F25" s="459">
        <f>D25*E25</f>
        <v>1079313</v>
      </c>
    </row>
    <row r="26" spans="1:9" ht="12.75">
      <c r="A26" s="445"/>
      <c r="B26" s="460"/>
      <c r="C26" s="447"/>
      <c r="D26" s="448"/>
      <c r="E26" s="449"/>
      <c r="F26" s="449"/>
    </row>
    <row r="27" spans="1:9" ht="12.75">
      <c r="A27" s="486">
        <v>3</v>
      </c>
      <c r="B27" s="458" t="s">
        <v>3263</v>
      </c>
      <c r="C27" s="447" t="s">
        <v>1466</v>
      </c>
      <c r="D27" s="448">
        <v>10</v>
      </c>
      <c r="E27" s="449">
        <f>F29</f>
        <v>1384691.8417199999</v>
      </c>
      <c r="F27" s="607">
        <v>138470</v>
      </c>
      <c r="I27" s="498">
        <f>F27+(F27*$I$7)</f>
        <v>172561.31400000001</v>
      </c>
    </row>
    <row r="28" spans="1:9" ht="78.75">
      <c r="A28" s="445"/>
      <c r="B28" s="446" t="s">
        <v>3264</v>
      </c>
      <c r="C28" s="447"/>
      <c r="D28" s="448"/>
      <c r="E28" s="449"/>
      <c r="F28" s="449"/>
    </row>
    <row r="29" spans="1:9" ht="12.75">
      <c r="A29" s="445"/>
      <c r="B29" s="457" t="s">
        <v>3265</v>
      </c>
      <c r="C29" s="447" t="s">
        <v>1466</v>
      </c>
      <c r="D29" s="448">
        <v>10</v>
      </c>
      <c r="E29" s="449">
        <f>E30</f>
        <v>13846918.417199999</v>
      </c>
      <c r="F29" s="449">
        <f>D29/100*E29</f>
        <v>1384691.8417199999</v>
      </c>
    </row>
    <row r="30" spans="1:9" ht="22.5">
      <c r="A30" s="445"/>
      <c r="B30" s="457" t="s">
        <v>3266</v>
      </c>
      <c r="C30" s="447"/>
      <c r="D30" s="448"/>
      <c r="E30" s="449">
        <v>13846918.417199999</v>
      </c>
      <c r="F30" s="449"/>
    </row>
    <row r="31" spans="1:9" ht="12.75">
      <c r="A31" s="445"/>
      <c r="B31" s="457"/>
      <c r="C31" s="447"/>
      <c r="D31" s="448"/>
      <c r="E31" s="449"/>
      <c r="F31" s="449"/>
    </row>
    <row r="32" spans="1:9" ht="12.75">
      <c r="A32" s="486">
        <v>4</v>
      </c>
      <c r="B32" s="456" t="s">
        <v>3267</v>
      </c>
      <c r="C32" s="447" t="s">
        <v>1466</v>
      </c>
      <c r="D32" s="448">
        <v>10</v>
      </c>
      <c r="E32" s="449">
        <f>E34</f>
        <v>4868232.25</v>
      </c>
      <c r="F32" s="607">
        <f>ROUNDUP(D32/100*E32,0)</f>
        <v>486824</v>
      </c>
      <c r="I32" s="498">
        <f>F32+(F32*$I$7)</f>
        <v>606680.06880000001</v>
      </c>
    </row>
    <row r="33" spans="1:10" ht="90">
      <c r="A33" s="445"/>
      <c r="B33" s="446" t="s">
        <v>3268</v>
      </c>
      <c r="C33" s="447"/>
      <c r="D33" s="448"/>
      <c r="E33" s="449"/>
      <c r="F33" s="449"/>
    </row>
    <row r="34" spans="1:10" ht="22.5">
      <c r="A34" s="445"/>
      <c r="B34" s="457" t="s">
        <v>3269</v>
      </c>
      <c r="C34" s="447"/>
      <c r="D34" s="448"/>
      <c r="E34" s="449">
        <v>4868232.25</v>
      </c>
      <c r="F34" s="449"/>
      <c r="H34" s="461"/>
    </row>
    <row r="35" spans="1:10" ht="12.75">
      <c r="A35" s="445"/>
      <c r="B35" s="456"/>
      <c r="C35" s="447"/>
      <c r="D35" s="448"/>
      <c r="E35" s="449"/>
      <c r="F35" s="449"/>
    </row>
    <row r="36" spans="1:10" ht="12.75">
      <c r="A36" s="486">
        <v>5</v>
      </c>
      <c r="B36" s="456" t="s">
        <v>3270</v>
      </c>
      <c r="C36" s="447"/>
      <c r="D36" s="448"/>
      <c r="E36" s="449"/>
      <c r="F36" s="607">
        <f>ROUNDUP(SUM(F39:F48),0)</f>
        <v>2316914</v>
      </c>
      <c r="I36" s="530">
        <f>F36+(F36*$I$7)</f>
        <v>2887338.2268000003</v>
      </c>
      <c r="J36" s="531">
        <f>I36/17004</f>
        <v>169.80347134791816</v>
      </c>
    </row>
    <row r="37" spans="1:10" ht="135">
      <c r="A37" s="445"/>
      <c r="B37" s="446" t="s">
        <v>3271</v>
      </c>
      <c r="C37" s="447"/>
      <c r="D37" s="448"/>
      <c r="E37" s="449"/>
      <c r="F37" s="449"/>
    </row>
    <row r="38" spans="1:10" ht="12.75">
      <c r="A38" s="445"/>
      <c r="B38" s="446" t="s">
        <v>3272</v>
      </c>
      <c r="C38" s="447"/>
      <c r="D38" s="448"/>
      <c r="E38" s="449"/>
      <c r="F38" s="449"/>
    </row>
    <row r="39" spans="1:10" ht="12.75">
      <c r="A39" s="450" t="s">
        <v>3273</v>
      </c>
      <c r="B39" s="446" t="s">
        <v>2744</v>
      </c>
      <c r="C39" s="447" t="s">
        <v>1470</v>
      </c>
      <c r="D39" s="448">
        <v>38300</v>
      </c>
      <c r="E39" s="449">
        <v>4.29</v>
      </c>
      <c r="F39" s="449">
        <f>D39*E39</f>
        <v>164307</v>
      </c>
    </row>
    <row r="40" spans="1:10" ht="12.75">
      <c r="A40" s="450" t="s">
        <v>3274</v>
      </c>
      <c r="B40" s="446" t="s">
        <v>1741</v>
      </c>
      <c r="C40" s="447" t="s">
        <v>1470</v>
      </c>
      <c r="D40" s="448">
        <v>15159</v>
      </c>
      <c r="E40" s="449">
        <v>3.9</v>
      </c>
      <c r="F40" s="449">
        <f t="shared" ref="F40:F48" si="0">D40*E40</f>
        <v>59120.1</v>
      </c>
    </row>
    <row r="41" spans="1:10" ht="12.75">
      <c r="A41" s="450" t="s">
        <v>3275</v>
      </c>
      <c r="B41" s="446" t="s">
        <v>1742</v>
      </c>
      <c r="C41" s="447" t="s">
        <v>1467</v>
      </c>
      <c r="D41" s="448">
        <v>7096.1999999999989</v>
      </c>
      <c r="E41" s="449">
        <v>23.68</v>
      </c>
      <c r="F41" s="449">
        <f t="shared" si="0"/>
        <v>168038.01599999997</v>
      </c>
    </row>
    <row r="42" spans="1:10" ht="12.75">
      <c r="A42" s="450" t="s">
        <v>3276</v>
      </c>
      <c r="B42" s="446" t="s">
        <v>1566</v>
      </c>
      <c r="C42" s="447" t="s">
        <v>1474</v>
      </c>
      <c r="D42" s="448">
        <v>1191.4100000000001</v>
      </c>
      <c r="E42" s="448" t="s">
        <v>3277</v>
      </c>
      <c r="F42" s="449">
        <f t="shared" si="0"/>
        <v>30452.439600000002</v>
      </c>
    </row>
    <row r="43" spans="1:10" ht="12.75">
      <c r="A43" s="450" t="s">
        <v>3273</v>
      </c>
      <c r="B43" s="446" t="s">
        <v>2743</v>
      </c>
      <c r="C43" s="447" t="s">
        <v>1470</v>
      </c>
      <c r="D43" s="448">
        <v>21700</v>
      </c>
      <c r="E43" s="449">
        <v>4.29</v>
      </c>
      <c r="F43" s="449">
        <f t="shared" si="0"/>
        <v>93093</v>
      </c>
    </row>
    <row r="44" spans="1:10" ht="12.75">
      <c r="A44" s="450" t="s">
        <v>3254</v>
      </c>
      <c r="B44" s="446" t="s">
        <v>1582</v>
      </c>
      <c r="C44" s="447" t="s">
        <v>1475</v>
      </c>
      <c r="D44" s="448">
        <v>116373.84540000001</v>
      </c>
      <c r="E44" s="448" t="s">
        <v>3278</v>
      </c>
      <c r="F44" s="449">
        <f t="shared" si="0"/>
        <v>230420.213892</v>
      </c>
    </row>
    <row r="45" spans="1:10" ht="12.75">
      <c r="A45" s="450" t="s">
        <v>3279</v>
      </c>
      <c r="B45" s="446" t="s">
        <v>2761</v>
      </c>
      <c r="C45" s="447" t="s">
        <v>1467</v>
      </c>
      <c r="D45" s="448">
        <v>15876</v>
      </c>
      <c r="E45" s="448" t="s">
        <v>3280</v>
      </c>
      <c r="F45" s="449">
        <f t="shared" si="0"/>
        <v>19527.48</v>
      </c>
    </row>
    <row r="46" spans="1:10" ht="12.75">
      <c r="A46" s="892" t="s">
        <v>3805</v>
      </c>
      <c r="B46" s="893" t="s">
        <v>3806</v>
      </c>
      <c r="C46" s="894" t="s">
        <v>1470</v>
      </c>
      <c r="D46" s="895">
        <v>1067</v>
      </c>
      <c r="E46" s="895" t="s">
        <v>3807</v>
      </c>
      <c r="F46" s="896">
        <f t="shared" si="0"/>
        <v>70507.360000000001</v>
      </c>
    </row>
    <row r="47" spans="1:10" ht="12.75">
      <c r="A47" s="892" t="s">
        <v>3808</v>
      </c>
      <c r="B47" s="893" t="s">
        <v>1565</v>
      </c>
      <c r="C47" s="894" t="s">
        <v>1467</v>
      </c>
      <c r="D47" s="895">
        <v>143.66000000000003</v>
      </c>
      <c r="E47" s="895">
        <v>252.94</v>
      </c>
      <c r="F47" s="896">
        <f t="shared" si="0"/>
        <v>36337.360400000005</v>
      </c>
    </row>
    <row r="48" spans="1:10" ht="22.5">
      <c r="A48" s="450" t="s">
        <v>3302</v>
      </c>
      <c r="B48" s="462" t="s">
        <v>3303</v>
      </c>
      <c r="C48" s="463" t="s">
        <v>1472</v>
      </c>
      <c r="D48" s="464">
        <v>34220</v>
      </c>
      <c r="E48" s="470">
        <v>42.23</v>
      </c>
      <c r="F48" s="449">
        <f t="shared" si="0"/>
        <v>1445110.5999999999</v>
      </c>
    </row>
    <row r="49" spans="1:9" ht="12.75">
      <c r="A49" s="445"/>
      <c r="B49" s="446" t="s">
        <v>3281</v>
      </c>
      <c r="C49" s="447"/>
      <c r="D49" s="448"/>
      <c r="E49" s="449"/>
      <c r="F49" s="449"/>
    </row>
    <row r="50" spans="1:9" ht="12.75">
      <c r="A50" s="445"/>
      <c r="B50" s="446" t="s">
        <v>3282</v>
      </c>
      <c r="C50" s="439"/>
      <c r="D50" s="448"/>
      <c r="E50" s="449"/>
      <c r="F50" s="449"/>
    </row>
    <row r="51" spans="1:9" ht="12.75">
      <c r="A51" s="445"/>
      <c r="B51" s="446" t="s">
        <v>3283</v>
      </c>
      <c r="C51" s="447"/>
      <c r="D51" s="448"/>
      <c r="E51" s="449"/>
      <c r="F51" s="449"/>
    </row>
    <row r="52" spans="1:9">
      <c r="A52" s="445"/>
      <c r="B52" s="446"/>
      <c r="C52" s="465"/>
      <c r="D52" s="448"/>
      <c r="E52" s="449"/>
      <c r="F52" s="449"/>
    </row>
    <row r="53" spans="1:9" ht="22.5">
      <c r="A53" s="486">
        <v>6</v>
      </c>
      <c r="B53" s="456" t="s">
        <v>3284</v>
      </c>
      <c r="C53" s="447" t="s">
        <v>1466</v>
      </c>
      <c r="D53" s="448">
        <v>10</v>
      </c>
      <c r="E53" s="449">
        <f>F56</f>
        <v>9536785.2374266814</v>
      </c>
      <c r="F53" s="607">
        <f>ROUNDUP(D53/100*E53,0)</f>
        <v>953679</v>
      </c>
      <c r="I53" s="498">
        <f>F53+(F53*$I$7)</f>
        <v>1188474.7697999999</v>
      </c>
    </row>
    <row r="54" spans="1:9" ht="123.75">
      <c r="A54" s="445"/>
      <c r="B54" s="446" t="s">
        <v>3285</v>
      </c>
      <c r="C54" s="447"/>
      <c r="D54" s="448"/>
      <c r="E54" s="449"/>
      <c r="F54" s="449"/>
    </row>
    <row r="55" spans="1:9" ht="12.75">
      <c r="A55" s="445"/>
      <c r="B55" s="456"/>
      <c r="C55" s="447"/>
      <c r="D55" s="448"/>
      <c r="E55" s="449"/>
      <c r="F55" s="449"/>
    </row>
    <row r="56" spans="1:9" ht="12.75">
      <c r="A56" s="445"/>
      <c r="B56" s="455" t="s">
        <v>3286</v>
      </c>
      <c r="C56" s="447"/>
      <c r="D56" s="448"/>
      <c r="E56" s="449"/>
      <c r="F56" s="459">
        <f>SUM(F57:F62)</f>
        <v>9536785.2374266814</v>
      </c>
    </row>
    <row r="57" spans="1:9" ht="12.75">
      <c r="A57" s="445"/>
      <c r="B57" s="466" t="s">
        <v>3287</v>
      </c>
      <c r="C57" s="447"/>
      <c r="D57" s="448"/>
      <c r="E57" s="449"/>
      <c r="F57" s="449">
        <f>'RESUMO GERAL'!G98</f>
        <v>324756.49546844879</v>
      </c>
    </row>
    <row r="58" spans="1:9" ht="12.75">
      <c r="A58" s="445"/>
      <c r="B58" s="466" t="s">
        <v>3288</v>
      </c>
      <c r="C58" s="447"/>
      <c r="D58" s="448"/>
      <c r="E58" s="449"/>
      <c r="F58" s="449">
        <f>'RESUMO GERAL'!G88</f>
        <v>1581719.9722807154</v>
      </c>
    </row>
    <row r="59" spans="1:9" ht="12.75">
      <c r="A59" s="445"/>
      <c r="B59" s="466" t="s">
        <v>3157</v>
      </c>
      <c r="C59" s="447"/>
      <c r="D59" s="448"/>
      <c r="E59" s="449"/>
      <c r="F59" s="449">
        <f>'RESUMO GERAL'!G91</f>
        <v>1767432.9369452605</v>
      </c>
    </row>
    <row r="60" spans="1:9" ht="12.75">
      <c r="A60" s="445"/>
      <c r="B60" s="466" t="s">
        <v>3289</v>
      </c>
      <c r="C60" s="447"/>
      <c r="D60" s="448"/>
      <c r="E60" s="449"/>
      <c r="F60" s="449">
        <f>'RESUMO GERAL'!G101</f>
        <v>1590077.4896486308</v>
      </c>
    </row>
    <row r="61" spans="1:9" ht="12.75">
      <c r="A61" s="445"/>
      <c r="B61" s="466" t="s">
        <v>3290</v>
      </c>
      <c r="C61" s="447"/>
      <c r="D61" s="448"/>
      <c r="E61" s="449"/>
      <c r="F61" s="449">
        <f>'RESUMO GERAL'!G104</f>
        <v>1521345.2326784804</v>
      </c>
    </row>
    <row r="62" spans="1:9" ht="12.75">
      <c r="A62" s="445"/>
      <c r="B62" s="466" t="s">
        <v>3291</v>
      </c>
      <c r="C62" s="447"/>
      <c r="D62" s="448"/>
      <c r="E62" s="449"/>
      <c r="F62" s="449">
        <f>'RESUMO GERAL'!G96</f>
        <v>2751453.1104051447</v>
      </c>
    </row>
    <row r="63" spans="1:9" ht="12.75">
      <c r="A63" s="445"/>
      <c r="B63" s="466"/>
      <c r="C63" s="467"/>
      <c r="D63" s="468"/>
      <c r="E63" s="449"/>
      <c r="F63" s="449"/>
    </row>
    <row r="64" spans="1:9" ht="12.75">
      <c r="A64" s="486">
        <v>7</v>
      </c>
      <c r="B64" s="456" t="s">
        <v>3292</v>
      </c>
      <c r="C64" s="447" t="s">
        <v>1466</v>
      </c>
      <c r="D64" s="609">
        <v>2.5</v>
      </c>
      <c r="E64" s="610">
        <f>F66</f>
        <v>14012587.662267417</v>
      </c>
      <c r="F64" s="607">
        <f>ROUNDUP(D64/100*E64,0)</f>
        <v>350315</v>
      </c>
      <c r="G64" s="608"/>
      <c r="I64" s="498">
        <f>F64+(F64*$I$7)</f>
        <v>436562.55300000001</v>
      </c>
    </row>
    <row r="65" spans="1:9" ht="78.75">
      <c r="A65" s="445"/>
      <c r="B65" s="446" t="s">
        <v>3293</v>
      </c>
      <c r="C65" s="467"/>
      <c r="D65" s="468"/>
      <c r="E65" s="449"/>
      <c r="F65" s="449"/>
    </row>
    <row r="66" spans="1:9" ht="12.75">
      <c r="A66" s="445"/>
      <c r="B66" s="455" t="s">
        <v>3286</v>
      </c>
      <c r="C66" s="467"/>
      <c r="D66" s="468"/>
      <c r="E66" s="449"/>
      <c r="F66" s="612">
        <f>'RESUMO GERAL'!G131</f>
        <v>14012587.662267417</v>
      </c>
    </row>
    <row r="67" spans="1:9" ht="12.75">
      <c r="A67" s="445"/>
      <c r="B67" s="466"/>
      <c r="C67" s="467"/>
      <c r="D67" s="468"/>
      <c r="E67" s="449"/>
      <c r="F67" s="449"/>
    </row>
    <row r="68" spans="1:9" ht="12.75">
      <c r="A68" s="486">
        <v>8</v>
      </c>
      <c r="B68" s="456" t="s">
        <v>3294</v>
      </c>
      <c r="C68" s="447" t="s">
        <v>1466</v>
      </c>
      <c r="D68" s="448">
        <v>15</v>
      </c>
      <c r="E68" s="449">
        <f>F70</f>
        <v>3909619.6234998936</v>
      </c>
      <c r="F68" s="607">
        <f>ROUNDUP(D68/100*E68,0)</f>
        <v>586443</v>
      </c>
      <c r="I68" s="498">
        <f>F68+(F68*$I$7)</f>
        <v>730825.26659999997</v>
      </c>
    </row>
    <row r="69" spans="1:9" ht="123.75">
      <c r="A69" s="445"/>
      <c r="B69" s="446" t="s">
        <v>3295</v>
      </c>
      <c r="C69" s="463"/>
      <c r="D69" s="469"/>
      <c r="E69" s="470"/>
      <c r="F69" s="449"/>
    </row>
    <row r="70" spans="1:9" ht="12.75">
      <c r="A70" s="445"/>
      <c r="B70" s="455" t="s">
        <v>3286</v>
      </c>
      <c r="C70" s="463"/>
      <c r="D70" s="469"/>
      <c r="E70" s="449"/>
      <c r="F70" s="612">
        <f>'RESUMO GERAL'!G174</f>
        <v>3909619.6234998936</v>
      </c>
    </row>
    <row r="71" spans="1:9" ht="12.75">
      <c r="A71" s="445"/>
      <c r="B71" s="471"/>
      <c r="C71" s="463"/>
      <c r="D71" s="472"/>
      <c r="E71" s="449"/>
      <c r="F71" s="449"/>
    </row>
    <row r="72" spans="1:9" ht="12.75">
      <c r="A72" s="486">
        <v>9</v>
      </c>
      <c r="B72" s="456" t="s">
        <v>3296</v>
      </c>
      <c r="C72" s="447" t="s">
        <v>1466</v>
      </c>
      <c r="D72" s="448">
        <v>10</v>
      </c>
      <c r="E72" s="449">
        <f>F74</f>
        <v>11410546.450620295</v>
      </c>
      <c r="F72" s="607">
        <f>ROUNDUP(D72/100*E72,0)</f>
        <v>1141055</v>
      </c>
      <c r="I72" s="498">
        <f>F72+(F72*$I$7)</f>
        <v>1421982.7409999999</v>
      </c>
    </row>
    <row r="73" spans="1:9" ht="90">
      <c r="A73" s="450"/>
      <c r="B73" s="446" t="s">
        <v>3297</v>
      </c>
      <c r="C73" s="463"/>
      <c r="D73" s="469"/>
      <c r="E73" s="470"/>
      <c r="F73" s="449"/>
    </row>
    <row r="74" spans="1:9" ht="12.75">
      <c r="A74" s="445"/>
      <c r="B74" s="455" t="s">
        <v>3286</v>
      </c>
      <c r="C74" s="473"/>
      <c r="D74" s="469"/>
      <c r="E74" s="449"/>
      <c r="F74" s="612">
        <f>'RESUMO GERAL'!G168</f>
        <v>11410546.450620295</v>
      </c>
    </row>
    <row r="75" spans="1:9" ht="12.75">
      <c r="A75" s="445"/>
      <c r="B75" s="474"/>
      <c r="C75" s="475"/>
      <c r="D75" s="472"/>
      <c r="E75" s="476"/>
      <c r="F75" s="449"/>
    </row>
    <row r="76" spans="1:9" ht="12.75">
      <c r="A76" s="445">
        <v>10</v>
      </c>
      <c r="B76" s="456" t="s">
        <v>3369</v>
      </c>
      <c r="C76" s="447"/>
      <c r="D76" s="448"/>
      <c r="E76" s="449"/>
      <c r="F76" s="607">
        <f>ROUNDUP(SUM(F78:F79),0)</f>
        <v>481182</v>
      </c>
    </row>
    <row r="77" spans="1:9" ht="45">
      <c r="A77" s="445"/>
      <c r="B77" s="446" t="s">
        <v>3370</v>
      </c>
      <c r="C77" s="447"/>
      <c r="D77" s="448"/>
      <c r="E77" s="449"/>
      <c r="F77" s="449"/>
    </row>
    <row r="78" spans="1:9" ht="12.75">
      <c r="A78" s="445"/>
      <c r="B78" s="532" t="s">
        <v>3371</v>
      </c>
      <c r="C78" s="447" t="s">
        <v>1466</v>
      </c>
      <c r="D78" s="448">
        <v>2.5</v>
      </c>
      <c r="E78" s="449">
        <f>'RESUMO GERAL'!G211+'RESUMO GERAL'!G212</f>
        <v>15219888.489208519</v>
      </c>
      <c r="F78" s="449">
        <f>D78/100*E78</f>
        <v>380497.21223021299</v>
      </c>
      <c r="I78" s="498">
        <f>F78+(F78*$I$7)</f>
        <v>474175.62588129146</v>
      </c>
    </row>
    <row r="79" spans="1:9" ht="12.75">
      <c r="A79" s="445"/>
      <c r="B79" s="532" t="s">
        <v>3361</v>
      </c>
      <c r="C79" s="447" t="s">
        <v>1466</v>
      </c>
      <c r="D79" s="448">
        <v>10</v>
      </c>
      <c r="E79" s="449">
        <f>'RESUMO GERAL'!G218</f>
        <v>1006840.1931666333</v>
      </c>
      <c r="F79" s="449">
        <f>D79/100*E79</f>
        <v>100684.01931666333</v>
      </c>
      <c r="I79" s="498">
        <f>F79+(F79*$I$7)</f>
        <v>125472.42487242584</v>
      </c>
    </row>
    <row r="80" spans="1:9" ht="12.75">
      <c r="A80" s="445"/>
      <c r="B80" s="455" t="s">
        <v>3286</v>
      </c>
      <c r="C80" s="447"/>
      <c r="D80" s="448"/>
      <c r="E80" s="449"/>
      <c r="F80" s="459"/>
    </row>
    <row r="81" spans="1:9" ht="12.75">
      <c r="A81" s="450"/>
      <c r="B81" s="462"/>
      <c r="C81" s="463"/>
      <c r="D81" s="469"/>
      <c r="E81" s="470"/>
      <c r="F81" s="449"/>
    </row>
    <row r="82" spans="1:9" ht="12.75">
      <c r="A82" s="445">
        <v>11</v>
      </c>
      <c r="B82" s="456" t="s">
        <v>3436</v>
      </c>
      <c r="C82" s="447"/>
      <c r="D82" s="448"/>
      <c r="E82" s="449"/>
      <c r="F82" s="459">
        <f>SUM(F84:F84)</f>
        <v>1642658</v>
      </c>
    </row>
    <row r="83" spans="1:9" ht="78.75">
      <c r="A83" s="445"/>
      <c r="B83" s="446" t="s">
        <v>3437</v>
      </c>
      <c r="C83" s="447"/>
      <c r="D83" s="448"/>
      <c r="E83" s="449"/>
      <c r="F83" s="449"/>
    </row>
    <row r="84" spans="1:9" ht="12.75">
      <c r="A84" s="445"/>
      <c r="B84" s="532" t="s">
        <v>3438</v>
      </c>
      <c r="C84" s="447" t="s">
        <v>1466</v>
      </c>
      <c r="D84" s="448">
        <v>10</v>
      </c>
      <c r="E84" s="612">
        <f>'RESUMO GERAL'!G112</f>
        <v>16426575.954139289</v>
      </c>
      <c r="F84" s="449">
        <f>ROUNDUP(E84*(D84/100),0)</f>
        <v>1642658</v>
      </c>
      <c r="I84" s="498">
        <f>F84+(F84*$I$7)</f>
        <v>2047080.3996000001</v>
      </c>
    </row>
    <row r="85" spans="1:9" ht="12.75">
      <c r="A85" s="445"/>
      <c r="B85" s="455" t="s">
        <v>3286</v>
      </c>
      <c r="C85" s="447"/>
      <c r="D85" s="448"/>
      <c r="E85" s="449"/>
      <c r="F85" s="459"/>
    </row>
    <row r="86" spans="1:9" ht="12.75">
      <c r="A86" s="613"/>
      <c r="B86" s="614"/>
      <c r="C86" s="615"/>
      <c r="D86" s="616"/>
      <c r="E86" s="617"/>
      <c r="F86" s="459"/>
    </row>
    <row r="87" spans="1:9" ht="12.75">
      <c r="A87" s="1177" t="s">
        <v>3298</v>
      </c>
      <c r="B87" s="1178"/>
      <c r="C87" s="1178"/>
      <c r="D87" s="1178"/>
      <c r="E87" s="1179"/>
      <c r="F87" s="477">
        <f>F72+F68+F64+F53+F36+F32+F27+F19+F10+F76+F82</f>
        <v>10200477</v>
      </c>
      <c r="I87" s="499">
        <f>SUM(I10:I85)</f>
        <v>12711833.479753722</v>
      </c>
    </row>
    <row r="88" spans="1:9" ht="12.75">
      <c r="A88" s="478"/>
      <c r="B88" s="479"/>
      <c r="C88" s="480"/>
      <c r="D88" s="481"/>
      <c r="E88" s="482"/>
      <c r="F88" s="483"/>
    </row>
    <row r="91" spans="1:9" ht="21">
      <c r="B91" s="611"/>
      <c r="E91" s="484">
        <v>15522900.56520051</v>
      </c>
    </row>
    <row r="92" spans="1:9">
      <c r="E92" s="484">
        <v>5223685.7301296331</v>
      </c>
    </row>
  </sheetData>
  <mergeCells count="10">
    <mergeCell ref="A8:F8"/>
    <mergeCell ref="A87:E87"/>
    <mergeCell ref="A1:F1"/>
    <mergeCell ref="A2:F2"/>
    <mergeCell ref="A4:F5"/>
    <mergeCell ref="A6:A7"/>
    <mergeCell ref="B6:B7"/>
    <mergeCell ref="C6:C7"/>
    <mergeCell ref="D6:D7"/>
    <mergeCell ref="E6:F6"/>
  </mergeCells>
  <conditionalFormatting sqref="D48">
    <cfRule type="expression" dxfId="6" priority="6" stopIfTrue="1">
      <formula>AND(B48&gt;0,#REF!=0)</formula>
    </cfRule>
  </conditionalFormatting>
  <conditionalFormatting sqref="D64">
    <cfRule type="expression" dxfId="5" priority="5" stopIfTrue="1">
      <formula>AND(B64&gt;0,#REF!=0)</formula>
    </cfRule>
  </conditionalFormatting>
  <conditionalFormatting sqref="D68:D75 D81 D88">
    <cfRule type="expression" dxfId="4" priority="7" stopIfTrue="1">
      <formula>AND(B68&gt;0,#REF!=0)</formula>
    </cfRule>
  </conditionalFormatting>
  <conditionalFormatting sqref="D76 D79:D80">
    <cfRule type="expression" dxfId="3" priority="4" stopIfTrue="1">
      <formula>AND(B76&gt;0,#REF!=0)</formula>
    </cfRule>
  </conditionalFormatting>
  <conditionalFormatting sqref="D78">
    <cfRule type="expression" dxfId="2" priority="3" stopIfTrue="1">
      <formula>AND(B78&gt;0,#REF!=0)</formula>
    </cfRule>
  </conditionalFormatting>
  <conditionalFormatting sqref="D82 D85:D86">
    <cfRule type="expression" dxfId="1" priority="2" stopIfTrue="1">
      <formula>AND(B82&gt;0,#REF!=0)</formula>
    </cfRule>
  </conditionalFormatting>
  <conditionalFormatting sqref="D84">
    <cfRule type="expression" dxfId="0" priority="1" stopIfTrue="1">
      <formula>AND(B84&gt;0,#REF!=0)</formula>
    </cfRule>
  </conditionalFormatting>
  <pageMargins left="0.511811024" right="0.511811024" top="0.78740157499999996" bottom="0.78740157499999996" header="0.31496062000000002" footer="0.31496062000000002"/>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E12" sqref="E12"/>
    </sheetView>
  </sheetViews>
  <sheetFormatPr defaultRowHeight="15"/>
  <cols>
    <col min="1" max="1" width="30.42578125" customWidth="1"/>
    <col min="3" max="3" width="13.85546875" customWidth="1"/>
    <col min="4" max="4" width="9.85546875" customWidth="1"/>
    <col min="5" max="5" width="15.5703125" customWidth="1"/>
    <col min="7" max="7" width="13.5703125" customWidth="1"/>
    <col min="8" max="8" width="12.42578125" customWidth="1"/>
    <col min="9" max="9" width="18.28515625" customWidth="1"/>
    <col min="10" max="10" width="16.140625" customWidth="1"/>
  </cols>
  <sheetData>
    <row r="1" spans="1:10" ht="15.75" thickBot="1">
      <c r="A1" s="1193"/>
      <c r="B1" s="1193"/>
      <c r="C1" s="1193"/>
      <c r="D1" s="1193"/>
      <c r="E1" s="1193"/>
    </row>
    <row r="2" spans="1:10" ht="24.75" thickBot="1">
      <c r="A2" s="587" t="s">
        <v>3418</v>
      </c>
      <c r="B2" s="588" t="s">
        <v>3419</v>
      </c>
      <c r="C2" s="588" t="s">
        <v>3420</v>
      </c>
      <c r="D2" s="588" t="s">
        <v>3421</v>
      </c>
      <c r="E2" s="589" t="s">
        <v>3422</v>
      </c>
    </row>
    <row r="3" spans="1:10">
      <c r="A3" s="1185" t="s">
        <v>3423</v>
      </c>
      <c r="B3" s="1187">
        <v>5</v>
      </c>
      <c r="C3" s="1189">
        <f>AGRUP.!D6</f>
        <v>42769848.943933941</v>
      </c>
      <c r="D3" s="590" t="s">
        <v>3424</v>
      </c>
      <c r="E3" s="1191">
        <f>C3/3*15</f>
        <v>213849244.71966973</v>
      </c>
    </row>
    <row r="4" spans="1:10">
      <c r="A4" s="1186"/>
      <c r="B4" s="1195"/>
      <c r="C4" s="1196"/>
      <c r="D4" s="590" t="s">
        <v>3425</v>
      </c>
      <c r="E4" s="1197"/>
    </row>
    <row r="5" spans="1:10">
      <c r="A5" s="1186"/>
      <c r="B5" s="1195"/>
      <c r="C5" s="1196"/>
      <c r="D5" s="590" t="s">
        <v>3426</v>
      </c>
      <c r="E5" s="1197"/>
    </row>
    <row r="6" spans="1:10">
      <c r="A6" s="1186"/>
      <c r="B6" s="1195"/>
      <c r="C6" s="1196"/>
      <c r="D6" s="590" t="s">
        <v>3427</v>
      </c>
      <c r="E6" s="1197"/>
    </row>
    <row r="7" spans="1:10" ht="15.75" thickBot="1">
      <c r="A7" s="1194"/>
      <c r="B7" s="1188"/>
      <c r="C7" s="1190"/>
      <c r="D7" s="595" t="s">
        <v>3428</v>
      </c>
      <c r="E7" s="1192"/>
    </row>
    <row r="8" spans="1:10">
      <c r="A8" s="1185" t="s">
        <v>3429</v>
      </c>
      <c r="B8" s="1187">
        <v>15</v>
      </c>
      <c r="C8" s="1189">
        <f>AGRUP.!D7</f>
        <v>34952583.661627501</v>
      </c>
      <c r="D8" s="590" t="s">
        <v>3430</v>
      </c>
      <c r="E8" s="1191">
        <f>I8</f>
        <v>107672889.81524819</v>
      </c>
      <c r="G8" s="252">
        <f>AGRUP.!D7</f>
        <v>34952583.661627501</v>
      </c>
      <c r="H8" s="252">
        <f>SUM(G8:G9)</f>
        <v>53836444.907624103</v>
      </c>
      <c r="I8" s="252">
        <f>H8/3*6</f>
        <v>107672889.81524819</v>
      </c>
    </row>
    <row r="9" spans="1:10" ht="15.75" thickBot="1">
      <c r="A9" s="1186"/>
      <c r="B9" s="1188"/>
      <c r="C9" s="1190"/>
      <c r="D9" s="590" t="s">
        <v>3431</v>
      </c>
      <c r="E9" s="1192"/>
      <c r="G9" s="596">
        <f>AGRUP.!D8</f>
        <v>18883861.245996602</v>
      </c>
    </row>
    <row r="10" spans="1:10" ht="38.25" customHeight="1" thickBot="1">
      <c r="A10" s="597" t="s">
        <v>3432</v>
      </c>
      <c r="B10" s="598">
        <v>20</v>
      </c>
      <c r="C10" s="599">
        <f>SUM(AGRUP.!D10:D18)</f>
        <v>140575012.85074815</v>
      </c>
      <c r="D10" s="600" t="s">
        <v>3433</v>
      </c>
      <c r="E10" s="601">
        <f>C10*1</f>
        <v>140575012.85074815</v>
      </c>
      <c r="I10" s="252">
        <v>252544851.64386111</v>
      </c>
      <c r="J10" s="252">
        <f>I10-C10</f>
        <v>111969838.79311296</v>
      </c>
    </row>
    <row r="11" spans="1:10" ht="47.25" customHeight="1" thickBot="1">
      <c r="A11" s="591" t="s">
        <v>3434</v>
      </c>
      <c r="B11" s="592">
        <v>30</v>
      </c>
      <c r="C11" s="593">
        <f>SUM(AGRUP.!D19:D24)</f>
        <v>142230313.82309458</v>
      </c>
      <c r="D11" s="590" t="s">
        <v>3431</v>
      </c>
      <c r="E11" s="594">
        <f>C11*1</f>
        <v>142230313.82309458</v>
      </c>
      <c r="I11" s="252">
        <v>242861949.90432367</v>
      </c>
      <c r="J11" s="252">
        <f>I11-C11</f>
        <v>100631636.08122909</v>
      </c>
    </row>
    <row r="12" spans="1:10" ht="16.5" thickTop="1" thickBot="1">
      <c r="A12" s="602" t="s">
        <v>2746</v>
      </c>
      <c r="B12" s="603"/>
      <c r="C12" s="603"/>
      <c r="D12" s="604"/>
      <c r="E12" s="605">
        <f>SUM(E3:E11)</f>
        <v>604327461.20876074</v>
      </c>
    </row>
    <row r="15" spans="1:10">
      <c r="C15" s="944">
        <v>34952583.661627501</v>
      </c>
      <c r="D15" s="945"/>
      <c r="E15" s="946">
        <v>123307420.37986109</v>
      </c>
    </row>
    <row r="16" spans="1:10">
      <c r="C16" s="593">
        <v>140575012.85074815</v>
      </c>
      <c r="D16" s="945"/>
      <c r="E16" s="946">
        <v>140575012.85074815</v>
      </c>
    </row>
    <row r="17" spans="3:5">
      <c r="C17" s="593">
        <v>142230313.82309458</v>
      </c>
      <c r="D17" s="945"/>
      <c r="E17" s="946">
        <v>142230313.82309458</v>
      </c>
    </row>
  </sheetData>
  <mergeCells count="9">
    <mergeCell ref="A8:A9"/>
    <mergeCell ref="B8:B9"/>
    <mergeCell ref="C8:C9"/>
    <mergeCell ref="E8:E9"/>
    <mergeCell ref="A1:E1"/>
    <mergeCell ref="A3:A7"/>
    <mergeCell ref="B3:B7"/>
    <mergeCell ref="C3:C7"/>
    <mergeCell ref="E3:E7"/>
  </mergeCell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M53"/>
  <sheetViews>
    <sheetView view="pageBreakPreview" topLeftCell="E10" zoomScale="85" zoomScaleNormal="55" zoomScaleSheetLayoutView="85" workbookViewId="0">
      <selection activeCell="M24" sqref="M24"/>
    </sheetView>
  </sheetViews>
  <sheetFormatPr defaultColWidth="9.140625" defaultRowHeight="12.75"/>
  <cols>
    <col min="1" max="1" width="24.28515625" style="25" customWidth="1"/>
    <col min="2" max="2" width="18.7109375" style="25" bestFit="1" customWidth="1"/>
    <col min="3" max="3" width="91.140625" style="25" customWidth="1"/>
    <col min="4" max="7" width="15.7109375" style="25" customWidth="1"/>
    <col min="8" max="8" width="16.7109375" style="25" customWidth="1"/>
    <col min="9" max="9" width="25.28515625" style="25" customWidth="1"/>
    <col min="10" max="10" width="35.5703125" style="25" customWidth="1"/>
    <col min="11" max="11" width="42.5703125" style="25" customWidth="1"/>
    <col min="12" max="12" width="30.42578125" style="25" customWidth="1"/>
    <col min="13" max="13" width="11.7109375" style="25" customWidth="1"/>
    <col min="14" max="16384" width="9.140625" style="25"/>
  </cols>
  <sheetData>
    <row r="1" spans="2:11" ht="13.5" thickBot="1"/>
    <row r="2" spans="2:11" ht="15">
      <c r="B2" s="3"/>
      <c r="C2" s="4"/>
      <c r="D2" s="7"/>
      <c r="E2" s="7"/>
      <c r="F2" s="7"/>
      <c r="G2" s="7"/>
      <c r="H2" s="5"/>
      <c r="I2" s="5"/>
      <c r="J2" s="6"/>
      <c r="K2" s="1"/>
    </row>
    <row r="3" spans="2:11" ht="17.25">
      <c r="B3" s="1199" t="s">
        <v>3056</v>
      </c>
      <c r="C3" s="1200"/>
      <c r="D3" s="1200"/>
      <c r="E3" s="1200"/>
      <c r="F3" s="1200"/>
      <c r="G3" s="1200"/>
      <c r="H3" s="1200"/>
      <c r="I3" s="1200"/>
      <c r="J3" s="1201"/>
      <c r="K3" s="18"/>
    </row>
    <row r="4" spans="2:11" ht="17.25">
      <c r="B4" s="1199" t="s">
        <v>4</v>
      </c>
      <c r="C4" s="1200"/>
      <c r="D4" s="1200"/>
      <c r="E4" s="1200"/>
      <c r="F4" s="1200"/>
      <c r="G4" s="1200"/>
      <c r="H4" s="1200"/>
      <c r="I4" s="1200"/>
      <c r="J4" s="1201"/>
      <c r="K4" s="18"/>
    </row>
    <row r="5" spans="2:11" ht="17.25">
      <c r="B5" s="1199" t="s">
        <v>1528</v>
      </c>
      <c r="C5" s="1200"/>
      <c r="D5" s="1200"/>
      <c r="E5" s="1200"/>
      <c r="F5" s="1200"/>
      <c r="G5" s="1200"/>
      <c r="H5" s="1200"/>
      <c r="I5" s="1200"/>
      <c r="J5" s="1201"/>
      <c r="K5" s="18"/>
    </row>
    <row r="6" spans="2:11" ht="15.75" thickBot="1">
      <c r="B6" s="17"/>
      <c r="C6" s="60"/>
      <c r="D6" s="60"/>
      <c r="E6" s="130"/>
      <c r="F6" s="60"/>
      <c r="G6" s="130"/>
      <c r="H6" s="60"/>
      <c r="I6" s="60"/>
      <c r="J6" s="61"/>
      <c r="K6" s="55"/>
    </row>
    <row r="7" spans="2:11" ht="18" thickBot="1">
      <c r="B7" s="26" t="s">
        <v>3</v>
      </c>
      <c r="C7" s="27"/>
      <c r="D7" s="27"/>
      <c r="E7" s="27"/>
      <c r="F7" s="27"/>
      <c r="G7" s="27"/>
      <c r="H7" s="27"/>
      <c r="I7" s="27"/>
      <c r="J7" s="28"/>
      <c r="K7" s="18"/>
    </row>
    <row r="8" spans="2:11" ht="15">
      <c r="B8" s="8" t="s">
        <v>7</v>
      </c>
      <c r="C8" s="9" t="s">
        <v>2</v>
      </c>
      <c r="D8" s="11" t="s">
        <v>1537</v>
      </c>
      <c r="E8" s="14"/>
      <c r="F8" s="14"/>
      <c r="G8" s="14"/>
      <c r="H8" s="10"/>
      <c r="I8" s="76"/>
      <c r="J8" s="1202" t="s">
        <v>3</v>
      </c>
    </row>
    <row r="9" spans="2:11" ht="15">
      <c r="B9" s="12" t="s">
        <v>6</v>
      </c>
      <c r="C9" s="13" t="s">
        <v>1484</v>
      </c>
      <c r="D9" s="14" t="s">
        <v>1535</v>
      </c>
      <c r="E9" s="14"/>
      <c r="F9" s="14"/>
      <c r="G9" s="14"/>
      <c r="H9" s="14"/>
      <c r="I9" s="66"/>
      <c r="J9" s="1203"/>
    </row>
    <row r="10" spans="2:11" ht="15">
      <c r="B10" s="12"/>
      <c r="C10" s="13" t="s">
        <v>1485</v>
      </c>
      <c r="D10" s="14"/>
      <c r="E10" s="14"/>
      <c r="F10" s="14"/>
      <c r="G10" s="14"/>
      <c r="H10" s="14"/>
      <c r="I10" s="65"/>
      <c r="J10" s="1204"/>
    </row>
    <row r="11" spans="2:11" ht="15">
      <c r="B11" s="12"/>
      <c r="C11" s="13" t="s">
        <v>1486</v>
      </c>
      <c r="D11" s="14"/>
      <c r="E11" s="14"/>
      <c r="F11" s="14"/>
      <c r="G11" s="14"/>
      <c r="H11" s="14"/>
      <c r="I11" s="66">
        <f>F19-I19</f>
        <v>876.154</v>
      </c>
      <c r="J11" s="78" t="e">
        <f>#REF!</f>
        <v>#REF!</v>
      </c>
    </row>
    <row r="12" spans="2:11" ht="15">
      <c r="B12" s="12" t="s">
        <v>8</v>
      </c>
      <c r="C12" s="13" t="s">
        <v>1483</v>
      </c>
      <c r="D12" s="14"/>
      <c r="E12" s="14"/>
      <c r="F12" s="14"/>
      <c r="G12" s="14"/>
      <c r="H12" s="14"/>
      <c r="I12" s="66">
        <f>(F19-I19)/I19</f>
        <v>3.3240534183170198</v>
      </c>
      <c r="J12" s="1205" t="s">
        <v>13</v>
      </c>
    </row>
    <row r="13" spans="2:11" ht="15">
      <c r="B13" s="12" t="s">
        <v>9</v>
      </c>
      <c r="C13" s="13" t="s">
        <v>1</v>
      </c>
      <c r="D13" s="14" t="e">
        <f>#REF!</f>
        <v>#REF!</v>
      </c>
      <c r="E13" s="14"/>
      <c r="F13" s="14"/>
      <c r="G13" s="14"/>
      <c r="H13" s="14"/>
      <c r="I13" s="66">
        <f>I12*I19</f>
        <v>876.154</v>
      </c>
      <c r="J13" s="1206"/>
    </row>
    <row r="14" spans="2:11" ht="15.75" thickBot="1">
      <c r="B14" s="15" t="s">
        <v>10</v>
      </c>
      <c r="C14" s="67" t="e">
        <f>#REF!</f>
        <v>#REF!</v>
      </c>
      <c r="D14" s="60"/>
      <c r="E14" s="130"/>
      <c r="F14" s="60"/>
      <c r="G14" s="130"/>
      <c r="H14" s="16"/>
      <c r="I14" s="68"/>
      <c r="J14" s="57" t="e">
        <f>#REF!</f>
        <v>#REF!</v>
      </c>
    </row>
    <row r="15" spans="2:11">
      <c r="B15" s="29"/>
      <c r="J15" s="30" t="s">
        <v>1482</v>
      </c>
    </row>
    <row r="16" spans="2:11" ht="12.75" customHeight="1">
      <c r="B16" s="1207" t="s">
        <v>1491</v>
      </c>
      <c r="C16" s="1208" t="s">
        <v>1489</v>
      </c>
      <c r="D16" s="1208" t="s">
        <v>1492</v>
      </c>
      <c r="E16" s="59"/>
      <c r="F16" s="59"/>
      <c r="G16" s="131"/>
      <c r="H16" s="1209"/>
      <c r="I16" s="1210"/>
      <c r="J16" s="1211"/>
    </row>
    <row r="17" spans="1:13" ht="14.25">
      <c r="B17" s="1207"/>
      <c r="C17" s="1208"/>
      <c r="D17" s="1208"/>
      <c r="E17" s="58" t="s">
        <v>1532</v>
      </c>
      <c r="F17" s="58" t="s">
        <v>1532</v>
      </c>
      <c r="G17" s="132" t="s">
        <v>2754</v>
      </c>
      <c r="H17" s="58" t="s">
        <v>1493</v>
      </c>
      <c r="I17" s="58" t="s">
        <v>1494</v>
      </c>
      <c r="J17" s="1212"/>
    </row>
    <row r="18" spans="1:13">
      <c r="B18" s="1207"/>
      <c r="C18" s="1208"/>
      <c r="D18" s="1208"/>
      <c r="E18" s="31">
        <v>45108</v>
      </c>
      <c r="F18" s="31" t="s">
        <v>3052</v>
      </c>
      <c r="G18" s="133" t="s">
        <v>2753</v>
      </c>
      <c r="H18" s="32" t="s">
        <v>1495</v>
      </c>
      <c r="I18" s="32" t="s">
        <v>1496</v>
      </c>
      <c r="J18" s="45" t="s">
        <v>1533</v>
      </c>
    </row>
    <row r="19" spans="1:13" s="37" customFormat="1" ht="30" customHeight="1">
      <c r="A19" s="37" t="s">
        <v>1521</v>
      </c>
      <c r="B19" s="33" t="s">
        <v>1497</v>
      </c>
      <c r="C19" s="34" t="s">
        <v>3192</v>
      </c>
      <c r="D19" s="35">
        <v>161384</v>
      </c>
      <c r="E19" s="134">
        <v>1082.105</v>
      </c>
      <c r="F19" s="134">
        <v>1139.7339999999999</v>
      </c>
      <c r="G19" s="134">
        <v>738.26400000000001</v>
      </c>
      <c r="H19" s="36"/>
      <c r="I19" s="36">
        <v>263.58</v>
      </c>
      <c r="J19" s="46">
        <f>ROUND((E19-I19)/I19,4)</f>
        <v>3.1053999999999999</v>
      </c>
      <c r="L19" s="379" t="s">
        <v>1521</v>
      </c>
      <c r="M19" s="380">
        <f>J19</f>
        <v>3.1053999999999999</v>
      </c>
    </row>
    <row r="20" spans="1:13" s="37" customFormat="1" ht="30" customHeight="1">
      <c r="B20" s="33" t="s">
        <v>1498</v>
      </c>
      <c r="C20" s="34" t="s">
        <v>1499</v>
      </c>
      <c r="D20" s="35">
        <v>1006825</v>
      </c>
      <c r="E20" s="134">
        <v>1351.7280000000001</v>
      </c>
      <c r="F20" s="134"/>
      <c r="G20" s="134"/>
      <c r="H20" s="36">
        <v>637.95000000000005</v>
      </c>
      <c r="I20" s="36">
        <v>270.96800000000002</v>
      </c>
      <c r="J20" s="46">
        <f>ROUND((H20-I20)/I20,4)</f>
        <v>1.3543000000000001</v>
      </c>
      <c r="L20" s="380"/>
      <c r="M20" s="380">
        <f t="shared" ref="M20:M25" si="0">J20</f>
        <v>1.3543000000000001</v>
      </c>
    </row>
    <row r="21" spans="1:13" s="37" customFormat="1" ht="30" customHeight="1">
      <c r="A21" s="37" t="s">
        <v>1524</v>
      </c>
      <c r="B21" s="33" t="s">
        <v>1500</v>
      </c>
      <c r="C21" s="34" t="s">
        <v>1501</v>
      </c>
      <c r="D21" s="35">
        <v>1136868</v>
      </c>
      <c r="E21" s="135">
        <v>363.61500000000001</v>
      </c>
      <c r="F21" s="135">
        <v>370.61900000000003</v>
      </c>
      <c r="G21" s="135">
        <v>180.517</v>
      </c>
      <c r="H21" s="36">
        <v>135.53</v>
      </c>
      <c r="I21" s="36"/>
      <c r="J21" s="69">
        <f>ROUND(((1+(E21-H21)/H21)*$J$20),4)</f>
        <v>3.6335000000000002</v>
      </c>
      <c r="L21" s="381" t="s">
        <v>1524</v>
      </c>
      <c r="M21" s="380">
        <f t="shared" si="0"/>
        <v>3.6335000000000002</v>
      </c>
    </row>
    <row r="22" spans="1:13" s="37" customFormat="1" ht="30" customHeight="1">
      <c r="A22" s="37" t="s">
        <v>1525</v>
      </c>
      <c r="B22" s="33" t="s">
        <v>1502</v>
      </c>
      <c r="C22" s="34" t="s">
        <v>1503</v>
      </c>
      <c r="D22" s="35">
        <v>1136913</v>
      </c>
      <c r="E22" s="135">
        <v>485.17</v>
      </c>
      <c r="F22" s="135">
        <v>419.67700000000002</v>
      </c>
      <c r="G22" s="134">
        <v>215.61199999999999</v>
      </c>
      <c r="H22" s="36">
        <v>123.41800000000001</v>
      </c>
      <c r="I22" s="36"/>
      <c r="J22" s="69">
        <f>ROUND(((1+(E22-H22)/H22)*$J$20),4)</f>
        <v>5.3239000000000001</v>
      </c>
      <c r="L22" s="381" t="s">
        <v>1525</v>
      </c>
      <c r="M22" s="380">
        <f t="shared" si="0"/>
        <v>5.3239000000000001</v>
      </c>
    </row>
    <row r="23" spans="1:13" s="37" customFormat="1" ht="30" customHeight="1">
      <c r="A23" s="37" t="s">
        <v>1522</v>
      </c>
      <c r="B23" s="33" t="s">
        <v>1504</v>
      </c>
      <c r="C23" s="34" t="s">
        <v>1505</v>
      </c>
      <c r="D23" s="35">
        <v>159428</v>
      </c>
      <c r="E23" s="134">
        <v>1076.626</v>
      </c>
      <c r="F23" s="134">
        <v>1050.701</v>
      </c>
      <c r="G23" s="134">
        <v>775.22500000000002</v>
      </c>
      <c r="H23" s="36"/>
      <c r="I23" s="36">
        <v>236.83</v>
      </c>
      <c r="J23" s="46">
        <f>ROUND((E23-I23)/I23,4)</f>
        <v>3.5459999999999998</v>
      </c>
      <c r="L23" s="381" t="s">
        <v>1522</v>
      </c>
      <c r="M23" s="380">
        <f t="shared" si="0"/>
        <v>3.5459999999999998</v>
      </c>
    </row>
    <row r="24" spans="1:13" s="37" customFormat="1" ht="30" customHeight="1">
      <c r="A24" s="37" t="s">
        <v>1523</v>
      </c>
      <c r="B24" s="33" t="s">
        <v>1506</v>
      </c>
      <c r="C24" s="34" t="s">
        <v>1507</v>
      </c>
      <c r="D24" s="35">
        <v>157956</v>
      </c>
      <c r="E24" s="134">
        <v>459.93200000000002</v>
      </c>
      <c r="F24" s="134">
        <v>487.16699999999997</v>
      </c>
      <c r="G24" s="134">
        <v>327.00900000000001</v>
      </c>
      <c r="H24" s="36"/>
      <c r="I24" s="36">
        <v>133.13900000000001</v>
      </c>
      <c r="J24" s="46">
        <f>ROUND((E24-I24)/I24,4)</f>
        <v>2.4544999999999999</v>
      </c>
      <c r="L24" s="381" t="s">
        <v>1523</v>
      </c>
      <c r="M24" s="380">
        <f t="shared" si="0"/>
        <v>2.4544999999999999</v>
      </c>
    </row>
    <row r="25" spans="1:13" s="37" customFormat="1" ht="30" customHeight="1">
      <c r="A25" s="37" t="s">
        <v>1526</v>
      </c>
      <c r="B25" s="33" t="s">
        <v>1508</v>
      </c>
      <c r="C25" s="34" t="s">
        <v>1509</v>
      </c>
      <c r="D25" s="35">
        <v>159665</v>
      </c>
      <c r="E25" s="134">
        <v>820.83</v>
      </c>
      <c r="F25" s="134">
        <v>837.91899999999998</v>
      </c>
      <c r="G25" s="134">
        <v>558.92200000000003</v>
      </c>
      <c r="H25" s="36"/>
      <c r="I25" s="36">
        <v>225.01400000000001</v>
      </c>
      <c r="J25" s="46">
        <f>ROUND((E25-I25)/I25,4)</f>
        <v>2.6478999999999999</v>
      </c>
      <c r="L25" s="381" t="s">
        <v>1526</v>
      </c>
      <c r="M25" s="380">
        <f t="shared" si="0"/>
        <v>2.6478999999999999</v>
      </c>
    </row>
    <row r="26" spans="1:13">
      <c r="B26" s="29"/>
      <c r="J26" s="30"/>
    </row>
    <row r="27" spans="1:13" ht="15">
      <c r="B27" s="29"/>
      <c r="D27" s="38" t="s">
        <v>1510</v>
      </c>
      <c r="E27"/>
      <c r="F27" s="38" t="s">
        <v>1511</v>
      </c>
      <c r="H27" s="38" t="s">
        <v>1512</v>
      </c>
      <c r="I27" s="38" t="s">
        <v>1513</v>
      </c>
      <c r="J27" s="30"/>
    </row>
    <row r="28" spans="1:13" ht="15.75">
      <c r="B28" s="29"/>
      <c r="D28" s="39" t="s">
        <v>1514</v>
      </c>
      <c r="E28" s="39"/>
      <c r="F28" s="56" t="s">
        <v>1515</v>
      </c>
      <c r="G28" s="56"/>
      <c r="H28" s="140">
        <f>1+(H20-I20)/I20</f>
        <v>2.3543370434885302</v>
      </c>
      <c r="I28" s="40" t="s">
        <v>2759</v>
      </c>
      <c r="J28" s="30"/>
    </row>
    <row r="29" spans="1:13">
      <c r="B29" s="29"/>
      <c r="D29" s="39"/>
      <c r="E29" s="39"/>
      <c r="J29" s="30"/>
    </row>
    <row r="30" spans="1:13" ht="15.75">
      <c r="B30" s="29"/>
      <c r="D30" s="39" t="s">
        <v>1516</v>
      </c>
      <c r="E30" s="39"/>
      <c r="F30" s="56" t="s">
        <v>1517</v>
      </c>
      <c r="G30" s="56"/>
      <c r="H30" s="41">
        <f>(1+(F22-H22)/H22)</f>
        <v>3.4004521220567501</v>
      </c>
      <c r="I30" s="56" t="s">
        <v>2757</v>
      </c>
      <c r="J30" s="30"/>
    </row>
    <row r="31" spans="1:13">
      <c r="B31" s="29"/>
      <c r="J31" s="30"/>
    </row>
    <row r="32" spans="1:13" ht="15.75">
      <c r="B32" s="29"/>
      <c r="D32" s="39" t="s">
        <v>1518</v>
      </c>
      <c r="E32" s="39"/>
      <c r="F32" s="56" t="s">
        <v>1517</v>
      </c>
      <c r="G32" s="56"/>
      <c r="H32" s="70">
        <f>(1+(F21-H21)/H21)-0.00002</f>
        <v>2.7345701276470153</v>
      </c>
      <c r="I32" s="56" t="s">
        <v>2758</v>
      </c>
      <c r="J32" s="30"/>
    </row>
    <row r="33" spans="2:10">
      <c r="B33" s="29"/>
      <c r="J33" s="30"/>
    </row>
    <row r="34" spans="2:10" ht="13.5" thickBot="1">
      <c r="B34" s="42"/>
      <c r="C34" s="43"/>
      <c r="D34" s="43"/>
      <c r="E34" s="136"/>
      <c r="F34" s="43"/>
      <c r="G34" s="136"/>
      <c r="H34" s="43"/>
      <c r="I34" s="43"/>
      <c r="J34" s="44"/>
    </row>
    <row r="38" spans="2:10">
      <c r="B38" s="1213" t="s">
        <v>1487</v>
      </c>
      <c r="C38" s="1213"/>
      <c r="D38" s="1213"/>
      <c r="E38" s="1213"/>
      <c r="F38" s="1213"/>
      <c r="G38" s="1213"/>
      <c r="H38" s="1213"/>
      <c r="I38" s="1213"/>
      <c r="J38" s="1213"/>
    </row>
    <row r="39" spans="2:10" ht="31.5" customHeight="1">
      <c r="I39" s="71"/>
    </row>
    <row r="40" spans="2:10">
      <c r="C40" s="39" t="s">
        <v>3050</v>
      </c>
      <c r="F40" s="1214" t="s">
        <v>3051</v>
      </c>
      <c r="G40" s="1214"/>
    </row>
    <row r="41" spans="2:10" ht="17.25" customHeight="1">
      <c r="B41" s="37"/>
      <c r="C41" s="205" t="e">
        <f>#REF!</f>
        <v>#REF!</v>
      </c>
      <c r="F41" s="1198" t="e">
        <f>#REF!</f>
        <v>#REF!</v>
      </c>
      <c r="G41" s="1198"/>
      <c r="H41" s="1198"/>
      <c r="I41" s="1198"/>
      <c r="J41" s="37"/>
    </row>
    <row r="42" spans="2:10" ht="43.5" customHeight="1"/>
    <row r="43" spans="2:10">
      <c r="C43" s="38" t="s">
        <v>2752</v>
      </c>
      <c r="D43" s="206"/>
      <c r="E43" s="206"/>
      <c r="F43" s="1213" t="s">
        <v>1534</v>
      </c>
      <c r="G43" s="1213"/>
      <c r="H43" s="1213"/>
    </row>
    <row r="44" spans="2:10">
      <c r="C44" s="39"/>
      <c r="D44" s="39"/>
      <c r="E44" s="39"/>
      <c r="F44" s="39"/>
      <c r="G44" s="39"/>
      <c r="H44" s="39"/>
    </row>
    <row r="45" spans="2:10">
      <c r="C45" s="39"/>
      <c r="D45" s="39"/>
      <c r="E45" s="39"/>
      <c r="F45" s="39"/>
      <c r="G45" s="39"/>
      <c r="H45" s="39"/>
    </row>
    <row r="46" spans="2:10">
      <c r="C46" s="39" t="s">
        <v>3048</v>
      </c>
      <c r="G46" s="39" t="s">
        <v>3048</v>
      </c>
    </row>
    <row r="47" spans="2:10" ht="18" customHeight="1">
      <c r="B47" s="37"/>
      <c r="C47" s="205" t="e">
        <f>#REF!</f>
        <v>#REF!</v>
      </c>
      <c r="D47" s="37"/>
      <c r="E47" s="37"/>
      <c r="F47" s="1198" t="e">
        <f>#REF!</f>
        <v>#REF!</v>
      </c>
      <c r="G47" s="1198"/>
      <c r="H47" s="1198"/>
      <c r="I47" s="37"/>
      <c r="J47" s="37"/>
    </row>
    <row r="51" spans="3:3" ht="15">
      <c r="C51" s="1"/>
    </row>
    <row r="52" spans="3:3" ht="15">
      <c r="C52" s="1"/>
    </row>
    <row r="53" spans="3:3" ht="15">
      <c r="C53" s="1"/>
    </row>
  </sheetData>
  <mergeCells count="16">
    <mergeCell ref="F47:H47"/>
    <mergeCell ref="B3:J3"/>
    <mergeCell ref="B4:J4"/>
    <mergeCell ref="B5:J5"/>
    <mergeCell ref="J8:J10"/>
    <mergeCell ref="J12:J13"/>
    <mergeCell ref="B16:B18"/>
    <mergeCell ref="C16:C18"/>
    <mergeCell ref="D16:D18"/>
    <mergeCell ref="H16:I16"/>
    <mergeCell ref="J16:J17"/>
    <mergeCell ref="B38:J38"/>
    <mergeCell ref="F40:G40"/>
    <mergeCell ref="F41:G41"/>
    <mergeCell ref="H41:I41"/>
    <mergeCell ref="F43:H43"/>
  </mergeCells>
  <printOptions horizontalCentered="1"/>
  <pageMargins left="0.51181102362204722" right="0.51181102362204722" top="0.78740157480314965" bottom="0.78740157480314965" header="0.31496062992125984" footer="0.31496062992125984"/>
  <pageSetup paperSize="9" scale="54" orientation="landscape" r:id="rId1"/>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3:Y108"/>
  <sheetViews>
    <sheetView topLeftCell="A44" zoomScale="80" zoomScaleNormal="80" workbookViewId="0">
      <selection activeCell="D66" sqref="D66"/>
    </sheetView>
  </sheetViews>
  <sheetFormatPr defaultRowHeight="15"/>
  <cols>
    <col min="1" max="1" width="9.140625" style="77"/>
    <col min="2" max="2" width="44.5703125" customWidth="1"/>
    <col min="3" max="3" width="6.7109375" style="77" bestFit="1" customWidth="1"/>
    <col min="4" max="4" width="30.42578125" style="77" customWidth="1"/>
    <col min="5" max="5" width="15.85546875" style="77" bestFit="1" customWidth="1"/>
    <col min="6" max="6" width="13.5703125" bestFit="1" customWidth="1"/>
    <col min="7" max="7" width="16.5703125" bestFit="1" customWidth="1"/>
    <col min="8" max="8" width="11.5703125" style="229" bestFit="1" customWidth="1"/>
    <col min="9" max="9" width="26.42578125" style="230" bestFit="1" customWidth="1"/>
    <col min="10" max="10" width="10.28515625" style="201" customWidth="1"/>
    <col min="11" max="11" width="17.28515625" style="201" customWidth="1"/>
    <col min="12" max="12" width="10.7109375" customWidth="1"/>
    <col min="13" max="13" width="14.7109375" customWidth="1"/>
    <col min="14" max="14" width="36" customWidth="1"/>
  </cols>
  <sheetData>
    <row r="3" spans="1:13" ht="20.100000000000001" customHeight="1">
      <c r="B3" s="1168" t="s">
        <v>3067</v>
      </c>
      <c r="C3" s="1168" t="s">
        <v>11</v>
      </c>
      <c r="D3" s="1170" t="s">
        <v>3068</v>
      </c>
      <c r="E3" s="1171"/>
      <c r="F3" s="1172" t="s">
        <v>3069</v>
      </c>
      <c r="G3" s="1172" t="s">
        <v>3070</v>
      </c>
      <c r="H3" s="1172" t="s">
        <v>3071</v>
      </c>
      <c r="I3" s="1164" t="s">
        <v>3072</v>
      </c>
      <c r="J3" s="1165"/>
      <c r="K3" s="1166" t="s">
        <v>3223</v>
      </c>
    </row>
    <row r="4" spans="1:13" ht="20.100000000000001" customHeight="1">
      <c r="B4" s="1169"/>
      <c r="C4" s="1169"/>
      <c r="D4" s="366"/>
      <c r="E4" s="367"/>
      <c r="F4" s="1173"/>
      <c r="G4" s="1173"/>
      <c r="H4" s="1173"/>
      <c r="I4" s="226" t="s">
        <v>1539</v>
      </c>
      <c r="J4" s="226" t="s">
        <v>3073</v>
      </c>
      <c r="K4" s="1167"/>
    </row>
    <row r="6" spans="1:13">
      <c r="A6" s="972">
        <v>1</v>
      </c>
      <c r="B6" s="973" t="s">
        <v>3096</v>
      </c>
      <c r="C6" s="972"/>
      <c r="D6" s="972"/>
      <c r="E6" s="972"/>
      <c r="F6" s="974" t="s">
        <v>3318</v>
      </c>
      <c r="G6" s="974"/>
      <c r="H6" s="975"/>
      <c r="I6" s="976"/>
      <c r="J6" s="977"/>
      <c r="K6" s="978">
        <f>SUM(K7:K12)</f>
        <v>9651137.0682450011</v>
      </c>
    </row>
    <row r="7" spans="1:13">
      <c r="A7" s="972"/>
      <c r="B7" s="974" t="s">
        <v>3195</v>
      </c>
      <c r="C7" s="972"/>
      <c r="D7" s="972" t="s">
        <v>3098</v>
      </c>
      <c r="E7" s="972"/>
      <c r="F7" s="979">
        <f>519475.32/4.02/131</f>
        <v>986.4329497550417</v>
      </c>
      <c r="G7" s="972" t="s">
        <v>3097</v>
      </c>
      <c r="H7" s="975"/>
      <c r="I7" s="980" t="s">
        <v>3075</v>
      </c>
      <c r="J7" s="981">
        <v>2.0599709530508776</v>
      </c>
      <c r="K7" s="982">
        <f>(681.87*9.5*1317)</f>
        <v>8531216.5050000008</v>
      </c>
    </row>
    <row r="8" spans="1:13">
      <c r="A8" s="972"/>
      <c r="B8" s="974" t="s">
        <v>3099</v>
      </c>
      <c r="C8" s="972"/>
      <c r="D8" s="974" t="s">
        <v>3100</v>
      </c>
      <c r="E8" s="974"/>
      <c r="F8" s="983">
        <v>223360.65</v>
      </c>
      <c r="G8" s="974"/>
      <c r="H8" s="975"/>
      <c r="I8" s="984" t="s">
        <v>1523</v>
      </c>
      <c r="J8" s="977">
        <f>VLOOKUP(I8,'Reajuste Atual'!$L$19:$M$25,2,FALSE)</f>
        <v>2.4544999999999999</v>
      </c>
      <c r="K8" s="982">
        <f>F8*J8</f>
        <v>548238.71542499994</v>
      </c>
      <c r="L8" s="240"/>
      <c r="M8" s="240"/>
    </row>
    <row r="9" spans="1:13">
      <c r="A9" s="972"/>
      <c r="B9" s="974" t="s">
        <v>3101</v>
      </c>
      <c r="C9" s="972"/>
      <c r="D9" s="974" t="s">
        <v>3193</v>
      </c>
      <c r="E9" s="974"/>
      <c r="F9" s="983">
        <v>152076.22974943978</v>
      </c>
      <c r="G9" s="974"/>
      <c r="H9" s="975"/>
      <c r="I9" s="984" t="s">
        <v>1523</v>
      </c>
      <c r="J9" s="977">
        <f>VLOOKUP(I9,'Reajuste Atual'!$L$19:$M$25,2,FALSE)</f>
        <v>2.4544999999999999</v>
      </c>
      <c r="K9" s="982">
        <f>F9*J9</f>
        <v>373271.10591999994</v>
      </c>
      <c r="L9" s="240"/>
      <c r="M9" s="240"/>
    </row>
    <row r="10" spans="1:13">
      <c r="A10" s="972"/>
      <c r="B10" s="974" t="s">
        <v>3196</v>
      </c>
      <c r="C10" s="972"/>
      <c r="D10" s="974" t="s">
        <v>3197</v>
      </c>
      <c r="E10" s="974"/>
      <c r="F10" s="983">
        <v>44383.775514361398</v>
      </c>
      <c r="G10" s="974"/>
      <c r="H10" s="975"/>
      <c r="I10" s="984" t="s">
        <v>1523</v>
      </c>
      <c r="J10" s="977">
        <f>VLOOKUP(I10,'Reajuste Atual'!$L$19:$M$25,2,FALSE)</f>
        <v>2.4544999999999999</v>
      </c>
      <c r="K10" s="982">
        <f>F10*J10</f>
        <v>108939.97700000004</v>
      </c>
      <c r="L10" s="240"/>
      <c r="M10" s="240"/>
    </row>
    <row r="11" spans="1:13">
      <c r="A11" s="972"/>
      <c r="B11" s="974" t="s">
        <v>3194</v>
      </c>
      <c r="C11" s="972"/>
      <c r="D11" s="974" t="s">
        <v>3198</v>
      </c>
      <c r="E11" s="974"/>
      <c r="F11" s="983">
        <v>36451.727398655523</v>
      </c>
      <c r="G11" s="974"/>
      <c r="H11" s="975"/>
      <c r="I11" s="984" t="s">
        <v>1523</v>
      </c>
      <c r="J11" s="977">
        <f>VLOOKUP(I11,'Reajuste Atual'!$L$19:$M$25,2,FALSE)</f>
        <v>2.4544999999999999</v>
      </c>
      <c r="K11" s="982">
        <f>F11*J11</f>
        <v>89470.76489999998</v>
      </c>
      <c r="L11" s="240"/>
      <c r="M11" s="240"/>
    </row>
    <row r="12" spans="1:13">
      <c r="B12" s="231"/>
      <c r="C12" s="232"/>
      <c r="D12" s="233"/>
      <c r="E12" s="234"/>
      <c r="F12" s="231"/>
      <c r="G12" s="231"/>
      <c r="H12" s="231"/>
      <c r="I12" s="232"/>
      <c r="J12" s="231"/>
      <c r="K12" s="235"/>
    </row>
    <row r="14" spans="1:13" hidden="1">
      <c r="A14" s="972" t="s">
        <v>20</v>
      </c>
      <c r="B14" s="973" t="s">
        <v>3081</v>
      </c>
      <c r="C14" s="972"/>
      <c r="D14" s="972"/>
      <c r="E14" s="972"/>
      <c r="F14" s="972" t="s">
        <v>3082</v>
      </c>
      <c r="G14" s="985"/>
      <c r="H14" s="986"/>
      <c r="I14" s="987"/>
      <c r="J14" s="985"/>
      <c r="K14" s="988">
        <f>SUM(K15:K20)</f>
        <v>9328866.2865740545</v>
      </c>
    </row>
    <row r="15" spans="1:13" ht="15" hidden="1" customHeight="1">
      <c r="A15" s="972"/>
      <c r="B15" s="974" t="s">
        <v>3060</v>
      </c>
      <c r="C15" s="972" t="s">
        <v>2755</v>
      </c>
      <c r="D15" s="1163" t="s">
        <v>3080</v>
      </c>
      <c r="E15" s="972" t="s">
        <v>3083</v>
      </c>
      <c r="F15" s="989">
        <v>280410.55166065134</v>
      </c>
      <c r="G15" s="974" t="s">
        <v>3089</v>
      </c>
      <c r="H15" s="975">
        <v>2023</v>
      </c>
      <c r="I15" s="976"/>
      <c r="J15" s="990"/>
      <c r="K15" s="982">
        <f>F15*6.05</f>
        <v>1696483.8375469407</v>
      </c>
    </row>
    <row r="16" spans="1:13" hidden="1">
      <c r="A16" s="972"/>
      <c r="B16" s="974" t="s">
        <v>3085</v>
      </c>
      <c r="C16" s="972" t="s">
        <v>2755</v>
      </c>
      <c r="D16" s="1163"/>
      <c r="E16" s="972" t="s">
        <v>3084</v>
      </c>
      <c r="F16" s="991">
        <v>1715233.3578561572</v>
      </c>
      <c r="G16" s="974"/>
      <c r="H16" s="975"/>
      <c r="I16" s="984"/>
      <c r="J16" s="992"/>
      <c r="K16" s="982">
        <f>F16*2.6</f>
        <v>4459606.7304260088</v>
      </c>
    </row>
    <row r="17" spans="1:25" hidden="1">
      <c r="A17" s="972"/>
      <c r="B17" s="974" t="s">
        <v>3086</v>
      </c>
      <c r="C17" s="972" t="s">
        <v>2755</v>
      </c>
      <c r="D17" s="1163"/>
      <c r="E17" s="972" t="str">
        <f>E16</f>
        <v>2,60 m³/s</v>
      </c>
      <c r="F17" s="991">
        <v>93152.708539587882</v>
      </c>
      <c r="G17" s="974"/>
      <c r="H17" s="975"/>
      <c r="I17" s="976"/>
      <c r="J17" s="993"/>
      <c r="K17" s="982">
        <f>F17*2.6</f>
        <v>242197.04220292851</v>
      </c>
    </row>
    <row r="18" spans="1:25" hidden="1">
      <c r="A18" s="972"/>
      <c r="B18" s="974" t="s">
        <v>3087</v>
      </c>
      <c r="C18" s="972" t="s">
        <v>2755</v>
      </c>
      <c r="D18" s="1163"/>
      <c r="E18" s="972" t="str">
        <f>E17</f>
        <v>2,60 m³/s</v>
      </c>
      <c r="F18" s="991">
        <v>740551.93315030902</v>
      </c>
      <c r="G18" s="974"/>
      <c r="H18" s="975"/>
      <c r="I18" s="984"/>
      <c r="J18" s="993"/>
      <c r="K18" s="982">
        <f>F18*2.6</f>
        <v>1925435.0261908036</v>
      </c>
    </row>
    <row r="19" spans="1:25" hidden="1">
      <c r="A19" s="972"/>
      <c r="B19" s="974" t="s">
        <v>3088</v>
      </c>
      <c r="C19" s="972" t="s">
        <v>2755</v>
      </c>
      <c r="D19" s="1163"/>
      <c r="E19" s="972" t="str">
        <f>E18</f>
        <v>2,60 m³/s</v>
      </c>
      <c r="F19" s="989">
        <v>321344.33325103042</v>
      </c>
      <c r="G19" s="974"/>
      <c r="H19" s="975"/>
      <c r="I19" s="976"/>
      <c r="J19" s="994"/>
      <c r="K19" s="982">
        <f>F19*2.6</f>
        <v>835495.26645267906</v>
      </c>
    </row>
    <row r="20" spans="1:25" hidden="1">
      <c r="B20" s="231" t="s">
        <v>3076</v>
      </c>
      <c r="C20" s="232" t="s">
        <v>2755</v>
      </c>
      <c r="D20" s="233">
        <v>0.1</v>
      </c>
      <c r="E20" s="234" t="s">
        <v>3077</v>
      </c>
      <c r="F20" s="231"/>
      <c r="G20" s="231"/>
      <c r="H20" s="231"/>
      <c r="I20" s="232"/>
      <c r="J20" s="231"/>
      <c r="K20" s="235">
        <f>K15*D20</f>
        <v>169648.38375469408</v>
      </c>
    </row>
    <row r="21" spans="1:25" hidden="1">
      <c r="C21"/>
      <c r="D21"/>
      <c r="E21"/>
      <c r="H21"/>
      <c r="I21"/>
      <c r="J21"/>
      <c r="K21"/>
    </row>
    <row r="22" spans="1:25" hidden="1">
      <c r="A22" s="972" t="s">
        <v>21</v>
      </c>
      <c r="B22" s="973" t="s">
        <v>3104</v>
      </c>
      <c r="C22" s="972"/>
      <c r="D22" s="972"/>
      <c r="E22" s="972"/>
      <c r="F22" s="985"/>
      <c r="G22" s="985"/>
      <c r="H22" s="986"/>
      <c r="I22" s="987"/>
      <c r="J22" s="985"/>
      <c r="K22" s="988">
        <f>SUM(K23:K27)</f>
        <v>15370079.443092</v>
      </c>
      <c r="O22" s="238"/>
    </row>
    <row r="23" spans="1:25" hidden="1">
      <c r="A23" s="972"/>
      <c r="B23" s="974" t="s">
        <v>3102</v>
      </c>
      <c r="C23" s="972" t="s">
        <v>2755</v>
      </c>
      <c r="D23" s="974"/>
      <c r="E23" s="974"/>
      <c r="F23" s="974" t="s">
        <v>3103</v>
      </c>
      <c r="G23" s="974"/>
      <c r="H23" s="975"/>
      <c r="I23" s="976"/>
      <c r="J23" s="995"/>
      <c r="K23" s="982">
        <f>0.1*SUM(K24:K26)</f>
        <v>1384691.8417199999</v>
      </c>
    </row>
    <row r="24" spans="1:25" hidden="1">
      <c r="A24" s="972"/>
      <c r="B24" s="974" t="s">
        <v>3090</v>
      </c>
      <c r="C24" s="972" t="s">
        <v>2755</v>
      </c>
      <c r="D24" s="996" t="s">
        <v>3093</v>
      </c>
      <c r="E24" s="972" t="s">
        <v>3084</v>
      </c>
      <c r="F24" s="974">
        <v>7273.41</v>
      </c>
      <c r="G24" s="974" t="s">
        <v>3089</v>
      </c>
      <c r="H24" s="975">
        <v>2023</v>
      </c>
      <c r="I24" s="980"/>
      <c r="J24" s="997"/>
      <c r="K24" s="998">
        <f>1*(1510*F24)</f>
        <v>10982849.1</v>
      </c>
    </row>
    <row r="25" spans="1:25" hidden="1">
      <c r="A25" s="972"/>
      <c r="B25" s="974" t="s">
        <v>3091</v>
      </c>
      <c r="C25" s="972" t="s">
        <v>2755</v>
      </c>
      <c r="D25" s="972" t="s">
        <v>3092</v>
      </c>
      <c r="E25" s="972" t="s">
        <v>3079</v>
      </c>
      <c r="F25" s="974" t="s">
        <v>3095</v>
      </c>
      <c r="G25" s="999" t="s">
        <v>3094</v>
      </c>
      <c r="H25" s="975">
        <v>2023</v>
      </c>
      <c r="I25" s="1000"/>
      <c r="J25" s="997"/>
      <c r="K25" s="998">
        <f>((1*263375)*1.25)*1.2</f>
        <v>395062.5</v>
      </c>
    </row>
    <row r="26" spans="1:25" hidden="1">
      <c r="A26" s="972"/>
      <c r="B26" s="974" t="s">
        <v>3078</v>
      </c>
      <c r="C26" s="972" t="s">
        <v>2755</v>
      </c>
      <c r="D26" s="972"/>
      <c r="E26" s="972"/>
      <c r="F26" s="974"/>
      <c r="G26" s="974" t="s">
        <v>3074</v>
      </c>
      <c r="H26" s="975">
        <v>2013</v>
      </c>
      <c r="I26" s="984" t="s">
        <v>3199</v>
      </c>
      <c r="J26" s="977">
        <v>2.17</v>
      </c>
      <c r="K26" s="982">
        <f>0.1*SUM(K24:K25)*J26</f>
        <v>2469006.8171999999</v>
      </c>
    </row>
    <row r="27" spans="1:25" hidden="1">
      <c r="B27" s="231" t="s">
        <v>3076</v>
      </c>
      <c r="C27" s="232" t="s">
        <v>2755</v>
      </c>
      <c r="D27" s="233">
        <v>0.1</v>
      </c>
      <c r="E27" s="234" t="s">
        <v>3077</v>
      </c>
      <c r="F27" s="231"/>
      <c r="G27" s="231"/>
      <c r="H27" s="231"/>
      <c r="I27" s="232"/>
      <c r="J27" s="241"/>
      <c r="K27" s="235">
        <f>K23*D27</f>
        <v>138469.18417200001</v>
      </c>
    </row>
    <row r="28" spans="1:25" hidden="1">
      <c r="E28" s="529"/>
    </row>
    <row r="29" spans="1:25" hidden="1">
      <c r="A29" s="972">
        <v>26</v>
      </c>
      <c r="B29" s="973" t="s">
        <v>3439</v>
      </c>
      <c r="C29" s="972"/>
      <c r="D29" s="1001">
        <v>26</v>
      </c>
      <c r="E29" s="1002" t="s">
        <v>3113</v>
      </c>
      <c r="F29" s="1003">
        <v>1783.8</v>
      </c>
      <c r="G29" s="1004" t="s">
        <v>3825</v>
      </c>
      <c r="H29" s="975">
        <v>4233</v>
      </c>
      <c r="I29" s="1005" t="s">
        <v>3827</v>
      </c>
      <c r="J29" s="985"/>
      <c r="K29" s="978">
        <f>SUM(K30:K33)</f>
        <v>8330841.7285017297</v>
      </c>
      <c r="M29" s="227"/>
      <c r="N29" s="227"/>
      <c r="O29" s="227"/>
      <c r="P29" s="227"/>
      <c r="Q29" s="227"/>
      <c r="R29" s="227"/>
      <c r="S29" s="227"/>
      <c r="T29" s="227"/>
      <c r="U29" s="227"/>
      <c r="V29" s="251"/>
      <c r="W29" s="227"/>
      <c r="X29" s="227"/>
      <c r="Y29" s="227"/>
    </row>
    <row r="30" spans="1:25" hidden="1">
      <c r="A30" s="972"/>
      <c r="B30" s="974" t="s">
        <v>3060</v>
      </c>
      <c r="C30" s="972" t="s">
        <v>2755</v>
      </c>
      <c r="D30" s="972"/>
      <c r="E30" s="1006">
        <f>248593.30967165/8</f>
        <v>31074.16370895625</v>
      </c>
      <c r="F30" s="1007" t="s">
        <v>3115</v>
      </c>
      <c r="G30" s="1007" t="s">
        <v>3320</v>
      </c>
      <c r="H30" s="975">
        <v>2023</v>
      </c>
      <c r="I30" s="1005"/>
      <c r="J30" s="985"/>
      <c r="K30" s="995">
        <f>(E30*D29)</f>
        <v>807928.25643286249</v>
      </c>
      <c r="M30" s="520">
        <f>[3]RESUMO!$G$29/[3]RESUMO!$D$29</f>
        <v>31074.163708956294</v>
      </c>
      <c r="N30" t="s">
        <v>3321</v>
      </c>
      <c r="O30" s="252"/>
      <c r="P30" s="252"/>
      <c r="S30" s="254"/>
      <c r="T30" s="252"/>
      <c r="U30" s="252"/>
      <c r="V30" s="252"/>
    </row>
    <row r="31" spans="1:25" hidden="1">
      <c r="A31" s="972"/>
      <c r="B31" s="974" t="s">
        <v>3114</v>
      </c>
      <c r="C31" s="972" t="s">
        <v>2755</v>
      </c>
      <c r="D31" s="1008"/>
      <c r="E31" s="1006">
        <f>6368356.5/86</f>
        <v>74050.656976744183</v>
      </c>
      <c r="F31" s="1007" t="s">
        <v>3115</v>
      </c>
      <c r="G31" s="1007" t="s">
        <v>3116</v>
      </c>
      <c r="H31" s="975">
        <v>2013</v>
      </c>
      <c r="I31" s="1009" t="s">
        <v>3117</v>
      </c>
      <c r="J31" s="995">
        <v>3.08</v>
      </c>
      <c r="K31" s="982">
        <f>D29*E31*J31</f>
        <v>5929976.6106976746</v>
      </c>
      <c r="M31" s="521">
        <f>6368356.5/86</f>
        <v>74050.656976744183</v>
      </c>
      <c r="N31" s="252" t="s">
        <v>3317</v>
      </c>
      <c r="O31" s="252"/>
      <c r="P31" s="252"/>
      <c r="S31" s="254"/>
      <c r="T31" s="252"/>
      <c r="U31" s="252"/>
      <c r="V31" s="252"/>
    </row>
    <row r="32" spans="1:25" hidden="1">
      <c r="A32" s="972"/>
      <c r="B32" s="974" t="s">
        <v>3322</v>
      </c>
      <c r="C32" s="972" t="s">
        <v>2755</v>
      </c>
      <c r="D32" s="1010">
        <v>0.2</v>
      </c>
      <c r="E32" s="1011">
        <f>E31*D32</f>
        <v>14810.131395348837</v>
      </c>
      <c r="F32" s="1007" t="s">
        <v>3115</v>
      </c>
      <c r="G32" s="1007" t="s">
        <v>3116</v>
      </c>
      <c r="H32" s="975">
        <v>2013</v>
      </c>
      <c r="I32" s="1009" t="s">
        <v>3075</v>
      </c>
      <c r="J32" s="995">
        <v>2.17</v>
      </c>
      <c r="K32" s="982">
        <f>D29*E32*J32</f>
        <v>835587.61332558142</v>
      </c>
      <c r="N32" s="252"/>
      <c r="O32" s="252"/>
      <c r="P32" s="252"/>
      <c r="S32" s="254"/>
      <c r="T32" s="252"/>
      <c r="U32" s="252"/>
      <c r="V32" s="252"/>
    </row>
    <row r="33" spans="1:22" hidden="1">
      <c r="B33" s="231" t="s">
        <v>3076</v>
      </c>
      <c r="C33" s="232" t="s">
        <v>2755</v>
      </c>
      <c r="D33" s="233">
        <v>0.1</v>
      </c>
      <c r="E33" s="234" t="s">
        <v>3077</v>
      </c>
      <c r="F33" s="231"/>
      <c r="G33" s="231"/>
      <c r="H33" s="231"/>
      <c r="I33" s="255"/>
      <c r="J33" s="231"/>
      <c r="K33" s="235">
        <f>SUM(K30:K32)*D33</f>
        <v>757349.24804561178</v>
      </c>
      <c r="M33" s="252"/>
      <c r="O33" s="238"/>
    </row>
    <row r="35" spans="1:22">
      <c r="A35" s="972">
        <v>24</v>
      </c>
      <c r="B35" s="973" t="s">
        <v>3120</v>
      </c>
      <c r="C35" s="972"/>
      <c r="D35" s="972"/>
      <c r="E35" s="972"/>
      <c r="F35" s="974"/>
      <c r="G35" s="974"/>
      <c r="H35" s="975"/>
      <c r="I35" s="976"/>
      <c r="J35" s="977"/>
      <c r="K35" s="978">
        <f>SUM(K36:K39)</f>
        <v>5900438.0755275618</v>
      </c>
    </row>
    <row r="36" spans="1:22">
      <c r="A36" s="972"/>
      <c r="B36" s="974" t="s">
        <v>3060</v>
      </c>
      <c r="C36" s="972" t="s">
        <v>2755</v>
      </c>
      <c r="D36" s="1010">
        <v>0.8</v>
      </c>
      <c r="E36" s="1012">
        <v>413.90026975368181</v>
      </c>
      <c r="F36" s="1013" t="s">
        <v>3121</v>
      </c>
      <c r="G36" s="1007" t="s">
        <v>3131</v>
      </c>
      <c r="H36" s="975">
        <v>2010</v>
      </c>
      <c r="I36" s="1009" t="s">
        <v>3075</v>
      </c>
      <c r="J36" s="1014">
        <v>2.46</v>
      </c>
      <c r="K36" s="1014">
        <f>(E36*9.5*500)*J36</f>
        <v>4836424.6520717721</v>
      </c>
    </row>
    <row r="37" spans="1:22">
      <c r="A37" s="972"/>
      <c r="B37" s="974" t="s">
        <v>3114</v>
      </c>
      <c r="C37" s="972" t="s">
        <v>2755</v>
      </c>
      <c r="D37" s="974" t="s">
        <v>3175</v>
      </c>
      <c r="E37" s="1010">
        <v>0.1</v>
      </c>
      <c r="F37" s="1007"/>
      <c r="G37" s="1007"/>
      <c r="H37" s="975"/>
      <c r="I37" s="1009"/>
      <c r="J37" s="1015"/>
      <c r="K37" s="1014">
        <f>K36*E37</f>
        <v>483642.46520717721</v>
      </c>
    </row>
    <row r="38" spans="1:22">
      <c r="A38" s="972"/>
      <c r="B38" s="974" t="s">
        <v>3319</v>
      </c>
      <c r="C38" s="972" t="s">
        <v>2755</v>
      </c>
      <c r="D38" s="974"/>
      <c r="E38" s="1010">
        <v>0.2</v>
      </c>
      <c r="F38" s="1007"/>
      <c r="G38" s="1007"/>
      <c r="H38" s="975"/>
      <c r="I38" s="1009"/>
      <c r="J38" s="995"/>
      <c r="K38" s="1014">
        <f>K37*E38</f>
        <v>96728.493041435446</v>
      </c>
    </row>
    <row r="39" spans="1:22">
      <c r="B39" s="231" t="s">
        <v>3076</v>
      </c>
      <c r="C39" s="232" t="s">
        <v>2755</v>
      </c>
      <c r="D39" s="233">
        <v>0.1</v>
      </c>
      <c r="E39" s="234" t="s">
        <v>3077</v>
      </c>
      <c r="F39" s="231"/>
      <c r="G39" s="231"/>
      <c r="H39" s="231"/>
      <c r="I39" s="255"/>
      <c r="J39" s="231"/>
      <c r="K39" s="235">
        <f>K36*D39</f>
        <v>483642.46520717721</v>
      </c>
    </row>
    <row r="41" spans="1:22">
      <c r="A41" s="972">
        <v>25</v>
      </c>
      <c r="B41" s="973" t="s">
        <v>3200</v>
      </c>
      <c r="C41" s="972"/>
      <c r="D41" s="972"/>
      <c r="E41" s="972"/>
      <c r="F41" s="985"/>
      <c r="G41" s="985"/>
      <c r="H41" s="986"/>
      <c r="I41" s="1005"/>
      <c r="J41" s="985"/>
      <c r="K41" s="988">
        <f>SUM(K42:K46)</f>
        <v>15903397.777430722</v>
      </c>
      <c r="O41" s="238"/>
    </row>
    <row r="42" spans="1:22">
      <c r="A42" s="972"/>
      <c r="B42" s="974" t="s">
        <v>3129</v>
      </c>
      <c r="C42" s="972" t="s">
        <v>2755</v>
      </c>
      <c r="D42" s="1016">
        <v>1547</v>
      </c>
      <c r="E42" s="1012">
        <v>413.90026975368181</v>
      </c>
      <c r="F42" s="1007" t="s">
        <v>3130</v>
      </c>
      <c r="G42" s="1007" t="s">
        <v>3131</v>
      </c>
      <c r="H42" s="975">
        <v>2010</v>
      </c>
      <c r="I42" s="1009" t="s">
        <v>3075</v>
      </c>
      <c r="J42" s="1014">
        <v>2.4594548096904609</v>
      </c>
      <c r="K42" s="995">
        <f>$D$42*E42*9.5*J42</f>
        <v>14960581.543382594</v>
      </c>
      <c r="O42" s="252"/>
      <c r="P42" s="252"/>
      <c r="S42" s="254"/>
      <c r="T42" s="252"/>
      <c r="U42" s="252"/>
      <c r="V42" s="252"/>
    </row>
    <row r="43" spans="1:22">
      <c r="A43" s="972"/>
      <c r="B43" s="974" t="s">
        <v>3132</v>
      </c>
      <c r="C43" s="972" t="s">
        <v>2755</v>
      </c>
      <c r="D43" s="1016"/>
      <c r="E43" s="1012">
        <v>8.6285201626412125</v>
      </c>
      <c r="F43" s="1007" t="s">
        <v>3130</v>
      </c>
      <c r="G43" s="1007" t="s">
        <v>3131</v>
      </c>
      <c r="H43" s="975">
        <v>2010</v>
      </c>
      <c r="I43" s="1009" t="s">
        <v>3133</v>
      </c>
      <c r="J43" s="1014">
        <v>2.044861568155242</v>
      </c>
      <c r="K43" s="995">
        <f>$D$42*E43*9.5*J43</f>
        <v>259306.94582592597</v>
      </c>
      <c r="O43" s="252"/>
      <c r="P43" s="252"/>
      <c r="S43" s="254"/>
      <c r="T43" s="252"/>
      <c r="U43" s="252"/>
      <c r="V43" s="252"/>
    </row>
    <row r="44" spans="1:22">
      <c r="A44" s="972"/>
      <c r="B44" s="974" t="s">
        <v>3134</v>
      </c>
      <c r="C44" s="972" t="s">
        <v>2755</v>
      </c>
      <c r="D44" s="1017"/>
      <c r="E44" s="1012">
        <v>8.4223755865128087</v>
      </c>
      <c r="F44" s="1007" t="s">
        <v>3130</v>
      </c>
      <c r="G44" s="1007" t="s">
        <v>3131</v>
      </c>
      <c r="H44" s="975">
        <v>2010</v>
      </c>
      <c r="I44" s="1009" t="s">
        <v>3117</v>
      </c>
      <c r="J44" s="1014">
        <v>2.04</v>
      </c>
      <c r="K44" s="995">
        <f>$D$42*E44*9.5*J44</f>
        <v>252510.06332665842</v>
      </c>
      <c r="O44" s="252"/>
      <c r="P44" s="252"/>
      <c r="S44" s="254"/>
      <c r="T44" s="252"/>
      <c r="U44" s="252"/>
      <c r="V44" s="252"/>
    </row>
    <row r="45" spans="1:22">
      <c r="A45" s="972"/>
      <c r="B45" s="974" t="s">
        <v>3135</v>
      </c>
      <c r="C45" s="972" t="s">
        <v>2755</v>
      </c>
      <c r="D45" s="972"/>
      <c r="E45" s="1018">
        <v>0.2</v>
      </c>
      <c r="F45" s="1019"/>
      <c r="G45" s="1007"/>
      <c r="H45" s="975"/>
      <c r="I45" s="1009"/>
      <c r="J45" s="995"/>
      <c r="K45" s="1014">
        <f>K44*E45</f>
        <v>50502.012665331684</v>
      </c>
      <c r="S45" s="204"/>
    </row>
    <row r="46" spans="1:22">
      <c r="B46" s="231" t="s">
        <v>3076</v>
      </c>
      <c r="C46" s="232" t="s">
        <v>2755</v>
      </c>
      <c r="D46" s="233">
        <v>2.5000000000000001E-2</v>
      </c>
      <c r="E46" s="234" t="s">
        <v>3077</v>
      </c>
      <c r="F46" s="231"/>
      <c r="G46" s="231"/>
      <c r="H46" s="231"/>
      <c r="I46" s="255"/>
      <c r="J46" s="231"/>
      <c r="K46" s="235">
        <f>SUM(K42:K43)*D46</f>
        <v>380497.21223021299</v>
      </c>
      <c r="O46" s="238"/>
    </row>
    <row r="48" spans="1:22">
      <c r="A48" s="972">
        <v>27</v>
      </c>
      <c r="B48" s="1020" t="s">
        <v>3122</v>
      </c>
      <c r="C48" s="1021"/>
      <c r="D48" s="1021"/>
      <c r="E48" s="1021"/>
      <c r="F48" s="1022"/>
      <c r="G48" s="1022"/>
      <c r="H48" s="1023"/>
      <c r="I48" s="1024"/>
      <c r="J48" s="1025"/>
      <c r="K48" s="1026">
        <f>SUM(K49:K51)</f>
        <v>95045419.262908727</v>
      </c>
    </row>
    <row r="49" spans="1:14">
      <c r="A49" s="972"/>
      <c r="B49" s="974"/>
      <c r="C49" s="972"/>
      <c r="D49" s="1027"/>
      <c r="E49" s="1028"/>
      <c r="F49" s="1029"/>
      <c r="G49" s="974"/>
      <c r="H49" s="975"/>
      <c r="I49" s="1009"/>
      <c r="J49" s="977"/>
      <c r="K49" s="1014"/>
      <c r="L49" s="623" t="s">
        <v>3211</v>
      </c>
    </row>
    <row r="50" spans="1:14">
      <c r="A50" s="972"/>
      <c r="B50" s="974" t="s">
        <v>3205</v>
      </c>
      <c r="C50" s="972" t="s">
        <v>2755</v>
      </c>
      <c r="D50" s="1027">
        <v>6016.8</v>
      </c>
      <c r="E50" s="1030">
        <v>81105636.854908735</v>
      </c>
      <c r="F50" s="1031" t="s">
        <v>3207</v>
      </c>
      <c r="G50" s="974" t="s">
        <v>3206</v>
      </c>
      <c r="H50" s="975">
        <v>2023</v>
      </c>
      <c r="I50" s="984"/>
      <c r="J50" s="977"/>
      <c r="K50" s="1014">
        <f>E50</f>
        <v>81105636.854908735</v>
      </c>
      <c r="L50" s="623" t="s">
        <v>3127</v>
      </c>
    </row>
    <row r="51" spans="1:14">
      <c r="A51" s="972"/>
      <c r="B51" s="1032" t="s">
        <v>3126</v>
      </c>
      <c r="C51" s="1033" t="s">
        <v>2755</v>
      </c>
      <c r="D51" s="1034">
        <f>D50</f>
        <v>6016.8</v>
      </c>
      <c r="E51" s="1035">
        <v>2316.81</v>
      </c>
      <c r="F51" s="1029" t="s">
        <v>3123</v>
      </c>
      <c r="G51" s="1032" t="s">
        <v>3316</v>
      </c>
      <c r="H51" s="1036">
        <v>2023</v>
      </c>
      <c r="I51" s="1037"/>
      <c r="J51" s="1038" t="s">
        <v>1477</v>
      </c>
      <c r="K51" s="1039">
        <f>D51*E51</f>
        <v>13939782.408</v>
      </c>
      <c r="L51" s="623" t="s">
        <v>3127</v>
      </c>
    </row>
    <row r="53" spans="1:14">
      <c r="A53" s="972">
        <v>28</v>
      </c>
      <c r="B53" s="973" t="s">
        <v>3823</v>
      </c>
      <c r="C53" s="972"/>
      <c r="D53" s="972"/>
      <c r="E53" s="972"/>
      <c r="F53" s="1003">
        <v>1783.8</v>
      </c>
      <c r="G53" s="1004" t="s">
        <v>3825</v>
      </c>
      <c r="H53" s="1040">
        <v>4233</v>
      </c>
      <c r="I53" s="1041" t="s">
        <v>3827</v>
      </c>
      <c r="K53" s="228">
        <f>SUM(K54:K57)</f>
        <v>31479363.298860144</v>
      </c>
    </row>
    <row r="54" spans="1:14">
      <c r="A54" s="972"/>
      <c r="B54" s="974" t="s">
        <v>3225</v>
      </c>
      <c r="C54" s="972"/>
      <c r="D54" s="1042" t="s">
        <v>3110</v>
      </c>
      <c r="E54" s="1043">
        <v>2678.6177359903613</v>
      </c>
      <c r="F54" s="974" t="s">
        <v>3226</v>
      </c>
      <c r="G54" s="1043">
        <v>1783.8</v>
      </c>
      <c r="H54" s="1044" t="s">
        <v>3227</v>
      </c>
      <c r="I54" s="976"/>
      <c r="K54" s="393">
        <f>E54*G54</f>
        <v>4778118.3174596066</v>
      </c>
      <c r="M54" s="139">
        <f>(K54+(K57*0.2))/1.2462</f>
        <v>4424291.4084215462</v>
      </c>
      <c r="N54" s="139">
        <v>4424291.4084215499</v>
      </c>
    </row>
    <row r="55" spans="1:14">
      <c r="A55" s="972"/>
      <c r="B55" s="974" t="s">
        <v>3229</v>
      </c>
      <c r="C55" s="972"/>
      <c r="D55" s="1042" t="s">
        <v>3110</v>
      </c>
      <c r="E55" s="1043">
        <v>5114.3119549066851</v>
      </c>
      <c r="F55" s="974"/>
      <c r="G55" s="1043">
        <v>1783.8</v>
      </c>
      <c r="H55" s="1044" t="s">
        <v>3227</v>
      </c>
      <c r="I55" s="976"/>
      <c r="K55" s="393">
        <f>E55*G54</f>
        <v>9122909.6651625447</v>
      </c>
      <c r="M55" s="139">
        <f>(K55+K56+(K57*0.8))/1.1528</f>
        <v>22524125.039629783</v>
      </c>
      <c r="N55" s="139">
        <v>22524125.039629798</v>
      </c>
    </row>
    <row r="56" spans="1:14">
      <c r="A56" s="972"/>
      <c r="B56" s="974" t="s">
        <v>3230</v>
      </c>
      <c r="C56" s="972"/>
      <c r="D56" s="1042" t="s">
        <v>3110</v>
      </c>
      <c r="E56" s="1043">
        <v>7793.0077013462105</v>
      </c>
      <c r="F56" s="974"/>
      <c r="G56" s="1043">
        <v>1783.8</v>
      </c>
      <c r="H56" s="1044" t="s">
        <v>3227</v>
      </c>
      <c r="I56" s="976"/>
      <c r="K56" s="393">
        <f>E56*G55</f>
        <v>13901167.13766137</v>
      </c>
    </row>
    <row r="57" spans="1:14">
      <c r="A57" s="972"/>
      <c r="B57" s="974" t="s">
        <v>3831</v>
      </c>
      <c r="C57" s="972"/>
      <c r="D57" s="1042"/>
      <c r="E57" s="1043">
        <v>28200</v>
      </c>
      <c r="F57" s="1042" t="s">
        <v>3830</v>
      </c>
      <c r="G57" s="979">
        <f>'REDE PRESSURIZADA'!H229/'REDE PRESSURIZADA'!E229+'REDE PRESSURIZADA'!H43/'REDE PRESSURIZADA'!E43</f>
        <v>130.3960347012987</v>
      </c>
      <c r="H57" s="1044" t="s">
        <v>3829</v>
      </c>
      <c r="I57" s="976"/>
      <c r="K57" s="237">
        <f>E57*G57</f>
        <v>3677168.1785766236</v>
      </c>
      <c r="L57" t="s">
        <v>3828</v>
      </c>
    </row>
    <row r="58" spans="1:14" ht="18">
      <c r="A58" s="387"/>
      <c r="B58" s="388" t="s">
        <v>3222</v>
      </c>
      <c r="C58" s="387"/>
      <c r="D58" s="387"/>
      <c r="E58" s="387"/>
      <c r="F58" s="388"/>
      <c r="G58" s="388"/>
      <c r="H58" s="389"/>
      <c r="I58" s="390"/>
      <c r="J58" s="391"/>
      <c r="K58" s="392">
        <f>K6+K14+K22+K29+K35+K41+K48+K53</f>
        <v>191009542.94113994</v>
      </c>
    </row>
    <row r="61" spans="1:14">
      <c r="A61" s="618">
        <v>15</v>
      </c>
      <c r="B61" s="236" t="s">
        <v>3440</v>
      </c>
      <c r="E61" s="77" t="s">
        <v>3445</v>
      </c>
      <c r="K61" s="243">
        <f>SUM(K62:K63)</f>
        <v>11283749.53346727</v>
      </c>
    </row>
    <row r="62" spans="1:14">
      <c r="B62" s="239" t="s">
        <v>3441</v>
      </c>
      <c r="C62" s="77" t="s">
        <v>3443</v>
      </c>
      <c r="D62" s="77" t="s">
        <v>3444</v>
      </c>
      <c r="E62" s="517">
        <v>554739.64</v>
      </c>
      <c r="H62" s="229">
        <v>1995</v>
      </c>
      <c r="I62" s="253" t="s">
        <v>3075</v>
      </c>
      <c r="J62" s="619">
        <v>8.1633923278855107</v>
      </c>
      <c r="K62" s="393">
        <f>E62*J62</f>
        <v>4528557.3211499704</v>
      </c>
    </row>
    <row r="63" spans="1:14">
      <c r="B63" s="239" t="s">
        <v>3442</v>
      </c>
      <c r="C63" s="77" t="s">
        <v>3443</v>
      </c>
      <c r="D63" s="77" t="s">
        <v>3444</v>
      </c>
      <c r="E63" s="517">
        <v>827498.17</v>
      </c>
      <c r="H63" s="229">
        <v>1995</v>
      </c>
      <c r="I63" s="253" t="s">
        <v>3133</v>
      </c>
      <c r="J63" s="619">
        <v>8.1633923278855107</v>
      </c>
      <c r="K63" s="393">
        <f>E63*J63</f>
        <v>6755192.2123173</v>
      </c>
    </row>
    <row r="66" spans="1:11">
      <c r="A66" s="618">
        <v>14</v>
      </c>
      <c r="B66" s="236" t="s">
        <v>3448</v>
      </c>
      <c r="E66" s="77" t="s">
        <v>3445</v>
      </c>
      <c r="K66" s="243">
        <f>SUM(K67:K68)</f>
        <v>8478696.5809344575</v>
      </c>
    </row>
    <row r="67" spans="1:11">
      <c r="B67" t="s">
        <v>3446</v>
      </c>
      <c r="C67" s="77" t="s">
        <v>3443</v>
      </c>
      <c r="D67" s="77" t="s">
        <v>3444</v>
      </c>
      <c r="E67" s="252">
        <v>523251.92</v>
      </c>
      <c r="H67" s="229">
        <v>1995</v>
      </c>
      <c r="I67" s="253" t="s">
        <v>3075</v>
      </c>
      <c r="J67" s="619">
        <v>8.1633923278855107</v>
      </c>
      <c r="K67" s="393">
        <f>E67*J67</f>
        <v>4271510.709279363</v>
      </c>
    </row>
    <row r="68" spans="1:11">
      <c r="B68" t="s">
        <v>3447</v>
      </c>
      <c r="C68" s="77" t="s">
        <v>3443</v>
      </c>
      <c r="D68" s="77" t="s">
        <v>3444</v>
      </c>
      <c r="E68" s="252">
        <v>515372.25</v>
      </c>
      <c r="H68" s="229">
        <v>1995</v>
      </c>
      <c r="I68" s="253" t="s">
        <v>3133</v>
      </c>
      <c r="J68" s="619">
        <v>8.1633923278855107</v>
      </c>
      <c r="K68" s="393">
        <f>E68*J68</f>
        <v>4207185.8716550935</v>
      </c>
    </row>
    <row r="70" spans="1:11">
      <c r="A70" s="618" t="s">
        <v>186</v>
      </c>
      <c r="B70" s="236" t="s">
        <v>3449</v>
      </c>
      <c r="E70" s="77" t="s">
        <v>3445</v>
      </c>
      <c r="K70" s="243">
        <f>SUM(K71:K74)</f>
        <v>1108324.5923850453</v>
      </c>
    </row>
    <row r="71" spans="1:11">
      <c r="B71" t="s">
        <v>3450</v>
      </c>
      <c r="C71" s="77" t="s">
        <v>3443</v>
      </c>
      <c r="D71" s="77" t="s">
        <v>3444</v>
      </c>
      <c r="E71" s="252">
        <v>35878.370000000003</v>
      </c>
      <c r="H71" s="229">
        <v>1995</v>
      </c>
      <c r="I71" s="253" t="s">
        <v>3133</v>
      </c>
      <c r="J71" s="619">
        <v>8.1633923278855107</v>
      </c>
      <c r="K71" s="393">
        <f t="shared" ref="K71:K74" si="0">E71*J71</f>
        <v>292889.21039503772</v>
      </c>
    </row>
    <row r="72" spans="1:11">
      <c r="B72" t="s">
        <v>3451</v>
      </c>
      <c r="C72" s="77" t="s">
        <v>3443</v>
      </c>
      <c r="D72" s="77" t="s">
        <v>3444</v>
      </c>
      <c r="E72" s="252">
        <v>31502.32</v>
      </c>
      <c r="H72" s="229">
        <v>1995</v>
      </c>
      <c r="I72" s="253" t="s">
        <v>3133</v>
      </c>
      <c r="J72" s="619">
        <v>8.1633923278855107</v>
      </c>
      <c r="K72" s="393">
        <f t="shared" si="0"/>
        <v>257165.79739859427</v>
      </c>
    </row>
    <row r="73" spans="1:11">
      <c r="B73" t="s">
        <v>3452</v>
      </c>
      <c r="C73" s="77" t="s">
        <v>3443</v>
      </c>
      <c r="D73" s="77" t="s">
        <v>3444</v>
      </c>
      <c r="E73" s="252">
        <v>36574.589999999997</v>
      </c>
      <c r="H73" s="229">
        <v>1995</v>
      </c>
      <c r="I73" s="253" t="s">
        <v>3133</v>
      </c>
      <c r="J73" s="619">
        <v>8.1633923278855107</v>
      </c>
      <c r="K73" s="393">
        <f t="shared" si="0"/>
        <v>298572.72740155808</v>
      </c>
    </row>
    <row r="74" spans="1:11">
      <c r="B74" t="s">
        <v>3453</v>
      </c>
      <c r="C74" s="77" t="s">
        <v>3443</v>
      </c>
      <c r="D74" s="77" t="s">
        <v>3444</v>
      </c>
      <c r="E74" s="252">
        <v>31812.37</v>
      </c>
      <c r="H74" s="229">
        <v>1995</v>
      </c>
      <c r="I74" s="253" t="s">
        <v>3133</v>
      </c>
      <c r="J74" s="619">
        <v>8.1633923278855107</v>
      </c>
      <c r="K74" s="393">
        <f t="shared" si="0"/>
        <v>259696.85718985519</v>
      </c>
    </row>
    <row r="77" spans="1:11">
      <c r="A77" s="618" t="s">
        <v>206</v>
      </c>
      <c r="B77" s="236" t="s">
        <v>3455</v>
      </c>
      <c r="E77" s="77" t="s">
        <v>3445</v>
      </c>
      <c r="K77" s="243">
        <f>SUM(K78:K79)</f>
        <v>457390.54553349141</v>
      </c>
    </row>
    <row r="78" spans="1:11">
      <c r="B78" t="s">
        <v>3224</v>
      </c>
      <c r="C78" s="77" t="s">
        <v>3443</v>
      </c>
      <c r="D78" s="77" t="s">
        <v>3444</v>
      </c>
      <c r="E78" s="252">
        <v>14293.15</v>
      </c>
      <c r="H78" s="229">
        <v>1995</v>
      </c>
      <c r="I78" s="253" t="s">
        <v>3133</v>
      </c>
      <c r="J78" s="619">
        <v>8.1633923278855107</v>
      </c>
      <c r="K78" s="393">
        <f t="shared" ref="K78:K79" si="1">E78*J78</f>
        <v>116680.59105131679</v>
      </c>
    </row>
    <row r="79" spans="1:11">
      <c r="B79" t="s">
        <v>3454</v>
      </c>
      <c r="C79" s="77" t="s">
        <v>3443</v>
      </c>
      <c r="D79" s="77" t="s">
        <v>3457</v>
      </c>
      <c r="E79" s="252">
        <v>41736.32</v>
      </c>
      <c r="H79" s="229">
        <v>1995</v>
      </c>
      <c r="I79" s="253" t="s">
        <v>3460</v>
      </c>
      <c r="J79" s="619">
        <v>8.1633923278855107</v>
      </c>
      <c r="K79" s="393">
        <f t="shared" si="1"/>
        <v>340709.95448217459</v>
      </c>
    </row>
    <row r="81" spans="1:11">
      <c r="A81" s="618" t="s">
        <v>255</v>
      </c>
      <c r="B81" s="236" t="s">
        <v>3456</v>
      </c>
      <c r="E81" s="77" t="s">
        <v>3445</v>
      </c>
      <c r="K81" s="243">
        <f>SUM(K82:K83)</f>
        <v>6361422.0852841046</v>
      </c>
    </row>
    <row r="82" spans="1:11">
      <c r="B82" t="s">
        <v>3224</v>
      </c>
      <c r="D82" s="77" t="s">
        <v>3444</v>
      </c>
      <c r="E82" s="252">
        <v>103745.12</v>
      </c>
      <c r="H82" s="229">
        <v>1995</v>
      </c>
      <c r="I82" s="253" t="s">
        <v>3133</v>
      </c>
      <c r="J82" s="619">
        <v>8.1633923278855107</v>
      </c>
      <c r="K82" s="393">
        <f t="shared" ref="K82:K83" si="2">E82*J82</f>
        <v>846912.11666356167</v>
      </c>
    </row>
    <row r="83" spans="1:11">
      <c r="B83" t="s">
        <v>3454</v>
      </c>
      <c r="D83" s="77" t="s">
        <v>3458</v>
      </c>
      <c r="E83" s="252">
        <v>675516.96</v>
      </c>
      <c r="H83" s="229">
        <v>1995</v>
      </c>
      <c r="I83" s="253" t="s">
        <v>3460</v>
      </c>
      <c r="J83" s="619">
        <v>8.1633923278855107</v>
      </c>
      <c r="K83" s="393">
        <f t="shared" si="2"/>
        <v>5514509.9686205434</v>
      </c>
    </row>
    <row r="86" spans="1:11">
      <c r="A86" s="618" t="s">
        <v>98</v>
      </c>
      <c r="B86" s="236" t="s">
        <v>3288</v>
      </c>
      <c r="E86" s="77" t="s">
        <v>3445</v>
      </c>
      <c r="K86" s="243">
        <f>SUM(K87:K88)</f>
        <v>1442850.0424735369</v>
      </c>
    </row>
    <row r="87" spans="1:11">
      <c r="B87" t="s">
        <v>3224</v>
      </c>
      <c r="D87" s="77" t="s">
        <v>3444</v>
      </c>
      <c r="E87" s="252">
        <v>86256.86</v>
      </c>
      <c r="H87" s="229">
        <v>1995</v>
      </c>
      <c r="I87" s="253" t="s">
        <v>3133</v>
      </c>
      <c r="J87" s="619">
        <v>8.1633923278855107</v>
      </c>
      <c r="K87" s="393">
        <f t="shared" ref="K87:K88" si="3">E87*J87</f>
        <v>704148.58915149455</v>
      </c>
    </row>
    <row r="88" spans="1:11">
      <c r="B88" t="s">
        <v>3454</v>
      </c>
      <c r="D88" s="77" t="s">
        <v>3459</v>
      </c>
      <c r="E88" s="252">
        <v>90489.51999999999</v>
      </c>
      <c r="H88" s="229">
        <v>1995</v>
      </c>
      <c r="I88" s="253" t="s">
        <v>3460</v>
      </c>
      <c r="J88" s="619">
        <v>8.1633923278855107</v>
      </c>
      <c r="K88" s="393">
        <f t="shared" si="3"/>
        <v>738701.45332204236</v>
      </c>
    </row>
    <row r="91" spans="1:11">
      <c r="A91" s="618" t="s">
        <v>227</v>
      </c>
      <c r="B91" s="236" t="s">
        <v>3824</v>
      </c>
      <c r="D91" s="77" t="s">
        <v>3444</v>
      </c>
      <c r="E91" s="77" t="s">
        <v>3445</v>
      </c>
      <c r="K91" s="243">
        <f>SUM(K92:K93)</f>
        <v>586524.96301846043</v>
      </c>
    </row>
    <row r="92" spans="1:11">
      <c r="B92" t="s">
        <v>3224</v>
      </c>
      <c r="E92" s="252">
        <v>11602.39</v>
      </c>
      <c r="H92" s="229">
        <v>1995</v>
      </c>
      <c r="I92" s="253" t="s">
        <v>3133</v>
      </c>
      <c r="J92" s="619">
        <v>8.1633923278855107</v>
      </c>
      <c r="K92" s="393">
        <f t="shared" ref="K92:K93" si="4">E92*J92</f>
        <v>94714.861511135561</v>
      </c>
    </row>
    <row r="93" spans="1:11">
      <c r="B93" t="s">
        <v>3454</v>
      </c>
      <c r="E93" s="252">
        <v>60245.8</v>
      </c>
      <c r="H93" s="229">
        <v>1995</v>
      </c>
      <c r="I93" s="253" t="s">
        <v>3460</v>
      </c>
      <c r="J93" s="619">
        <v>8.1633923278855107</v>
      </c>
      <c r="K93" s="393">
        <f t="shared" si="4"/>
        <v>491810.1015073249</v>
      </c>
    </row>
    <row r="94" spans="1:11">
      <c r="E94" s="252"/>
      <c r="I94" s="253"/>
      <c r="J94" s="620"/>
      <c r="K94" s="393"/>
    </row>
    <row r="95" spans="1:11">
      <c r="A95" s="618" t="s">
        <v>3461</v>
      </c>
      <c r="B95" s="236" t="s">
        <v>3462</v>
      </c>
      <c r="D95" s="77" t="s">
        <v>3444</v>
      </c>
      <c r="E95" s="77" t="s">
        <v>3445</v>
      </c>
      <c r="K95" s="243">
        <f>SUM(K96:K99)</f>
        <v>33277153.136907868</v>
      </c>
    </row>
    <row r="96" spans="1:11">
      <c r="B96" t="s">
        <v>3463</v>
      </c>
      <c r="E96" s="252">
        <v>197918.47</v>
      </c>
      <c r="H96" s="229">
        <v>1995</v>
      </c>
      <c r="I96" s="253" t="s">
        <v>3133</v>
      </c>
      <c r="J96" s="619">
        <v>8.1633923278855107</v>
      </c>
      <c r="K96" s="393">
        <f t="shared" ref="K96:K99" si="5">E96*J96</f>
        <v>1615686.1195448386</v>
      </c>
    </row>
    <row r="97" spans="1:13">
      <c r="B97" t="s">
        <v>3464</v>
      </c>
      <c r="E97" s="252">
        <v>1950896.72</v>
      </c>
      <c r="F97" s="77"/>
      <c r="G97" s="77"/>
      <c r="H97" s="229">
        <v>1995</v>
      </c>
      <c r="I97" s="253" t="s">
        <v>3133</v>
      </c>
      <c r="J97" s="619">
        <v>8.1633923278855107</v>
      </c>
      <c r="K97" s="393">
        <f t="shared" si="5"/>
        <v>15925935.316545008</v>
      </c>
      <c r="L97" s="77"/>
      <c r="M97" s="77"/>
    </row>
    <row r="98" spans="1:13">
      <c r="B98" t="s">
        <v>3465</v>
      </c>
      <c r="E98" s="252">
        <v>1434723.26</v>
      </c>
      <c r="H98" s="229">
        <v>1995</v>
      </c>
      <c r="I98" s="253" t="s">
        <v>3133</v>
      </c>
      <c r="J98" s="619">
        <v>8.1633923278855107</v>
      </c>
      <c r="K98" s="393">
        <f t="shared" si="5"/>
        <v>11712208.85332289</v>
      </c>
    </row>
    <row r="99" spans="1:13">
      <c r="B99" t="s">
        <v>3466</v>
      </c>
      <c r="E99" s="252">
        <v>492849.38</v>
      </c>
      <c r="H99" s="229">
        <v>1995</v>
      </c>
      <c r="I99" s="253" t="s">
        <v>3133</v>
      </c>
      <c r="J99" s="619">
        <v>8.1633923278855107</v>
      </c>
      <c r="K99" s="393">
        <f t="shared" si="5"/>
        <v>4023322.8474951307</v>
      </c>
    </row>
    <row r="102" spans="1:13">
      <c r="A102" s="621" t="s">
        <v>127</v>
      </c>
      <c r="B102" s="622" t="s">
        <v>3157</v>
      </c>
      <c r="D102" s="77" t="s">
        <v>3444</v>
      </c>
      <c r="E102" s="77" t="s">
        <v>3445</v>
      </c>
      <c r="K102" s="243">
        <f>SUM(K103:K104)</f>
        <v>4956298.1641819794</v>
      </c>
    </row>
    <row r="103" spans="1:13">
      <c r="E103" s="252">
        <v>462979.25</v>
      </c>
      <c r="H103" s="229">
        <v>1995</v>
      </c>
      <c r="I103" s="253" t="s">
        <v>3133</v>
      </c>
      <c r="J103" s="619">
        <v>8.1633923278855107</v>
      </c>
      <c r="K103" s="393">
        <f t="shared" ref="K103:K104" si="6">E103*J103</f>
        <v>3779481.2574201878</v>
      </c>
    </row>
    <row r="104" spans="1:13">
      <c r="E104" s="252">
        <v>128425.9</v>
      </c>
      <c r="H104" s="229">
        <v>1996</v>
      </c>
      <c r="I104" s="253" t="s">
        <v>3133</v>
      </c>
      <c r="J104" s="619">
        <v>9.1633923278855107</v>
      </c>
      <c r="K104" s="393">
        <f t="shared" si="6"/>
        <v>1176816.9067617918</v>
      </c>
    </row>
    <row r="108" spans="1:13">
      <c r="E108" s="242">
        <v>12728489.869999999</v>
      </c>
      <c r="J108" s="619">
        <v>9.1633923278855107</v>
      </c>
      <c r="K108" s="393">
        <f t="shared" ref="K108" si="7">E108*J108</f>
        <v>116636146.42032644</v>
      </c>
    </row>
  </sheetData>
  <mergeCells count="9">
    <mergeCell ref="I3:J3"/>
    <mergeCell ref="K3:K4"/>
    <mergeCell ref="D15:D19"/>
    <mergeCell ref="B3:B4"/>
    <mergeCell ref="C3:C4"/>
    <mergeCell ref="D3:E3"/>
    <mergeCell ref="F3:F4"/>
    <mergeCell ref="G3:G4"/>
    <mergeCell ref="H3:H4"/>
  </mergeCells>
  <pageMargins left="0.51181102362204722" right="0.51181102362204722" top="0.78740157480314965" bottom="0.78740157480314965" header="0.31496062992125984" footer="0.31496062992125984"/>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28</vt:i4>
      </vt:variant>
      <vt:variant>
        <vt:lpstr>Intervalos nomeados</vt:lpstr>
      </vt:variant>
      <vt:variant>
        <vt:i4>59</vt:i4>
      </vt:variant>
    </vt:vector>
  </HeadingPairs>
  <TitlesOfParts>
    <vt:vector size="87" baseType="lpstr">
      <vt:lpstr>Orçamento EBPs</vt:lpstr>
      <vt:lpstr>RESUMO EBP</vt:lpstr>
      <vt:lpstr>Custos Canais</vt:lpstr>
      <vt:lpstr>RESUMO CANAIS</vt:lpstr>
      <vt:lpstr>Custo EBSs</vt:lpstr>
      <vt:lpstr>RESUMO EBSs</vt:lpstr>
      <vt:lpstr>REDE PRESSURIZADA</vt:lpstr>
      <vt:lpstr>RESUMO REDE</vt:lpstr>
      <vt:lpstr>Custos On farm</vt:lpstr>
      <vt:lpstr>RESUMO ON FARM</vt:lpstr>
      <vt:lpstr>Custo Drenagem</vt:lpstr>
      <vt:lpstr>RESUMO DRENAGEM</vt:lpstr>
      <vt:lpstr>Custos Sistema Viário</vt:lpstr>
      <vt:lpstr>RESUMO SISTEMA VIÁRIO</vt:lpstr>
      <vt:lpstr>Custos Rede Baixa Pressão</vt:lpstr>
      <vt:lpstr>RESUMO REDE BAIXA PRESSÃO</vt:lpstr>
      <vt:lpstr>SERVIÇOS PRELIMINARES</vt:lpstr>
      <vt:lpstr>DESMATAMENTO</vt:lpstr>
      <vt:lpstr>Elevat Parcelas Independ.</vt:lpstr>
      <vt:lpstr>RESUMO TOMADAS</vt:lpstr>
      <vt:lpstr>RESUMO GERAL</vt:lpstr>
      <vt:lpstr>AGRUP.</vt:lpstr>
      <vt:lpstr>Compart x Exclusiv</vt:lpstr>
      <vt:lpstr>AUX.</vt:lpstr>
      <vt:lpstr>RECUP.</vt:lpstr>
      <vt:lpstr>Reinvestimento</vt:lpstr>
      <vt:lpstr>Reajuste Atual</vt:lpstr>
      <vt:lpstr>AUX. (2)</vt:lpstr>
      <vt:lpstr>'AUX. (2)'!Area_de_impressao</vt:lpstr>
      <vt:lpstr>'Custo Drenagem'!Area_de_impressao</vt:lpstr>
      <vt:lpstr>'Custo EBSs'!Area_de_impressao</vt:lpstr>
      <vt:lpstr>'Custos Canais'!Area_de_impressao</vt:lpstr>
      <vt:lpstr>'Custos On farm'!Area_de_impressao</vt:lpstr>
      <vt:lpstr>'Custos Rede Baixa Pressão'!Area_de_impressao</vt:lpstr>
      <vt:lpstr>'Custos Sistema Viário'!Area_de_impressao</vt:lpstr>
      <vt:lpstr>DESMATAMENTO!Area_de_impressao</vt:lpstr>
      <vt:lpstr>'Orçamento EBPs'!Area_de_impressao</vt:lpstr>
      <vt:lpstr>'Reajuste Atual'!Area_de_impressao</vt:lpstr>
      <vt:lpstr>'REDE PRESSURIZADA'!Area_de_impressao</vt:lpstr>
      <vt:lpstr>'RESUMO CANAIS'!Area_de_impressao</vt:lpstr>
      <vt:lpstr>'RESUMO DRENAGEM'!Area_de_impressao</vt:lpstr>
      <vt:lpstr>'RESUMO EBP'!Area_de_impressao</vt:lpstr>
      <vt:lpstr>'RESUMO EBSs'!Area_de_impressao</vt:lpstr>
      <vt:lpstr>'RESUMO ON FARM'!Area_de_impressao</vt:lpstr>
      <vt:lpstr>'RESUMO REDE'!Area_de_impressao</vt:lpstr>
      <vt:lpstr>'RESUMO REDE BAIXA PRESSÃO'!Area_de_impressao</vt:lpstr>
      <vt:lpstr>'RESUMO SISTEMA VIÁRIO'!Area_de_impressao</vt:lpstr>
      <vt:lpstr>'RESUMO TOMADAS'!Area_de_impressao</vt:lpstr>
      <vt:lpstr>'SERVIÇOS PRELIMINARES'!Area_de_impressao</vt:lpstr>
      <vt:lpstr>'Custo Drenagem'!Print_Area</vt:lpstr>
      <vt:lpstr>'Custo EBSs'!Print_Area</vt:lpstr>
      <vt:lpstr>'Custos Canais'!Print_Area</vt:lpstr>
      <vt:lpstr>'Custos On farm'!Print_Area</vt:lpstr>
      <vt:lpstr>'Custos Rede Baixa Pressão'!Print_Area</vt:lpstr>
      <vt:lpstr>'Custos Sistema Viário'!Print_Area</vt:lpstr>
      <vt:lpstr>DESMATAMENTO!Print_Area</vt:lpstr>
      <vt:lpstr>'Reajuste Atual'!Print_Area</vt:lpstr>
      <vt:lpstr>'REDE PRESSURIZADA'!Print_Area</vt:lpstr>
      <vt:lpstr>'SERVIÇOS PRELIMINARES'!Print_Area</vt:lpstr>
      <vt:lpstr>'Custo Drenagem'!Print_Titles</vt:lpstr>
      <vt:lpstr>'Custo EBSs'!Print_Titles</vt:lpstr>
      <vt:lpstr>'Custos Canais'!Print_Titles</vt:lpstr>
      <vt:lpstr>'Custos On farm'!Print_Titles</vt:lpstr>
      <vt:lpstr>'Custos Rede Baixa Pressão'!Print_Titles</vt:lpstr>
      <vt:lpstr>'Custos Sistema Viário'!Print_Titles</vt:lpstr>
      <vt:lpstr>DESMATAMENTO!Print_Titles</vt:lpstr>
      <vt:lpstr>'REDE PRESSURIZADA'!Print_Titles</vt:lpstr>
      <vt:lpstr>'SERVIÇOS PRELIMINARES'!Print_Titles</vt:lpstr>
      <vt:lpstr>'Custo Drenagem'!Titulos_de_impressao</vt:lpstr>
      <vt:lpstr>'Custo EBSs'!Titulos_de_impressao</vt:lpstr>
      <vt:lpstr>'Custos Canais'!Titulos_de_impressao</vt:lpstr>
      <vt:lpstr>'Custos On farm'!Titulos_de_impressao</vt:lpstr>
      <vt:lpstr>'Custos Rede Baixa Pressão'!Titulos_de_impressao</vt:lpstr>
      <vt:lpstr>'Custos Sistema Viário'!Titulos_de_impressao</vt:lpstr>
      <vt:lpstr>DESMATAMENTO!Titulos_de_impressao</vt:lpstr>
      <vt:lpstr>'Orçamento EBPs'!Titulos_de_impressao</vt:lpstr>
      <vt:lpstr>'REDE PRESSURIZADA'!Titulos_de_impressao</vt:lpstr>
      <vt:lpstr>'RESUMO CANAIS'!Titulos_de_impressao</vt:lpstr>
      <vt:lpstr>'RESUMO DRENAGEM'!Titulos_de_impressao</vt:lpstr>
      <vt:lpstr>'RESUMO EBP'!Titulos_de_impressao</vt:lpstr>
      <vt:lpstr>'RESUMO EBSs'!Titulos_de_impressao</vt:lpstr>
      <vt:lpstr>'RESUMO ON FARM'!Titulos_de_impressao</vt:lpstr>
      <vt:lpstr>'RESUMO REDE'!Titulos_de_impressao</vt:lpstr>
      <vt:lpstr>'RESUMO REDE BAIXA PRESSÃO'!Titulos_de_impressao</vt:lpstr>
      <vt:lpstr>'RESUMO SISTEMA VIÁRIO'!Titulos_de_impressao</vt:lpstr>
      <vt:lpstr>'RESUMO TOMADAS'!Titulos_de_impressao</vt:lpstr>
      <vt:lpstr>'SERVIÇOS PRELIMINARES'!Titulos_de_impressao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hildo</cp:lastModifiedBy>
  <cp:lastPrinted>2024-10-16T14:59:25Z</cp:lastPrinted>
  <dcterms:created xsi:type="dcterms:W3CDTF">2013-08-21T11:14:34Z</dcterms:created>
  <dcterms:modified xsi:type="dcterms:W3CDTF">2024-11-05T13:44:18Z</dcterms:modified>
</cp:coreProperties>
</file>