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M:\2022\PREGÃO\PE 04_22 Contratação de limpeza e conservação\ANEXOS\"/>
    </mc:Choice>
  </mc:AlternateContent>
  <xr:revisionPtr revIDLastSave="0" documentId="13_ncr:1_{1410CEFB-C4A4-4C86-8EFD-98C543DD9C2B}" xr6:coauthVersionLast="47" xr6:coauthVersionMax="47" xr10:uidLastSave="{00000000-0000-0000-0000-000000000000}"/>
  <bookViews>
    <workbookView xWindow="-120" yWindow="-120" windowWidth="29040" windowHeight="15840" tabRatio="500" activeTab="1" xr2:uid="{00000000-000D-0000-FFFF-FFFF00000000}"/>
  </bookViews>
  <sheets>
    <sheet name="Valor do Servente por área M²" sheetId="1" r:id="rId1"/>
    <sheet name="Servente de Limpeza " sheetId="2" r:id="rId2"/>
    <sheet name="Equipamentos_ 24.03.22" sheetId="3" r:id="rId3"/>
    <sheet name="Materiais_24.03.22" sheetId="4" r:id="rId4"/>
    <sheet name="Uniforme_24.03.22" sheetId="5" r:id="rId5"/>
    <sheet name="Notas_Explicativas_-_Base_Dados" sheetId="6" r:id="rId6"/>
    <sheet name="Média_Índices_Lucro_e_CI" sheetId="7" r:id="rId7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32" i="7" l="1"/>
  <c r="D33" i="7" s="1"/>
  <c r="C32" i="7"/>
  <c r="C33" i="7" s="1"/>
  <c r="D27" i="7"/>
  <c r="C27" i="7"/>
  <c r="R26" i="7"/>
  <c r="Q26" i="7"/>
  <c r="R25" i="7"/>
  <c r="Q25" i="7"/>
  <c r="D22" i="7"/>
  <c r="C22" i="7"/>
  <c r="R20" i="7"/>
  <c r="Q20" i="7"/>
  <c r="R19" i="7"/>
  <c r="Q19" i="7"/>
  <c r="R18" i="7"/>
  <c r="Q18" i="7"/>
  <c r="R17" i="7"/>
  <c r="Q17" i="7"/>
  <c r="R16" i="7"/>
  <c r="Q16" i="7"/>
  <c r="P11" i="7"/>
  <c r="O11" i="7"/>
  <c r="M11" i="7"/>
  <c r="K11" i="7"/>
  <c r="J11" i="7"/>
  <c r="H11" i="7"/>
  <c r="G11" i="7"/>
  <c r="F11" i="7"/>
  <c r="E11" i="7"/>
  <c r="R11" i="7" s="1"/>
  <c r="D11" i="7"/>
  <c r="R10" i="7"/>
  <c r="Q10" i="7"/>
  <c r="R9" i="7"/>
  <c r="Q9" i="7"/>
  <c r="D9" i="7"/>
  <c r="C9" i="7"/>
  <c r="C11" i="7" s="1"/>
  <c r="R8" i="7"/>
  <c r="Q8" i="7"/>
  <c r="R7" i="7"/>
  <c r="Q7" i="7"/>
  <c r="R6" i="7"/>
  <c r="Q6" i="7"/>
  <c r="R5" i="7"/>
  <c r="Q5" i="7"/>
  <c r="C75" i="6"/>
  <c r="C76" i="6" s="1"/>
  <c r="C69" i="6"/>
  <c r="C68" i="6"/>
  <c r="C70" i="6" s="1"/>
  <c r="C65" i="6"/>
  <c r="C59" i="6"/>
  <c r="C51" i="6"/>
  <c r="C53" i="6" s="1"/>
  <c r="C74" i="2" s="1"/>
  <c r="C50" i="6"/>
  <c r="C48" i="6"/>
  <c r="C49" i="6" s="1"/>
  <c r="D37" i="6"/>
  <c r="D35" i="6"/>
  <c r="D42" i="6" s="1"/>
  <c r="C28" i="6"/>
  <c r="C52" i="6" s="1"/>
  <c r="C73" i="2" s="1"/>
  <c r="C10" i="6"/>
  <c r="C12" i="6" s="1"/>
  <c r="M9" i="5"/>
  <c r="L9" i="5" s="1"/>
  <c r="K9" i="5"/>
  <c r="J9" i="5"/>
  <c r="D9" i="5"/>
  <c r="M8" i="5"/>
  <c r="L8" i="5"/>
  <c r="K8" i="5"/>
  <c r="J8" i="5"/>
  <c r="D8" i="5"/>
  <c r="M7" i="5"/>
  <c r="L7" i="5" s="1"/>
  <c r="K7" i="5"/>
  <c r="J7" i="5"/>
  <c r="D7" i="5"/>
  <c r="M6" i="5"/>
  <c r="L6" i="5"/>
  <c r="K6" i="5"/>
  <c r="J6" i="5"/>
  <c r="D6" i="5"/>
  <c r="M5" i="5"/>
  <c r="L5" i="5" s="1"/>
  <c r="K5" i="5"/>
  <c r="J5" i="5"/>
  <c r="D5" i="5"/>
  <c r="M4" i="5"/>
  <c r="M10" i="5" s="1"/>
  <c r="K4" i="5"/>
  <c r="J4" i="5"/>
  <c r="D4" i="5"/>
  <c r="K40" i="4"/>
  <c r="M40" i="4" s="1"/>
  <c r="L40" i="4" s="1"/>
  <c r="J40" i="4"/>
  <c r="M39" i="4"/>
  <c r="L39" i="4"/>
  <c r="K39" i="4"/>
  <c r="J39" i="4"/>
  <c r="K38" i="4"/>
  <c r="M38" i="4" s="1"/>
  <c r="J38" i="4"/>
  <c r="D38" i="4"/>
  <c r="K37" i="4"/>
  <c r="M37" i="4" s="1"/>
  <c r="J37" i="4"/>
  <c r="D37" i="4"/>
  <c r="M36" i="4"/>
  <c r="K36" i="4"/>
  <c r="L36" i="4" s="1"/>
  <c r="J36" i="4"/>
  <c r="D36" i="4"/>
  <c r="M35" i="4"/>
  <c r="L35" i="4"/>
  <c r="K35" i="4"/>
  <c r="J35" i="4"/>
  <c r="D35" i="4"/>
  <c r="M34" i="4"/>
  <c r="K34" i="4"/>
  <c r="L34" i="4" s="1"/>
  <c r="J34" i="4"/>
  <c r="D34" i="4"/>
  <c r="K33" i="4"/>
  <c r="M33" i="4" s="1"/>
  <c r="L33" i="4" s="1"/>
  <c r="J33" i="4"/>
  <c r="D33" i="4"/>
  <c r="K32" i="4"/>
  <c r="M32" i="4" s="1"/>
  <c r="L32" i="4" s="1"/>
  <c r="J32" i="4"/>
  <c r="D32" i="4"/>
  <c r="M31" i="4"/>
  <c r="L31" i="4" s="1"/>
  <c r="K31" i="4"/>
  <c r="J31" i="4"/>
  <c r="D31" i="4"/>
  <c r="K30" i="4"/>
  <c r="M30" i="4" s="1"/>
  <c r="J30" i="4"/>
  <c r="F30" i="4"/>
  <c r="D30" i="4"/>
  <c r="K29" i="4"/>
  <c r="M29" i="4" s="1"/>
  <c r="J29" i="4"/>
  <c r="F29" i="4"/>
  <c r="L29" i="4" s="1"/>
  <c r="D29" i="4"/>
  <c r="M28" i="4"/>
  <c r="L28" i="4"/>
  <c r="K28" i="4"/>
  <c r="J28" i="4"/>
  <c r="F28" i="4"/>
  <c r="D28" i="4"/>
  <c r="M27" i="4"/>
  <c r="L27" i="4"/>
  <c r="K27" i="4"/>
  <c r="J27" i="4"/>
  <c r="F27" i="4"/>
  <c r="D27" i="4"/>
  <c r="K26" i="4"/>
  <c r="M26" i="4" s="1"/>
  <c r="L26" i="4" s="1"/>
  <c r="J26" i="4"/>
  <c r="D26" i="4"/>
  <c r="K25" i="4"/>
  <c r="M25" i="4" s="1"/>
  <c r="L25" i="4" s="1"/>
  <c r="J25" i="4"/>
  <c r="D25" i="4"/>
  <c r="M24" i="4"/>
  <c r="L24" i="4" s="1"/>
  <c r="K24" i="4"/>
  <c r="J24" i="4"/>
  <c r="D24" i="4"/>
  <c r="M23" i="4"/>
  <c r="L23" i="4"/>
  <c r="K23" i="4"/>
  <c r="J23" i="4"/>
  <c r="D23" i="4"/>
  <c r="M22" i="4"/>
  <c r="L22" i="4"/>
  <c r="K22" i="4"/>
  <c r="J22" i="4"/>
  <c r="F22" i="4"/>
  <c r="D22" i="4"/>
  <c r="M21" i="4"/>
  <c r="L21" i="4" s="1"/>
  <c r="K21" i="4"/>
  <c r="J21" i="4"/>
  <c r="D21" i="4"/>
  <c r="M20" i="4"/>
  <c r="L20" i="4" s="1"/>
  <c r="K20" i="4"/>
  <c r="J20" i="4"/>
  <c r="D20" i="4"/>
  <c r="L19" i="4"/>
  <c r="K19" i="4"/>
  <c r="M19" i="4" s="1"/>
  <c r="J19" i="4"/>
  <c r="F19" i="4"/>
  <c r="D19" i="4"/>
  <c r="M18" i="4"/>
  <c r="K18" i="4"/>
  <c r="J18" i="4"/>
  <c r="D18" i="4"/>
  <c r="K17" i="4"/>
  <c r="M17" i="4" s="1"/>
  <c r="L17" i="4" s="1"/>
  <c r="J17" i="4"/>
  <c r="D17" i="4"/>
  <c r="M16" i="4"/>
  <c r="L16" i="4" s="1"/>
  <c r="K16" i="4"/>
  <c r="J16" i="4"/>
  <c r="D16" i="4"/>
  <c r="K15" i="4"/>
  <c r="L15" i="4" s="1"/>
  <c r="M15" i="4" s="1"/>
  <c r="J15" i="4"/>
  <c r="F15" i="4"/>
  <c r="D15" i="4"/>
  <c r="K14" i="4"/>
  <c r="J14" i="4"/>
  <c r="F14" i="4"/>
  <c r="L14" i="4" s="1"/>
  <c r="M14" i="4" s="1"/>
  <c r="D14" i="4"/>
  <c r="L13" i="4"/>
  <c r="M13" i="4" s="1"/>
  <c r="K13" i="4"/>
  <c r="J13" i="4"/>
  <c r="F13" i="4"/>
  <c r="D13" i="4"/>
  <c r="M12" i="4"/>
  <c r="L12" i="4"/>
  <c r="K12" i="4"/>
  <c r="J12" i="4"/>
  <c r="F12" i="4"/>
  <c r="D12" i="4"/>
  <c r="K11" i="4"/>
  <c r="L11" i="4" s="1"/>
  <c r="M11" i="4" s="1"/>
  <c r="J11" i="4"/>
  <c r="F11" i="4"/>
  <c r="D11" i="4"/>
  <c r="K10" i="4"/>
  <c r="J10" i="4"/>
  <c r="F10" i="4"/>
  <c r="L10" i="4" s="1"/>
  <c r="M10" i="4" s="1"/>
  <c r="D10" i="4"/>
  <c r="L9" i="4"/>
  <c r="M9" i="4" s="1"/>
  <c r="K9" i="4"/>
  <c r="J9" i="4"/>
  <c r="F9" i="4"/>
  <c r="D9" i="4"/>
  <c r="M8" i="4"/>
  <c r="L8" i="4"/>
  <c r="K8" i="4"/>
  <c r="J8" i="4"/>
  <c r="F8" i="4"/>
  <c r="D8" i="4"/>
  <c r="K7" i="4"/>
  <c r="L7" i="4" s="1"/>
  <c r="M7" i="4" s="1"/>
  <c r="J7" i="4"/>
  <c r="F7" i="4"/>
  <c r="D7" i="4"/>
  <c r="K6" i="4"/>
  <c r="J6" i="4"/>
  <c r="F6" i="4"/>
  <c r="L6" i="4" s="1"/>
  <c r="M6" i="4" s="1"/>
  <c r="D6" i="4"/>
  <c r="L5" i="4"/>
  <c r="M5" i="4" s="1"/>
  <c r="K5" i="4"/>
  <c r="J5" i="4"/>
  <c r="F5" i="4"/>
  <c r="D5" i="4"/>
  <c r="M4" i="4"/>
  <c r="L4" i="4"/>
  <c r="K4" i="4"/>
  <c r="J4" i="4"/>
  <c r="F4" i="4"/>
  <c r="D4" i="4"/>
  <c r="H13" i="3"/>
  <c r="I12" i="3"/>
  <c r="H12" i="3"/>
  <c r="J12" i="3" s="1"/>
  <c r="L12" i="3" s="1"/>
  <c r="H11" i="3"/>
  <c r="I10" i="3"/>
  <c r="H10" i="3"/>
  <c r="J10" i="3" s="1"/>
  <c r="L10" i="3" s="1"/>
  <c r="H9" i="3"/>
  <c r="I8" i="3"/>
  <c r="H8" i="3"/>
  <c r="J8" i="3" s="1"/>
  <c r="L8" i="3" s="1"/>
  <c r="H7" i="3"/>
  <c r="I6" i="3"/>
  <c r="H6" i="3"/>
  <c r="J6" i="3" s="1"/>
  <c r="L6" i="3" s="1"/>
  <c r="H5" i="3"/>
  <c r="I4" i="3"/>
  <c r="H4" i="3"/>
  <c r="J4" i="3" s="1"/>
  <c r="L4" i="3" s="1"/>
  <c r="H3" i="3"/>
  <c r="H14" i="3" s="1"/>
  <c r="A116" i="2"/>
  <c r="C113" i="2"/>
  <c r="C112" i="2"/>
  <c r="C111" i="2"/>
  <c r="C114" i="2" s="1"/>
  <c r="C115" i="2" s="1"/>
  <c r="C108" i="2"/>
  <c r="C107" i="2"/>
  <c r="C109" i="2" s="1"/>
  <c r="C85" i="2"/>
  <c r="C84" i="2"/>
  <c r="D83" i="2"/>
  <c r="C83" i="2"/>
  <c r="C82" i="2"/>
  <c r="C81" i="2"/>
  <c r="C86" i="2" s="1"/>
  <c r="C95" i="2" s="1"/>
  <c r="C80" i="2"/>
  <c r="A76" i="2"/>
  <c r="B74" i="2"/>
  <c r="B73" i="2"/>
  <c r="C72" i="2"/>
  <c r="B72" i="2"/>
  <c r="C71" i="2"/>
  <c r="B71" i="2"/>
  <c r="B70" i="2"/>
  <c r="C69" i="2"/>
  <c r="B69" i="2"/>
  <c r="D55" i="2"/>
  <c r="D51" i="2"/>
  <c r="D49" i="2"/>
  <c r="D50" i="2" s="1"/>
  <c r="D42" i="2"/>
  <c r="C41" i="2"/>
  <c r="C40" i="2"/>
  <c r="D39" i="2"/>
  <c r="C39" i="2"/>
  <c r="C38" i="2"/>
  <c r="C43" i="2" s="1"/>
  <c r="C37" i="2"/>
  <c r="C36" i="2"/>
  <c r="D35" i="2"/>
  <c r="C35" i="2"/>
  <c r="D26" i="2"/>
  <c r="C26" i="2"/>
  <c r="C25" i="2"/>
  <c r="C27" i="2" s="1"/>
  <c r="D20" i="2"/>
  <c r="D85" i="2" s="1"/>
  <c r="A2" i="2"/>
  <c r="B35" i="1"/>
  <c r="G33" i="1"/>
  <c r="D33" i="1"/>
  <c r="C33" i="1"/>
  <c r="E33" i="1" s="1"/>
  <c r="H33" i="1" s="1"/>
  <c r="G32" i="1"/>
  <c r="D32" i="1"/>
  <c r="C32" i="1"/>
  <c r="E32" i="1" s="1"/>
  <c r="H32" i="1" s="1"/>
  <c r="G28" i="1"/>
  <c r="E28" i="1"/>
  <c r="H28" i="1" s="1"/>
  <c r="D28" i="1"/>
  <c r="C28" i="1"/>
  <c r="D22" i="1"/>
  <c r="C22" i="1"/>
  <c r="E21" i="1"/>
  <c r="E22" i="1" s="1"/>
  <c r="D21" i="1"/>
  <c r="C21" i="1"/>
  <c r="D17" i="1"/>
  <c r="C17" i="1"/>
  <c r="D16" i="1"/>
  <c r="C16" i="1"/>
  <c r="D15" i="1"/>
  <c r="C15" i="1"/>
  <c r="D14" i="1"/>
  <c r="C14" i="1"/>
  <c r="D13" i="1"/>
  <c r="C13" i="1"/>
  <c r="D12" i="1"/>
  <c r="C12" i="1"/>
  <c r="D11" i="1"/>
  <c r="C11" i="1"/>
  <c r="D10" i="1"/>
  <c r="C10" i="1"/>
  <c r="E9" i="1"/>
  <c r="E10" i="1" s="1"/>
  <c r="E11" i="1" s="1"/>
  <c r="E12" i="1" s="1"/>
  <c r="E13" i="1" s="1"/>
  <c r="E14" i="1" s="1"/>
  <c r="E15" i="1" s="1"/>
  <c r="E16" i="1" s="1"/>
  <c r="E17" i="1" s="1"/>
  <c r="D9" i="1"/>
  <c r="C9" i="1"/>
  <c r="M41" i="4" l="1"/>
  <c r="J7" i="3"/>
  <c r="L7" i="3" s="1"/>
  <c r="C14" i="6"/>
  <c r="C13" i="6"/>
  <c r="C28" i="2" s="1"/>
  <c r="C29" i="2"/>
  <c r="J9" i="3"/>
  <c r="L9" i="3" s="1"/>
  <c r="L41" i="4"/>
  <c r="L43" i="4" s="1"/>
  <c r="D101" i="2" s="1"/>
  <c r="K38" i="1"/>
  <c r="K39" i="1" s="1"/>
  <c r="C54" i="6"/>
  <c r="C70" i="2"/>
  <c r="D70" i="2" s="1"/>
  <c r="J11" i="3"/>
  <c r="L11" i="3" s="1"/>
  <c r="D36" i="2"/>
  <c r="D43" i="2" s="1"/>
  <c r="D64" i="2" s="1"/>
  <c r="D40" i="2"/>
  <c r="D74" i="2"/>
  <c r="D69" i="2"/>
  <c r="D82" i="2"/>
  <c r="Q11" i="7"/>
  <c r="D37" i="2"/>
  <c r="D41" i="2"/>
  <c r="D56" i="2"/>
  <c r="D65" i="2" s="1"/>
  <c r="D72" i="2"/>
  <c r="D120" i="2"/>
  <c r="I5" i="3"/>
  <c r="J5" i="3" s="1"/>
  <c r="L5" i="3" s="1"/>
  <c r="L30" i="4"/>
  <c r="L38" i="4"/>
  <c r="L4" i="5"/>
  <c r="L10" i="5" s="1"/>
  <c r="L12" i="5" s="1"/>
  <c r="D103" i="2" s="1"/>
  <c r="D25" i="2"/>
  <c r="D27" i="2" s="1"/>
  <c r="D38" i="2"/>
  <c r="I3" i="3"/>
  <c r="I7" i="3"/>
  <c r="I9" i="3"/>
  <c r="I11" i="3"/>
  <c r="I13" i="3"/>
  <c r="J13" i="3" s="1"/>
  <c r="L13" i="3" s="1"/>
  <c r="D73" i="2"/>
  <c r="D80" i="2"/>
  <c r="D86" i="2" s="1"/>
  <c r="D95" i="2" s="1"/>
  <c r="D97" i="2" s="1"/>
  <c r="D123" i="2" s="1"/>
  <c r="D84" i="2"/>
  <c r="J3" i="3"/>
  <c r="D71" i="2"/>
  <c r="D81" i="2"/>
  <c r="L37" i="4"/>
  <c r="D75" i="2" l="1"/>
  <c r="D122" i="2" s="1"/>
  <c r="I14" i="3"/>
  <c r="C75" i="2"/>
  <c r="D28" i="2"/>
  <c r="D29" i="2" s="1"/>
  <c r="D63" i="2" s="1"/>
  <c r="D66" i="2" s="1"/>
  <c r="D121" i="2" s="1"/>
  <c r="D125" i="2" s="1"/>
  <c r="L3" i="3"/>
  <c r="L14" i="3" s="1"/>
  <c r="L16" i="3" s="1"/>
  <c r="L17" i="3" s="1"/>
  <c r="L19" i="3" s="1"/>
  <c r="D100" i="2" s="1"/>
  <c r="D104" i="2" s="1"/>
  <c r="D124" i="2" s="1"/>
  <c r="J14" i="3"/>
  <c r="D107" i="2" l="1"/>
  <c r="D108" i="2" l="1"/>
  <c r="D109" i="2" s="1"/>
  <c r="D127" i="2" l="1"/>
  <c r="D111" i="2" l="1"/>
  <c r="D114" i="2" s="1"/>
  <c r="I33" i="1"/>
  <c r="I32" i="1"/>
  <c r="F21" i="1"/>
  <c r="G21" i="1" s="1"/>
  <c r="H21" i="1" s="1"/>
  <c r="F17" i="1"/>
  <c r="F13" i="1"/>
  <c r="G13" i="1" s="1"/>
  <c r="H13" i="1" s="1"/>
  <c r="F9" i="1"/>
  <c r="G9" i="1" s="1"/>
  <c r="H9" i="1" s="1"/>
  <c r="F11" i="1"/>
  <c r="G11" i="1" s="1"/>
  <c r="H11" i="1" s="1"/>
  <c r="F22" i="1"/>
  <c r="G22" i="1" s="1"/>
  <c r="H22" i="1" s="1"/>
  <c r="F14" i="1"/>
  <c r="G14" i="1" s="1"/>
  <c r="H14" i="1" s="1"/>
  <c r="F10" i="1"/>
  <c r="G10" i="1" s="1"/>
  <c r="H10" i="1" s="1"/>
  <c r="F15" i="1"/>
  <c r="G15" i="1" s="1"/>
  <c r="H15" i="1" s="1"/>
  <c r="D129" i="2"/>
  <c r="D112" i="2"/>
  <c r="F16" i="1"/>
  <c r="G16" i="1" s="1"/>
  <c r="H16" i="1" s="1"/>
  <c r="F12" i="1"/>
  <c r="G12" i="1" s="1"/>
  <c r="H12" i="1" s="1"/>
  <c r="I28" i="1"/>
  <c r="D113" i="2"/>
  <c r="J32" i="1" l="1"/>
  <c r="J34" i="1" s="1"/>
  <c r="K32" i="1"/>
  <c r="K34" i="1" s="1"/>
  <c r="J33" i="1"/>
  <c r="K33" i="1"/>
  <c r="J28" i="1"/>
  <c r="K28" i="1"/>
  <c r="K29" i="1" s="1"/>
  <c r="I18" i="1"/>
  <c r="G17" i="1"/>
  <c r="H17" i="1" s="1"/>
  <c r="H18" i="1" s="1"/>
  <c r="K36" i="1" s="1"/>
  <c r="K37" i="1" s="1"/>
  <c r="D115" i="2"/>
  <c r="D126" i="2"/>
  <c r="H23" i="1"/>
</calcChain>
</file>

<file path=xl/sharedStrings.xml><?xml version="1.0" encoding="utf-8"?>
<sst xmlns="http://schemas.openxmlformats.org/spreadsheetml/2006/main" count="723" uniqueCount="328">
  <si>
    <t xml:space="preserve">Memória de Cálculo para Dimensionamento do Quantitativo de Serventes </t>
  </si>
  <si>
    <t>Instituto Nacional de Tecnologia da Informação</t>
  </si>
  <si>
    <t>Dimensionamento do quantitativo de serventes para serviços de limpeza e conservação</t>
  </si>
  <si>
    <t>Área Interna</t>
  </si>
  <si>
    <t>m²</t>
  </si>
  <si>
    <t>Produtividade Portaria SEGES/SGD/ME nº 21.262/2020</t>
  </si>
  <si>
    <t>(1)
Produtividade Mínima
(1/m²)</t>
  </si>
  <si>
    <t>(2)
Preços Homem/mês (R$)</t>
  </si>
  <si>
    <t>(1x2)
Subtotal
(R$/m²)</t>
  </si>
  <si>
    <t>Valor da Área pela Mínima</t>
  </si>
  <si>
    <t>Mínima</t>
  </si>
  <si>
    <t>Máxima</t>
  </si>
  <si>
    <t>Piso Laminado</t>
  </si>
  <si>
    <t>Piso Barreira de Contenção</t>
  </si>
  <si>
    <t>Piso Vinílico</t>
  </si>
  <si>
    <t>Revestimento Copa c/cerâmica</t>
  </si>
  <si>
    <t>Revestimento varanda cerâmica</t>
  </si>
  <si>
    <t>Revestimento banheiros c/cerâmica</t>
  </si>
  <si>
    <t>Escadas</t>
  </si>
  <si>
    <t xml:space="preserve">Salas Funcionais </t>
  </si>
  <si>
    <t>Garagem interna</t>
  </si>
  <si>
    <t>Total</t>
  </si>
  <si>
    <t>Área Externa</t>
  </si>
  <si>
    <t>Revestimento granito/ Mármore externo</t>
  </si>
  <si>
    <t>Área Verde</t>
  </si>
  <si>
    <t>Esquadria Externa (Face Interna e Externa)</t>
  </si>
  <si>
    <t>(2)
Frequência no Mês (horas)</t>
  </si>
  <si>
    <t>(3)
Jornada de Trabalho no Mês (horas)</t>
  </si>
  <si>
    <t>(1x2x3)
Produtividade</t>
  </si>
  <si>
    <t>(4)
Preços Homem/mês (R$)</t>
  </si>
  <si>
    <t>(5)
Subtotal
(R$/m²)</t>
  </si>
  <si>
    <t xml:space="preserve">Esquadria com Vidraçaria (Face Interna e Externa) </t>
  </si>
  <si>
    <t>Fachada Envidraçada</t>
  </si>
  <si>
    <t>(2)
Frequência no trimestre e semestre (horas)</t>
  </si>
  <si>
    <t>Mínima 130</t>
  </si>
  <si>
    <t>Vidraçaria interna</t>
  </si>
  <si>
    <t>Vidraçaria externa</t>
  </si>
  <si>
    <t>Área Total</t>
  </si>
  <si>
    <t>Valor Estimado Mensal Produtividade Mínima</t>
  </si>
  <si>
    <t>Valor Estimado Anual Produtividade Mínima</t>
  </si>
  <si>
    <t>Qtde Serventes</t>
  </si>
  <si>
    <t>Arredondado</t>
  </si>
  <si>
    <t>Observações</t>
  </si>
  <si>
    <t>Cálculos feitos de acordo com os limites de produtividade estabelecidos na Portaria SEGES nº 21.262/2020.</t>
  </si>
  <si>
    <t>A responsabilidade por estabelecer a produtividade é do licitante, observando os critérios estabelecidos na instrução normativa nº 05/2017 e na Portaria SEGES nº 21.262/2020. No entanto, o quantitativo mínimo de serventes não poderá ser inferior a 4 (quatro).</t>
  </si>
  <si>
    <t>PLANILHA DE CUSTOS E FORMAÇÃO DE PREÇOS</t>
  </si>
  <si>
    <t>Com ajustes após publicação da Lei n° 13.467, de 2017; IN 5/17 e IN7/18</t>
  </si>
  <si>
    <t>Dados para composição dos custos referentes a mão de obra</t>
  </si>
  <si>
    <t>Tipo de Serviço (mesmo serviço com características distintas)</t>
  </si>
  <si>
    <t>Auxiliar de Serviços Gerais</t>
  </si>
  <si>
    <t>Classificação Brasileira de Ocupações (CBO)</t>
  </si>
  <si>
    <t>5143-20</t>
  </si>
  <si>
    <t>Salário Normativo da Categoria Profissional</t>
  </si>
  <si>
    <t>Categoria Profissional (vinculada à execução contratual)</t>
  </si>
  <si>
    <t>Servente de Limpeza</t>
  </si>
  <si>
    <t xml:space="preserve">Acordo ou Convenção Coletiva de Trabalho utilzada </t>
  </si>
  <si>
    <t>CCT-SEAC/SINDSERVIÇOS 2022</t>
  </si>
  <si>
    <t>Data-Base da Categoria (dia/mês/ano)</t>
  </si>
  <si>
    <t>Nota 1: Deverá ser elaborado um quadro para cada tipo de serviço.</t>
  </si>
  <si>
    <r>
      <rPr>
        <sz val="8"/>
        <color rgb="FFFF0000"/>
        <rFont val="Verdana"/>
        <family val="2"/>
        <charset val="1"/>
      </rPr>
      <t xml:space="preserve">Nota 2: A planilha será calculada considerando o </t>
    </r>
    <r>
      <rPr>
        <b/>
        <sz val="8"/>
        <color rgb="FFFF0000"/>
        <rFont val="Verdana"/>
        <family val="2"/>
        <charset val="1"/>
      </rPr>
      <t>valor mensal</t>
    </r>
  </si>
  <si>
    <t>Módulo 1 - Composição da Remuneração</t>
  </si>
  <si>
    <t>A</t>
  </si>
  <si>
    <t>Salário-Base</t>
  </si>
  <si>
    <t>B</t>
  </si>
  <si>
    <t>Adicional de Periculosidade</t>
  </si>
  <si>
    <t>C</t>
  </si>
  <si>
    <t>Adicional de Insalubridade</t>
  </si>
  <si>
    <t>D</t>
  </si>
  <si>
    <t>Adicional Noturno</t>
  </si>
  <si>
    <t>E</t>
  </si>
  <si>
    <t>Adicional de Hora Noturna Reduzida</t>
  </si>
  <si>
    <t>F</t>
  </si>
  <si>
    <t>Outros (especificar)</t>
  </si>
  <si>
    <r>
      <rPr>
        <sz val="8"/>
        <color rgb="FFFF0000"/>
        <rFont val="Verdana"/>
        <family val="2"/>
        <charset val="1"/>
      </rPr>
      <t xml:space="preserve">Nota 1: O Módulo 1 refere-se ao </t>
    </r>
    <r>
      <rPr>
        <b/>
        <sz val="8"/>
        <color rgb="FFFF0000"/>
        <rFont val="Verdana"/>
        <family val="2"/>
        <charset val="1"/>
      </rPr>
      <t>valor mensal devido ao empregado</t>
    </r>
    <r>
      <rPr>
        <sz val="8"/>
        <color rgb="FFFF0000"/>
        <rFont val="Verdana"/>
        <family val="2"/>
        <charset val="1"/>
      </rPr>
      <t xml:space="preserve"> pela prestação do serviço.</t>
    </r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</si>
  <si>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</si>
  <si>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</si>
  <si>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</si>
  <si>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</si>
  <si>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Percentual (%)</t>
  </si>
  <si>
    <t>Valor (R$)</t>
  </si>
  <si>
    <t>13º (décimo terceiro) Salário (1/12)</t>
  </si>
  <si>
    <r>
      <rPr>
        <sz val="12"/>
        <color rgb="FF000000"/>
        <rFont val="Times New Roman"/>
        <family val="1"/>
        <charset val="1"/>
      </rPr>
      <t>Férias e Adicional de Férias 1/12 + (1/12/3)</t>
    </r>
    <r>
      <rPr>
        <sz val="12"/>
        <color rgb="FFFF0000"/>
        <rFont val="Times New Roman"/>
        <family val="1"/>
        <charset val="1"/>
      </rPr>
      <t xml:space="preserve"> </t>
    </r>
  </si>
  <si>
    <t>Incidência dos encargos do submódulo 2.2 sobre os encargos submódulo 2.1</t>
  </si>
  <si>
    <t>Total dos Encargos e Benefícios</t>
  </si>
  <si>
    <t>Nota 1: Como a planilha de custos e formação de preços é calculada mensalmente, provisiona-se proporcionalmente 1/12 (um doze avos) do valor referente a gratificação natalina, férias e adicional de férias.</t>
  </si>
  <si>
    <r>
      <rPr>
        <sz val="8"/>
        <color rgb="FFFF0000"/>
        <rFont val="Verdana"/>
        <family val="2"/>
        <charset val="1"/>
      </rPr>
      <t>Nota 2: Levando em consideração a vigência contratual prevista no art. 57 da Lei nº 8.666, de 23 de junho de 1993, a rubrica férias tem como objetivo principal suprir a necessidade do pagamento das férias remuneradas ao final do contrato de 12 meses. </t>
    </r>
    <r>
      <rPr>
        <b/>
        <u/>
        <sz val="8"/>
        <color rgb="FFFF0000"/>
        <rFont val="Verdana"/>
        <family val="2"/>
        <charset val="1"/>
      </rPr>
      <t xml:space="preserve">Esta rubrica, quando da prorrogação contratual, torna-se custo não renovável.
</t>
    </r>
    <r>
      <rPr>
        <sz val="8"/>
        <color rgb="FFFF0000"/>
        <rFont val="Verdana"/>
        <family val="2"/>
        <charset val="1"/>
      </rPr>
      <t>Deverá ser utilizado o índice de 12,10% para Férias e Adicional de Férias, conforme definido no item 14 do ANEXO XII da IN 05/2017 (CONTA-DEPÓSITO VINCULADA ― BLOQUEADA PARA MOVIMENTAÇÃO)</t>
    </r>
  </si>
  <si>
    <t>Referência Instrução Normativa 05/2017</t>
  </si>
  <si>
    <t>Submódulo 2.2 - Encargos Previdenciários (GPS), Fundo de Garantia por Tempo de Serviço (FGTS) e outras contribuições.</t>
  </si>
  <si>
    <t>2.2</t>
  </si>
  <si>
    <t>GPS, FGTS e outras contribuições</t>
  </si>
  <si>
    <t>INSS</t>
  </si>
  <si>
    <t>Salário Educação</t>
  </si>
  <si>
    <t>SAT</t>
  </si>
  <si>
    <t>SESC ou SESI</t>
  </si>
  <si>
    <t>SENAI - SENAC</t>
  </si>
  <si>
    <t>SEBRAE</t>
  </si>
  <si>
    <t>G</t>
  </si>
  <si>
    <t>INCRA</t>
  </si>
  <si>
    <t>H</t>
  </si>
  <si>
    <t>FGTS</t>
  </si>
  <si>
    <t xml:space="preserve">Total </t>
  </si>
  <si>
    <t>Nota 1: Os percentuais dos encargos previdenciários, do FGTS e demais contribuições são aqueles estabelecidos pela legislação vigente.</t>
  </si>
  <si>
    <r>
      <rPr>
        <sz val="8"/>
        <color rgb="FFFF0000"/>
        <rFont val="Verdana"/>
        <family val="2"/>
        <charset val="1"/>
      </rPr>
      <t>Nota 2:</t>
    </r>
    <r>
      <rPr>
        <sz val="8"/>
        <color rgb="FFFF0000"/>
        <rFont val="Arial"/>
        <family val="2"/>
        <charset val="1"/>
      </rPr>
      <t> O SAT a depender do grau de risco do serviço irá variar entre 1%, para risco leve, de 2%, para risco médio, e de 3% de risco grave.</t>
    </r>
  </si>
  <si>
    <t>Nota 3: Esses percentuais incidem sobre o Módulo 1, o Submódulo 2.1.</t>
  </si>
  <si>
    <t>Submódulo 2.3 - Benefícios Mensais e Diários.</t>
  </si>
  <si>
    <t>2.3</t>
  </si>
  <si>
    <t>Benefícios Mensais e Diários</t>
  </si>
  <si>
    <t>Unitário</t>
  </si>
  <si>
    <t>Transporte (22dias x 2 (ida e volta))</t>
  </si>
  <si>
    <t xml:space="preserve"> - 6% de dedução do vela transporte sobre o salário base</t>
  </si>
  <si>
    <t>Auxílio-Refeição/Alimentação (22 dias)</t>
  </si>
  <si>
    <t>Plano de Saúde</t>
  </si>
  <si>
    <t>Assistência odontológica</t>
  </si>
  <si>
    <t>Auxilio Funeral</t>
  </si>
  <si>
    <t>Nota 1: O valor informado deverá ser o custo real do benefício (descontado o valor eventualmente pago pelo empregado).</t>
  </si>
  <si>
    <t>Nota 2: Observar a previsão dos benefícios contidos em Acordos, Convenções e Dissídios Coletivos de Trabalho e atentar-se ao disposto no art. 6º da IN 05/2017</t>
  </si>
  <si>
    <t>Quadro-Resumo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</si>
  <si>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</si>
  <si>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</si>
  <si>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</si>
  <si>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%</t>
  </si>
  <si>
    <t>Módulo 4 - Custo de Reposição do Profissional Ausente</t>
  </si>
  <si>
    <t>Submódulo 4.1 - Ausências Legais</t>
  </si>
  <si>
    <t>4.1</t>
  </si>
  <si>
    <t>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</si>
  <si>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</si>
  <si>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</si>
  <si>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</si>
  <si>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</si>
  <si>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</si>
  <si>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Outras ausências (especificar)</t>
  </si>
  <si>
    <t>Submódulo 4.2 - Intrajornada</t>
  </si>
  <si>
    <t>4.2</t>
  </si>
  <si>
    <t>Intrajornada</t>
  </si>
  <si>
    <t>Substituto na cobertura de Intervalo para repouso ou alimentação</t>
  </si>
  <si>
    <t xml:space="preserve">Nota 1: Não haverá substituto para cobertura de Intervalo Intrajornada </t>
  </si>
  <si>
    <t>Quadro-Resumo do Módulo 4 - Custo de Reposição do Profissional Ausente</t>
  </si>
  <si>
    <t>Custo de Reposição do Profissional Ausente</t>
  </si>
  <si>
    <t xml:space="preserve">Substituto nas Ausências Legais </t>
  </si>
  <si>
    <t xml:space="preserve">Substituto na Intrajornada </t>
  </si>
  <si>
    <t>Módulo 5 - Insumos Diversos</t>
  </si>
  <si>
    <t>Insumos Diversos</t>
  </si>
  <si>
    <t>Equipamentos</t>
  </si>
  <si>
    <t>Material de Consumo</t>
  </si>
  <si>
    <t>Equipamentos - EPI</t>
  </si>
  <si>
    <t>Uniforme</t>
  </si>
  <si>
    <t>Módulo 6 - Custos Indiretos, Tributos e Lucro</t>
  </si>
  <si>
    <t>Custos Indiretos, Tributos e Lucro</t>
  </si>
  <si>
    <t>Custos Indiretos</t>
  </si>
  <si>
    <t>Lucro</t>
  </si>
  <si>
    <t>Total Custos Indiretos + Lucro</t>
  </si>
  <si>
    <t>Tributos</t>
  </si>
  <si>
    <t>C.1. PIS</t>
  </si>
  <si>
    <t>C.2. CONFINS</t>
  </si>
  <si>
    <t>C.3. ISS</t>
  </si>
  <si>
    <t>Total dos Tributos</t>
  </si>
  <si>
    <r>
      <rPr>
        <sz val="8"/>
        <color rgb="FFFF0000"/>
        <rFont val="Verdana"/>
        <family val="2"/>
        <charset val="1"/>
      </rPr>
      <t>Nota 2:</t>
    </r>
    <r>
      <rPr>
        <sz val="8"/>
        <color rgb="FFFF0000"/>
        <rFont val="Arial"/>
        <family val="2"/>
        <charset val="1"/>
      </rPr>
      <t> O valor referente a tributos é obtido aplicando-se o percentual sobre o valor do faturamento.</t>
    </r>
  </si>
  <si>
    <t>2. QUADRO-RESUMO DO CUSTO POR POSTO DE TRABALHO</t>
  </si>
  <si>
    <t>Mão de obra vinculada à execução contratual (valor por empregado)</t>
  </si>
  <si>
    <t>Subtotal (A + B +C+ D+E)</t>
  </si>
  <si>
    <t>Módulo 6 – Custos Indiretos, Tributos e Lucro</t>
  </si>
  <si>
    <t>VALOR TOTAL POR EMPREGADO</t>
  </si>
  <si>
    <t>QUANTIDADE DE EMPREGADO POR POSTO</t>
  </si>
  <si>
    <t xml:space="preserve">VALOR TOTAL DO POSTO DE TRABALHO </t>
  </si>
  <si>
    <t>Demonstrativo dos Valores de Equipamentos com Depreciação</t>
  </si>
  <si>
    <t>Nº ITEM</t>
  </si>
  <si>
    <t>CATMAT</t>
  </si>
  <si>
    <t>DESCRIÇÃO</t>
  </si>
  <si>
    <t>Periodicidade</t>
  </si>
  <si>
    <t>Qtde anual estimada</t>
  </si>
  <si>
    <t>Unid.</t>
  </si>
  <si>
    <t>Valor Unitário de Aquisição</t>
  </si>
  <si>
    <t>Total 
(H=ExG)</t>
  </si>
  <si>
    <t>Valor Residual 
(I=H-10%)</t>
  </si>
  <si>
    <t>Valor Depreciável
(J=H-I)</t>
  </si>
  <si>
    <t>Vida Útil 
(Anos)</t>
  </si>
  <si>
    <t>Custo de Depreciação Anual 
(L=J/K)</t>
  </si>
  <si>
    <t xml:space="preserve">Aspirador de pó e água - atender as indicações das nr's 32 e 17 - material: plástico injetado - capacidade: 20 l - tensão/ alimentação: bivolt - características adicionais: bocais - prolongador e filtro de papel - potência: 1.200 w                                                                                                   </t>
  </si>
  <si>
    <t>Anual</t>
  </si>
  <si>
    <t>Escada doméstica - atender as indicações das nr's 32 e 17 - material: alumínio resistente - número degraus: 5 (cinco) - altura: 190 cm - características adicionais: pés antiderrapantes - trava de segurança - capacidade 150 kg - tipo: dobrável</t>
  </si>
  <si>
    <t xml:space="preserve">Enceradeira de piso industrial - motor elétrico de no mínimo 1 HP - largura de atuação de no mínimo 410 mm - alimentação bivolt ou 220 volts                                                                       </t>
  </si>
  <si>
    <t>Balde com espremedor,material balde: plástico. Material espremedor: plástico,
material base: plástico, capacidade balde:30 L, tipo espremedor: pressão vertical, comprimento:52 cm,
largura:37 cm, altura:84 cm</t>
  </si>
  <si>
    <t>Máquina de lavar de alta pressão do jato de água Potência: 2,5 kw, Tensão: 220 V, Características Adicionais:Vazão 500 l/h, Peso 22 Kg (variação de +/- 5%), Dimensões (C x L x A) 490 x 305 x 830 mm, Pressão 1600 libras. Acessórios incluso: mangueira, lança com leque regulável, lança tubo rotativa e deposito de detergente. Possui total proteção dos componentes elétricos contra umidade e trava na pistola.</t>
  </si>
  <si>
    <t>Suporte (dispenser) para papel toalha interfolhada de duas dobras, de plástico, com frente branca,  travas laterais acionadas por pressão, nas medidas aproximadas de 32 x 12 x 26 cm.</t>
  </si>
  <si>
    <t>Suporte (dispenser) para papel protetor de assento sanitário (grande), de plástico, com frente branca, nas medidas aproximadas de 29 x 22 x 3 cm, com capacidade para refil de 86 folhas. </t>
  </si>
  <si>
    <t>Suporte (dispenser) para sabonete líquido ( ou álcool) em gel, para refil de 800 ml do tipo “bag in Box”, de plástico, com frente branca, travas laterais acionadas por pressão, nas medidas aproximadas de : altura 28 x largura 12 x profundidade 12 cm. </t>
  </si>
  <si>
    <t xml:space="preserve"> Lixeira, material plástico resistente, capacidade 40 l, características adicionais com tampa e pedal (cor: Branco)</t>
  </si>
  <si>
    <t xml:space="preserve"> Lixeira, material plástico resistente, capacidade de 15 a 25 l, características adicionais com tampa e pedal (cor: preto)</t>
  </si>
  <si>
    <t xml:space="preserve"> Lixeira, material plástico resistente, capacidade 60 a 72 L, características adicionais com tampa e pedal (cor: Branco)</t>
  </si>
  <si>
    <t>TOTAL</t>
  </si>
  <si>
    <t>(A) CUSTO DEPRECIAÇÃO ANUAL</t>
  </si>
  <si>
    <t>(B) CUSTO DEPRECIAÇÃO MENSAL  (A/12)</t>
  </si>
  <si>
    <t>(C) QUANTIDADE DE POSTOS</t>
  </si>
  <si>
    <t>(D) CUSTO DEPRECIAÇÃO MENSAL POR POSTOS (B/C)</t>
  </si>
  <si>
    <t>NOTAS EXPLICATIVAS:</t>
  </si>
  <si>
    <t>ITEM 09 – LIXEIRA 40L: Em consulta ao Painel de Preços e Fonte de Preços, pelos filtros: objeto, catmat, descrição, unidade da fornecimento, esfera, modalidade de compra, ano de compra (2021 e 2022), obteve-se 2 resultados em Brasília-DF. Diante do exposto, considerou-se a média do resultado obtido na Fonte de Preços.</t>
  </si>
  <si>
    <t>ITEM 11 – LIXEIRA 60 a 72L: Em consulta ao Painel de Preços e Fonte de Preços, pelos filtros: objeto, catmat, descrição, unidade da fornecimento, esfera, modalidade de compra, ano de compra (2021 e 2022), entretanto, apenas 1 resultados em Brasília-DF e os depois em outra capitais. Diante do exposto, considerou-se a média do resultado obtido na Fonte de Preços em esfera nacional.</t>
  </si>
  <si>
    <t>MATERIAIS</t>
  </si>
  <si>
    <t>PERIODICIDADE</t>
  </si>
  <si>
    <t>QUANTIDADE MENSAL</t>
  </si>
  <si>
    <t>QUANTIDADE ANUAL</t>
  </si>
  <si>
    <t>UNIDADE DE MEDIDA</t>
  </si>
  <si>
    <t>VALOR MÉDIO UNITÁRIO E VALOR MÉDIO EM TOTAL DOS ITENS A SEREM CONTRATADOS PELO ITI, PAUTADOS NO INCISO " I" DA INSTRUÇÃO NORMATIVA N° 73, DE 2020.</t>
  </si>
  <si>
    <t>VALORES MÉDIOS ESTIMADOS</t>
  </si>
  <si>
    <t>VALOR UNITÁRIO</t>
  </si>
  <si>
    <t>VALOR TOTAL (anual)</t>
  </si>
  <si>
    <t>MENSAL</t>
  </si>
  <si>
    <t>ANUAL</t>
  </si>
  <si>
    <t>Água sanitária, composição química: hipoclorito de sódio, hidróxido de sódio, cloreto, cor: incolor, tipo: comum, com dados de identificação do produto, marca do fabricante, data de fabricação, prazo de validade e registro no Ministério da Saúde. Unidades contendo 01 litro</t>
  </si>
  <si>
    <t>Mensal</t>
  </si>
  <si>
    <t>01 litros</t>
  </si>
  <si>
    <t>Álcool etílico, tipo: hidratado, teor alcoólico: 70%, apresentação: gel. Unidades contendo  01 litro</t>
  </si>
  <si>
    <t>01 litro</t>
  </si>
  <si>
    <t>Álcool etílico, tipo: hidratado, teor alcoólico: 70%, apresentação: líquido.Unidades contendo  01 litro</t>
  </si>
  <si>
    <t>Desodorante / aromatizante de ambiente, tipo aerosol, aroma lavanda, uso geral, características adicionais: biodegradável. Unidades contendo  360 ml</t>
  </si>
  <si>
    <t>360 ml</t>
  </si>
  <si>
    <t>Multiuso solução de limpeza , composição básica: água sanitária, alvejante e desinfetante, aspecto físico: líquido, aplicação: limpeza geral, característícas adicionais: tampa dosadora de fluxo. Unidades contendo 500 ml</t>
  </si>
  <si>
    <t>500ml</t>
  </si>
  <si>
    <t>Desinfetante, composição: à base de quaternário de amônio, princípio ativo: cloreto alquil dimetil benzil amônio + tensioativos, teor ativo: solução concentrada, teor ativo em torno de 50%, forma física: solução aquosa, característica
adicional: com aroma. Unidades contendo  01 litro</t>
  </si>
  <si>
    <t>Desodorizador sanitário, composição:paradicloro benzeno,essência e corante, peso líquido:35 g, aspecto físico:tablete sólido, características adicionais:suporte plástico para vaso sanitário</t>
  </si>
  <si>
    <t>Un.</t>
  </si>
  <si>
    <t>Esponja limpeza, material:espuma / fibra sintética, formato:retangular,abrasividade:média, aplicação:limpeza geral, características adicionais:dupla face, comprimento
mínimo:110 mm, largura mínima:75 mm, espessura mínima:20 mm</t>
  </si>
  <si>
    <t>Flanela, comprimento:40 cm, largura:60 cm, cor:branca, 100% algodão.</t>
  </si>
  <si>
    <t>SABÃO PÓ, APLICAÇÃO:LIMPEZA GERAL, ADITIVOS:NÃO APLICÁVEL, ODOR:NÃO APLICÁVEL</t>
  </si>
  <si>
    <t>1kg</t>
  </si>
  <si>
    <t xml:space="preserve"> LIMPA-VIDRO, ASPECTO FÍSICO:LÍQUIDO, COMPOSIÇÃO: TENSOATIVOS ANIÔNICOS/SEQUESTRANTES / HIDRÓXIDO</t>
  </si>
  <si>
    <t xml:space="preserve"> PANO LIMPEZA, MATERIAL:100% ALGODÃO, COMPRIMENTO:60 CM, LARGURA:45 CM, CARACTERÍSTICAS ADICIONAIS:ALVEJADO, APLICAÇÃO:LIMPEZA GERAL</t>
  </si>
  <si>
    <t>BALDE, MATERIAL:POLIPROPILENO, CAPACIDADE:14 L, COR:AZUL</t>
  </si>
  <si>
    <t>Anualmente e
substituível
sempre que
apresentar
defeito /
desgaste.</t>
  </si>
  <si>
    <t>DESENTUPIDOR PAR A PIA, USO DOMÉSTICO, EM PLÁSTICO, CABO CURTO</t>
  </si>
  <si>
    <t xml:space="preserve"> DESENTUPIDOR VASO SANITÁRIO, MATERIAL:BORRACHA FLEXÍVEL, COR:PRETA, ALTURA:10 CM, DIÂMETRO:16 CM, MATERIAL CABO:MADEIRA, COMPRIMENTO CABO:50 CM</t>
  </si>
  <si>
    <t xml:space="preserve"> DETERGENTE, COMPOSIÇÃO:TENSOATIVOS ANIÔNICOS/COADJUVANTES/PRESERVANTES,
COMPONENTE ATIVO:LINEAR ALQUIBENZENO SULFONATO DE SÓDIO, APLICAÇÃO:LAVAGEM TALHERES, LOUÇAS,
PISOS, AZULEJOS, CARACTERÍSTICAS ADICIONAIS:CONTÉM TENSOATIVO BIODEGRADÁVEL</t>
  </si>
  <si>
    <t xml:space="preserve"> BORRIFADOR, MATERIAL:PLÁSTICO, TIPO:SPRAY, CONTENDO BICO BORRIFADOR, APLICAÇÃO:MATERIAL DE LIMPEZA</t>
  </si>
  <si>
    <t>Escova roupa, material corpo madeira, tratamento superficial envernizado, material cerdas náilon</t>
  </si>
  <si>
    <t>SABÃO BARRA, COMPOSIÇÃO BÁSICA:SABÃO GLICERINADO, TIPO:NEUTRO, CARACTERÍSTICAS
ADICIONAIS:1ª QUALIDADE</t>
  </si>
  <si>
    <t>1 Un de 200Gr</t>
  </si>
  <si>
    <t>Luva segurança, material: borracha nitrílica, tamanho: G, aplicação: segurança, proteção individual e limpeza, características adicionais: flocada, palma antiderrapante, alto relevo, espessura: 0,51 mm, comprimento: 32cm, modelo: cano médio. Pacote contendo um par de luvas</t>
  </si>
  <si>
    <t>PAR</t>
  </si>
  <si>
    <t>TRINCHA, MATERIAL CABO:MADEIRA, MATERIAL CERDAS:PELO ORELHA DE BOI, TAMANHO:1/2 POL, TIPO CABO:CURTO</t>
  </si>
  <si>
    <t xml:space="preserve"> RODO, MATERIAL CABO:MADEIRA, MATERIAL SUPORTE:MADEIRA, COMPRIMENTO SUPORTE:40
CM, COR:SUPORTE E CABO NATURAL, QUANTIDADE BORRACHAS:2 UN</t>
  </si>
  <si>
    <t xml:space="preserve"> RODO, MATERIAL CABO:MADEIRA, MATERIAL SUPORTE:PLÁSTICO, COMPRIMENTO
SUPORTE:60 CM, QUANTIDADE BORRACHAS:2 UN</t>
  </si>
  <si>
    <t xml:space="preserve">SACO PARA ASPIRADOR PÓ, MATERIAL:PAPEL, CAPACIDADE:12 L, APLICAÇÃO:ASPIRADOR ÁGUA/ PÓ
</t>
  </si>
  <si>
    <t>SACO PLÁSTICO LIXO, CAPACIDADE:100 L, LARGURA:75 CM, ALTURA:105 CM, NORMAS TÉCNICAS:CLASSE I - NBR 9191</t>
  </si>
  <si>
    <t>pacote com 100 unidades.</t>
  </si>
  <si>
    <t>Saco plástico lixo, capacidade: 20 l, cor: preta, apresentação: peça única, largura: 40 cm, altura: 50 cm, espessura: 0,8 micra.  Pacote contendo 100 unidades</t>
  </si>
  <si>
    <t>pacote com 100 unidades</t>
  </si>
  <si>
    <t>Saco plástico lixo, capacidade: 40 l, cor: preta, largura: 65 cm, altura: 75 cm, características adicionais: reforçado, espessura: 4 micra, aplicação: resíduos comuns diversos, material: polietileno.  Pacote contendo 100 unidades</t>
  </si>
  <si>
    <t>VASSOURA, MATERIAL CERDAS:PÊLO SINTÉTICO, MATERIAL CEPA:MADEIRA, COMPRIMENTO CEPA:40 CM, CARACTERÍSTICAS ADICIONIS:CABO ROSQUEÁVEL, 1,20 M, LARGURA CEPA:4,5 CM</t>
  </si>
  <si>
    <t xml:space="preserve">VASSOURA, MATERIAL CERDAS:PÊLO SINTÉTICO, MATERIAL CEPA:POLIPROPILENO, COMPRIMENTO CEPA:40 CM, CARACTERÍSTICAS ADICIONAIS:CABO DE MADEIRA PLASTIFICADA, DIÂMETRO CEPA:25 MM
</t>
  </si>
  <si>
    <t>VASSOURINHA PARA VASO SANITÁRIO, CABO PLÁSTICO, CERDAS DE NYLON, FORMATO ARREDONDADO, CERDAS FUNDIDAS AO CABO, COM SUPORTE, APLICAÇÃO: LIMPEZA SANITÁRIO</t>
  </si>
  <si>
    <t>Papel higiênico branco, não reciclado, folha dupla de alta qualidade, absorção e  resistência, 100% celulose virgem certificada, texturizado, picotado  rolo de 30 metros X 10 cm.</t>
  </si>
  <si>
    <t>UNIDADE</t>
  </si>
  <si>
    <t>Toalha de papel interfolhada, duas dobras, macia, cor branca, não reciclado, 100% celulose virgem certificada, alta absorção e resistência, com medidas aproximadas de 21 x 23 cm, com gramatura aproximada de 32 a 50 g/m²; pacote com 1000 folhas</t>
  </si>
  <si>
    <t>pacote c/ 1000 folhas</t>
  </si>
  <si>
    <t>PAPEL PROTETOR DE ASSENTO SANITÁRIO DESCARTÁVEL, PARA DISPENSER GRANDE, COR BRANCA, MACIO, RESISTENTE, TAMANHO UNIVERSAL; REFIL COM 86 FOLHAS.</t>
  </si>
  <si>
    <t>Unidade</t>
  </si>
  <si>
    <t>Sabonete líquido em gel (antisséptico), refil de 800 ml do tipo “bag in Box”, fragância neutro. </t>
  </si>
  <si>
    <t>Gel higienizante, a base de álcool 70%, refil de 800 ml do tipo “bag in Box”. </t>
  </si>
  <si>
    <t>CAVALETE SINALIZAÇÃO, MATERIAL:PLÁSTICO RÍGIDO, COMPRIMENTO:0,90 M,
LARGURA:0,62 M,ALTURA:1,05 M, PESO:4,30 KG, COR: AMARELA COM LEGENDA PRETA,
CARACTERÍSTICAS ADICIONAIS: NÃO APLICÁVEL, TIPO SINALIZADOR:ADVERTÊNCIA PISO
ESCORREGADIO, CAVALETE SINALIZAÇÃO, MATERIAL:POLIPROPILENO, LARGURA:0,23 M,
ALTURA:60 CM, COR:LARANJA, CARACTERÍSTICAS ADICIONAIS:DOBRÁVEL, CONFORME
MODELO DO ÓRGÃO,APLICAÇÃO:ADVERTÊNCIA PISO ESCORREGADIO</t>
  </si>
  <si>
    <t>PÁ COLETORA LIXO, MATERIAL COLETOR:PLÁSTICO, MATERIAL CABO:METAL REVESTIDO COM PLÁSTICO, COMPRIMENTO CABO:60 CM, COMPRIMENTO:25 CM, LARGURA:20 CM, MODELO:SEM TAMPA, CARACTERÍSTICAS ADICIONAIS:CABO E COLETOR EM ÂNGULO DE 90º</t>
  </si>
  <si>
    <t>VALOR TOTAL</t>
  </si>
  <si>
    <t>Qtde de Empregados</t>
  </si>
  <si>
    <t>Valor Mensal por Funcionário</t>
  </si>
  <si>
    <t>ITEM 24 - SACO PARA ASPIRADOR DE PÓ: Em consulta ao Painel de Preços e Fonte de Preços, pelos filtros: objeto, catmat, descrição, unidade da fornecimento, esfera, modalidade de compra, ano de compra (2021 e 2022) não obteve-se nenhum resultado para Brasília-DF. Diante do exposto, considerou-se a média do resultado obtido na Fonte de Preços em esfera nacional.</t>
  </si>
  <si>
    <t>UNIFORMES</t>
  </si>
  <si>
    <t>QUANTIDADE SEMESTRAL</t>
  </si>
  <si>
    <t>Camiseta malha PV (malha fria com 67% dos fios de poliéster e 33% de viscose), gola careca, com emblema da empresa</t>
  </si>
  <si>
    <t>Semestral</t>
  </si>
  <si>
    <t>Calça confeccionada em tecido brim com elástico / cadarço na cintura</t>
  </si>
  <si>
    <t xml:space="preserve">Pares de Meia de Algodão.
</t>
  </si>
  <si>
    <t xml:space="preserve">Botas de Borracha - Cano Longo - PVC. </t>
  </si>
  <si>
    <t xml:space="preserve">Botina - Solado Antiderrapanti para atividades com água - Hidrorepelente - Elástico nas laterais - Antibactérias - Cor Preta.      </t>
  </si>
  <si>
    <t>Crachá Com Foto.</t>
  </si>
  <si>
    <t>-</t>
  </si>
  <si>
    <t>Notas Explicativas e Base de Dados</t>
  </si>
  <si>
    <t>A Planilha de Custos e Formação de Preços tem por objetivo apurar o preço máximo aceitável desta licitação e foi realizada com base no modelo Anexo VII-D da Instrução Normativa nº 05/2017 e nas orientações disponíveis no Portal de Compras do Governo Federal, acesso pelo link: https://www.gov.br/compras/pt-br/centrais-de-conteudo/orientacoes-e-procedimentos/11-orientacoes-gerais-para-planilha-de-custos-e-formacao-de-precos.</t>
  </si>
  <si>
    <t>CCT UTILIZADAS NA ELABORAÇÃO DA PLANILHA</t>
  </si>
  <si>
    <t>A fim de assegurar o tratamento isonômico entre as licitantes, bem como para a contagem da anualidade prevista no art. 3º, §1º da Lei n. 10.192/2001, informa-se que foram utilizadas as seguintes convenções coletivas de trabalho no cálculo do valor estimado pela Administração.</t>
  </si>
  <si>
    <t>CCT 2022-2022 do SINDICATO DOS EMPRESAS DE ASSEIO, CONSERVAÇÃO, TRABALHOS TEMPORÁRIO E SERVIÇOS TERCEIRIZÁVEIS DO DF - SINDISERVICOS/DF</t>
  </si>
  <si>
    <t>O sindicato indicado acima não é de utilização obrigatória pelos licitantes (Acórdão TCU nº 369/2012), mas sempre se exigirá o cumprimento das convenções coletivas adotadas por cada licitante/contratante.</t>
  </si>
  <si>
    <t>Nota 1: Como a planilha de custos e formação de preços é calculada mensalmente, provisiona-se proporcionalmente 1/12 (um doze avos) dos valores referentes a gratificação natalina, férias e adicional de férias.</t>
  </si>
  <si>
    <r>
      <rPr>
        <sz val="8"/>
        <color rgb="FFFF0000"/>
        <rFont val="Verdana"/>
        <family val="2"/>
        <charset val="1"/>
      </rPr>
      <t>Nota 2: Levando em consideração a vigência contratual prevista no art. 57 da Lei nº 8.666, de 23 de junho de 1993, a rubrica férias tem como objetivo principal suprir a necessidade do pagamento das férias remuneradas ao final do contrato de 12 meses. </t>
    </r>
    <r>
      <rPr>
        <b/>
        <u/>
        <sz val="8"/>
        <color rgb="FFFF0000"/>
        <rFont val="Verdana"/>
        <family val="2"/>
        <charset val="1"/>
      </rPr>
      <t>Esta rubrica, quando da prorrogação contratual, torna-se custo não renovável.
Deverá ser utilizado o índice de 12,10% para Férias e Adicional de Férias, conforme definido no item 14 do ANEXO XII da IN 05/2017 (CONTA-DEPÓSITO VINCULADA ― BLOQUEADA PARA MOVIMENTAÇÃO)</t>
    </r>
  </si>
  <si>
    <t>Nota 3: Referência IN 05/2017 (anexo II)</t>
  </si>
  <si>
    <t>CCT 2021 SINDSERVIÇOS</t>
  </si>
  <si>
    <t>Auxilio Funeral (Seguro)</t>
  </si>
  <si>
    <t>Aviso prévio indenizado ((1/12)x 0,055)=0,46%</t>
  </si>
  <si>
    <t>Incidência do FGTS sobre aviso prévio indenizado (8%*0,46)=0,04%</t>
  </si>
  <si>
    <r>
      <rPr>
        <sz val="12"/>
        <color rgb="FF000000"/>
        <rFont val="Times New Roman"/>
        <family val="1"/>
        <charset val="1"/>
      </rPr>
      <t>Multa do FGTS s/ aviso prévio indenizado (</t>
    </r>
    <r>
      <rPr>
        <sz val="10"/>
        <color rgb="FF000000"/>
        <rFont val="Times New Roman"/>
        <family val="1"/>
        <charset val="1"/>
      </rPr>
      <t>0,08*0,4*0,9*(1+5/56+5/56+1/3*5/56)</t>
    </r>
  </si>
  <si>
    <t>Aviso prévio trabalhado ((7/30/12))*</t>
  </si>
  <si>
    <t>Incidência dos encargos do submódulo 2.2 sobre o aviso prévio trabalhado</t>
  </si>
  <si>
    <t>Multa do FGTS sobre o aviso prévio trabalhado (40%*8%*0,04%)</t>
  </si>
  <si>
    <t>Nota 1 - Os índices utilizados neste módulo não são fixos e foram obtidos por meio das orientações disponíveis no portal de compras link: https://www.gov.br/compras/pt-br/centrais-de-conteudo/orientacoes-e-procedimentos/11-orientacoes-gerais-para-planilha-de-custos-e-formacao-de-precos, e levantamentos realizados em outras contratações.
Nota 2 - É de responsabiliade de cada licitante definir os seus índices de custos com a provisão de para rescisão. 
* Nota 3 - A parcela mensal a título de aviso prévio trabalhado será no percentual máximo de 1,94% no primeiro ano, e, em caso de prorrogação do contrato, o percentual máximo dessa parcela será de 0,194% a cada ano de prorrogação, a ser incluído por ocasião da formulação do aditivo da prorrogação do contrato, conforme a Lei 12.506/2011" (TCU no Acórdão nº 1.186/2017 - Plenário)</t>
  </si>
  <si>
    <r>
      <rPr>
        <sz val="8"/>
        <color rgb="FFFF0000"/>
        <rFont val="Verdana"/>
        <family val="2"/>
        <charset val="1"/>
      </rPr>
      <t>Nota 1:</t>
    </r>
    <r>
      <rPr>
        <sz val="8"/>
        <color rgb="FFFF0000"/>
        <rFont val="Arial"/>
        <family val="2"/>
        <charset val="1"/>
      </rPr>
      <t> É de responsabilidade de cada licitante o estabelecimento dos índices de Custos Indiretos e de Lucro. Porém, apenas para fins de apuração do valor máximo aceitável para o posto de trabalho, foram utilizados como referência a média dos índices utilizados pelas empresas em diversos pregões, excluindo-se aqueles que destoam-se do alinhamento dos demais índices pesquisados.</t>
    </r>
  </si>
  <si>
    <t>MÉDIA DOS ÍNDICES DA PESQUISA DE PREÇOS</t>
  </si>
  <si>
    <t xml:space="preserve">Obs: a média foi obtida com base nos índices utilizados pelas licitantes dos pregões analisados nestas pesquisa de preços </t>
  </si>
  <si>
    <t>ITI - Lima e Silva</t>
  </si>
  <si>
    <t>ITI - Atenas</t>
  </si>
  <si>
    <t>EBSERH</t>
  </si>
  <si>
    <t>IBRAM</t>
  </si>
  <si>
    <t>MA</t>
  </si>
  <si>
    <t>IPHAN</t>
  </si>
  <si>
    <t>SENADO</t>
  </si>
  <si>
    <t>DNIT</t>
  </si>
  <si>
    <t>TRT</t>
  </si>
  <si>
    <t>TSE</t>
  </si>
  <si>
    <t>MD</t>
  </si>
  <si>
    <t>ME</t>
  </si>
  <si>
    <t>ANTT</t>
  </si>
  <si>
    <t>MJ</t>
  </si>
  <si>
    <t>MÉDIA</t>
  </si>
  <si>
    <t>MEDIANA</t>
  </si>
  <si>
    <t>Aviso prévio indenizado ((1/12)x 0,05)=0,42%</t>
  </si>
  <si>
    <t>Incidência do FGTS sobre aviso prévio indenizado (8%*0,42)=0,03%</t>
  </si>
  <si>
    <t>Aviso prévio trabalhado ((7/30/12))*0,02</t>
  </si>
  <si>
    <t xml:space="preserve">Nota 1: Os índices para Provisão para Rescisão apurados de acordo com a IN 05/2017 e IN 07/2018. (Vide aba "Notas de Explicativas" desta Pasta) </t>
  </si>
  <si>
    <t>"1%</t>
  </si>
  <si>
    <t>"7%</t>
  </si>
  <si>
    <t>"0,89%</t>
  </si>
  <si>
    <t>"1,94%</t>
  </si>
  <si>
    <t>"1,5%</t>
  </si>
  <si>
    <t>"0,4891%</t>
  </si>
  <si>
    <t>"10,6%</t>
  </si>
  <si>
    <t>"10%</t>
  </si>
  <si>
    <t>"1,36%</t>
  </si>
  <si>
    <t>"10,89%</t>
  </si>
  <si>
    <t>"1,55%</t>
  </si>
  <si>
    <r>
      <rPr>
        <sz val="12"/>
        <color rgb="FFFF0000"/>
        <rFont val="Verdana"/>
        <family val="2"/>
        <charset val="1"/>
      </rPr>
      <t>Nota 1:</t>
    </r>
    <r>
      <rPr>
        <sz val="12"/>
        <color rgb="FFFF0000"/>
        <rFont val="Arial"/>
        <family val="2"/>
        <charset val="1"/>
      </rPr>
      <t> É de responsabilidade de cada licitante o estabelecimento dos índices de Custos Indiretos e de Lucro. Porém, apenas para fins de apuração do valor máximo aceitável para o posto de trabalho, foram utilizados como referência a média dos índices utilizados pelas empresas particiapntes dos pregões que compõem a pesquisa de preços realizada por este ITI, excluindo-se aqueles que destoam-se do alinhamento dos demais índices pesquisados.</t>
    </r>
  </si>
  <si>
    <t>Nota 3: Para fins de apuração do Valor Máximo Aceitável, foram utilizados os valores dos benefícios da CCT SEAC/SINDSERVIÇOS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</si>
</sst>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164" formatCode="[$R$-416]\ #,##0.00\ ;\-[$R$-416]\ #,##0.00\ ;[$R$-416]&quot; -&quot;00\ ;@\ "/>
    <numFmt numFmtId="165" formatCode="_-&quot;R$ &quot;* #,##0.00_-;&quot;-R$ &quot;* #,##0.00_-;_-&quot;R$ &quot;* \-??_-;_-@_-"/>
    <numFmt numFmtId="166" formatCode="&quot; R$ &quot;* #,##0.00\ ;&quot;-R$ &quot;* #,##0.00\ ;&quot; R$ &quot;* \-#\ ;@\ "/>
    <numFmt numFmtId="167" formatCode="#,##0.00\ ;\-#,##0.00\ ;&quot; -&quot;00\ ;@\ "/>
    <numFmt numFmtId="168" formatCode="_-* #,##0.00_-;\-* #,##0.00_-;_-* \-??_-;_-@_-"/>
    <numFmt numFmtId="169" formatCode="#,##0.00\ ;\-#,##0.00\ ;\-00\ ;@\ "/>
    <numFmt numFmtId="170" formatCode="* #,##0.00\ ;\-* #,##0.00\ ;* \-#\ ;@\ "/>
    <numFmt numFmtId="171" formatCode="0.00000"/>
    <numFmt numFmtId="172" formatCode="0.000000"/>
    <numFmt numFmtId="173" formatCode="[$R$-416]\ #,##0.00;[Red]\-[$R$-416]\ #,##0.00"/>
    <numFmt numFmtId="174" formatCode="0.0000"/>
    <numFmt numFmtId="175" formatCode="0.000000000"/>
    <numFmt numFmtId="176" formatCode="#,##0.000\ ;\-#,##0.000\ ;\-00\ ;@\ "/>
    <numFmt numFmtId="177" formatCode="&quot;R$ &quot;#,##0.00"/>
    <numFmt numFmtId="178" formatCode="d/m/yyyy"/>
    <numFmt numFmtId="179" formatCode="&quot;R$ &quot;#,##0.00;[Red]&quot;-R$ &quot;#,##0.00"/>
    <numFmt numFmtId="180" formatCode="0.0%"/>
    <numFmt numFmtId="181" formatCode="0.000%"/>
    <numFmt numFmtId="182" formatCode="[$R$-416]\ #,##0.00"/>
    <numFmt numFmtId="183" formatCode="&quot;R$&quot;#,##0.00;[Red]&quot;-R$&quot;#,##0.00"/>
    <numFmt numFmtId="184" formatCode="&quot;R$&quot;#,##0.00;[Red]&quot;R$&quot;#,##0.00"/>
    <numFmt numFmtId="185" formatCode="0.0000%"/>
  </numFmts>
  <fonts count="53" x14ac:knownFonts="1">
    <font>
      <sz val="12"/>
      <color rgb="FF000000"/>
      <name val="Arial Narrow"/>
      <family val="2"/>
      <charset val="1"/>
    </font>
    <font>
      <u/>
      <sz val="12"/>
      <color rgb="FF0563C1"/>
      <name val="Arial Narrow"/>
      <family val="2"/>
      <charset val="1"/>
    </font>
    <font>
      <sz val="11"/>
      <color rgb="FF000000"/>
      <name val="Calibri"/>
      <family val="2"/>
      <charset val="1"/>
    </font>
    <font>
      <sz val="11"/>
      <color rgb="FF333333"/>
      <name val="Calibri"/>
      <family val="2"/>
      <charset val="1"/>
    </font>
    <font>
      <sz val="10"/>
      <color rgb="FF000000"/>
      <name val="Arial"/>
      <family val="2"/>
      <charset val="1"/>
    </font>
    <font>
      <sz val="10"/>
      <color rgb="FF000000"/>
      <name val="Tahoma"/>
      <family val="2"/>
      <charset val="1"/>
    </font>
    <font>
      <sz val="12"/>
      <color rgb="FF000000"/>
      <name val="Arial"/>
      <family val="2"/>
      <charset val="1"/>
    </font>
    <font>
      <sz val="10"/>
      <name val="Arial"/>
      <family val="2"/>
      <charset val="1"/>
    </font>
    <font>
      <b/>
      <sz val="12"/>
      <color rgb="FFFF0000"/>
      <name val="Arial Narrow"/>
      <family val="2"/>
      <charset val="1"/>
    </font>
    <font>
      <sz val="12"/>
      <name val="Arial Narrow"/>
      <family val="2"/>
      <charset val="1"/>
    </font>
    <font>
      <sz val="10"/>
      <color rgb="FF000000"/>
      <name val="Times New Roman"/>
      <family val="1"/>
      <charset val="1"/>
    </font>
    <font>
      <sz val="12"/>
      <color rgb="FFFF0000"/>
      <name val="Arial Narrow"/>
      <family val="2"/>
      <charset val="1"/>
    </font>
    <font>
      <b/>
      <sz val="12"/>
      <color rgb="FF000000"/>
      <name val="Arial Narrow"/>
      <family val="2"/>
      <charset val="1"/>
    </font>
    <font>
      <b/>
      <sz val="10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  <font>
      <sz val="18"/>
      <color rgb="FF000000"/>
      <name val="Times New Roman"/>
      <family val="1"/>
      <charset val="1"/>
    </font>
    <font>
      <sz val="12"/>
      <color rgb="FFFF0000"/>
      <name val="Times New Roman"/>
      <family val="1"/>
      <charset val="1"/>
    </font>
    <font>
      <sz val="9"/>
      <color rgb="FFFF0000"/>
      <name val="Times New Roman"/>
      <family val="1"/>
      <charset val="1"/>
    </font>
    <font>
      <b/>
      <sz val="12"/>
      <color rgb="FF000000"/>
      <name val="Times New Roman"/>
      <family val="1"/>
      <charset val="1"/>
    </font>
    <font>
      <sz val="8"/>
      <color rgb="FFFF0000"/>
      <name val="Verdana"/>
      <family val="2"/>
      <charset val="1"/>
    </font>
    <font>
      <b/>
      <sz val="8"/>
      <color rgb="FFFF0000"/>
      <name val="Verdana"/>
      <family val="2"/>
      <charset val="1"/>
    </font>
    <font>
      <sz val="12"/>
      <color rgb="FF000000"/>
      <name val="Calibri Light"/>
      <family val="2"/>
      <charset val="1"/>
    </font>
    <font>
      <b/>
      <u/>
      <sz val="8"/>
      <color rgb="FFFF0000"/>
      <name val="Verdana"/>
      <family val="2"/>
      <charset val="1"/>
    </font>
    <font>
      <b/>
      <sz val="12"/>
      <color rgb="FFFF0000"/>
      <name val="Times New Roman"/>
      <family val="1"/>
      <charset val="1"/>
    </font>
    <font>
      <sz val="8"/>
      <color rgb="FFFF0000"/>
      <name val="Arial"/>
      <family val="2"/>
      <charset val="1"/>
    </font>
    <font>
      <b/>
      <sz val="10"/>
      <name val="Arial"/>
      <family val="2"/>
      <charset val="1"/>
    </font>
    <font>
      <sz val="9"/>
      <color rgb="FF333333"/>
      <name val="Arial"/>
      <family val="2"/>
      <charset val="1"/>
    </font>
    <font>
      <sz val="11"/>
      <color rgb="FF000000"/>
      <name val="Arial Narrow"/>
      <family val="2"/>
      <charset val="1"/>
    </font>
    <font>
      <sz val="10"/>
      <color rgb="FF000000"/>
      <name val="Arial Narrow"/>
      <family val="2"/>
      <charset val="1"/>
    </font>
    <font>
      <sz val="10"/>
      <color rgb="FF333333"/>
      <name val="Arial Narrow"/>
      <family val="2"/>
      <charset val="1"/>
    </font>
    <font>
      <sz val="11"/>
      <color rgb="FF333333"/>
      <name val="Arial Narrow"/>
      <family val="2"/>
      <charset val="1"/>
    </font>
    <font>
      <sz val="10"/>
      <name val="Arial Narrow"/>
      <family val="2"/>
      <charset val="1"/>
    </font>
    <font>
      <sz val="12"/>
      <color rgb="FF333333"/>
      <name val="Arial Narrow"/>
      <family val="2"/>
      <charset val="1"/>
    </font>
    <font>
      <b/>
      <sz val="11"/>
      <color rgb="FF333333"/>
      <name val="Calibri"/>
      <family val="2"/>
      <charset val="1"/>
    </font>
    <font>
      <b/>
      <sz val="20"/>
      <color rgb="FF333333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10"/>
      <color rgb="FF333333"/>
      <name val="Calibri"/>
      <family val="2"/>
      <charset val="1"/>
    </font>
    <font>
      <b/>
      <sz val="9"/>
      <color rgb="FF000000"/>
      <name val="Calibri"/>
      <family val="2"/>
      <charset val="1"/>
    </font>
    <font>
      <sz val="11"/>
      <color rgb="FF333333"/>
      <name val="Arial"/>
      <family val="2"/>
      <charset val="1"/>
    </font>
    <font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color rgb="FF333333"/>
      <name val="Calibri"/>
      <family val="2"/>
      <charset val="1"/>
    </font>
    <font>
      <b/>
      <sz val="14"/>
      <color rgb="FF333333"/>
      <name val="Calibri"/>
      <family val="2"/>
      <charset val="1"/>
    </font>
    <font>
      <b/>
      <sz val="14"/>
      <color rgb="FF000000"/>
      <name val="Calibri"/>
      <family val="2"/>
      <charset val="1"/>
    </font>
    <font>
      <b/>
      <sz val="14"/>
      <name val="Calibri"/>
      <family val="2"/>
      <charset val="1"/>
    </font>
    <font>
      <b/>
      <sz val="12"/>
      <color rgb="FF000000"/>
      <name val="Calibri"/>
      <family val="2"/>
      <charset val="1"/>
    </font>
    <font>
      <b/>
      <sz val="11"/>
      <name val="Calibri"/>
      <family val="2"/>
      <charset val="1"/>
    </font>
    <font>
      <b/>
      <sz val="12"/>
      <name val="Calibri"/>
      <family val="2"/>
      <charset val="1"/>
    </font>
    <font>
      <sz val="9"/>
      <color rgb="FF000000"/>
      <name val="Times New Roman"/>
      <family val="1"/>
      <charset val="1"/>
    </font>
    <font>
      <strike/>
      <sz val="12"/>
      <color rgb="FF000000"/>
      <name val="Times New Roman"/>
      <family val="1"/>
      <charset val="1"/>
    </font>
    <font>
      <sz val="12"/>
      <color rgb="FFFF0000"/>
      <name val="Verdana"/>
      <family val="2"/>
      <charset val="1"/>
    </font>
    <font>
      <sz val="12"/>
      <color rgb="FFFF0000"/>
      <name val="Arial"/>
      <family val="2"/>
      <charset val="1"/>
    </font>
    <font>
      <sz val="12"/>
      <color rgb="FF000000"/>
      <name val="Arial Narrow"/>
      <family val="2"/>
      <charset val="1"/>
    </font>
  </fonts>
  <fills count="17">
    <fill>
      <patternFill patternType="none"/>
    </fill>
    <fill>
      <patternFill patternType="gray125"/>
    </fill>
    <fill>
      <patternFill patternType="solid">
        <fgColor rgb="FFDEEBF7"/>
        <bgColor rgb="FFE7E6E6"/>
      </patternFill>
    </fill>
    <fill>
      <patternFill patternType="solid">
        <fgColor rgb="FFD6DCE5"/>
        <bgColor rgb="FFD9D9D9"/>
      </patternFill>
    </fill>
    <fill>
      <patternFill patternType="solid">
        <fgColor rgb="FFE7E6E6"/>
        <bgColor rgb="FFDEEBF7"/>
      </patternFill>
    </fill>
    <fill>
      <patternFill patternType="solid">
        <fgColor rgb="FFB4C7E7"/>
        <bgColor rgb="FFB4C6E7"/>
      </patternFill>
    </fill>
    <fill>
      <patternFill patternType="solid">
        <fgColor rgb="FFFFFFFF"/>
        <bgColor rgb="FFFFF2CC"/>
      </patternFill>
    </fill>
    <fill>
      <patternFill patternType="solid">
        <fgColor rgb="FFD9D9D9"/>
        <bgColor rgb="FFD6DCE5"/>
      </patternFill>
    </fill>
    <fill>
      <patternFill patternType="solid">
        <fgColor rgb="FFFFFF6D"/>
        <bgColor rgb="FFFFF2CC"/>
      </patternFill>
    </fill>
    <fill>
      <patternFill patternType="solid">
        <fgColor rgb="FFD0CECE"/>
        <bgColor rgb="FFCCCCCC"/>
      </patternFill>
    </fill>
    <fill>
      <patternFill patternType="solid">
        <fgColor rgb="FFCCCCCC"/>
        <bgColor rgb="FFD0CECE"/>
      </patternFill>
    </fill>
    <fill>
      <patternFill patternType="solid">
        <fgColor rgb="FFF8CBAD"/>
        <bgColor rgb="FFD0CECE"/>
      </patternFill>
    </fill>
    <fill>
      <patternFill patternType="solid">
        <fgColor rgb="FFA6A6A6"/>
        <bgColor rgb="FF8EA9DB"/>
      </patternFill>
    </fill>
    <fill>
      <patternFill patternType="solid">
        <fgColor rgb="FF8EA9DB"/>
        <bgColor rgb="FFA6A6A6"/>
      </patternFill>
    </fill>
    <fill>
      <patternFill patternType="solid">
        <fgColor rgb="FFB4C6E7"/>
        <bgColor rgb="FFB4C7E7"/>
      </patternFill>
    </fill>
    <fill>
      <patternFill patternType="solid">
        <fgColor rgb="FFFFF2CC"/>
        <bgColor rgb="FFE7E6E6"/>
      </patternFill>
    </fill>
    <fill>
      <patternFill patternType="solid">
        <fgColor rgb="FFFFFF00"/>
        <bgColor rgb="FFFFFF00"/>
      </patternFill>
    </fill>
  </fills>
  <borders count="3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3">
    <xf numFmtId="0" fontId="0" fillId="0" borderId="0"/>
    <xf numFmtId="169" fontId="52" fillId="0" borderId="0" applyBorder="0" applyProtection="0"/>
    <xf numFmtId="165" fontId="7" fillId="0" borderId="0" applyBorder="0" applyProtection="0"/>
    <xf numFmtId="0" fontId="1" fillId="0" borderId="0" applyBorder="0" applyProtection="0"/>
    <xf numFmtId="164" fontId="52" fillId="0" borderId="0" applyBorder="0" applyProtection="0"/>
    <xf numFmtId="165" fontId="2" fillId="0" borderId="0" applyBorder="0" applyProtection="0"/>
    <xf numFmtId="164" fontId="52" fillId="0" borderId="0" applyBorder="0" applyProtection="0"/>
    <xf numFmtId="164" fontId="52" fillId="0" borderId="0" applyBorder="0" applyProtection="0"/>
    <xf numFmtId="166" fontId="3" fillId="0" borderId="0" applyBorder="0" applyProtection="0"/>
    <xf numFmtId="164" fontId="52" fillId="0" borderId="0" applyBorder="0" applyProtection="0"/>
    <xf numFmtId="0" fontId="2" fillId="0" borderId="0" applyBorder="0" applyProtection="0"/>
    <xf numFmtId="0" fontId="4" fillId="0" borderId="0" applyBorder="0" applyProtection="0"/>
    <xf numFmtId="0" fontId="2" fillId="0" borderId="0" applyBorder="0" applyProtection="0"/>
    <xf numFmtId="0" fontId="5" fillId="0" borderId="0" applyBorder="0" applyProtection="0"/>
    <xf numFmtId="0" fontId="2" fillId="0" borderId="0"/>
    <xf numFmtId="0" fontId="6" fillId="0" borderId="0"/>
    <xf numFmtId="0" fontId="52" fillId="0" borderId="0" applyBorder="0" applyProtection="0"/>
    <xf numFmtId="0" fontId="52" fillId="0" borderId="0" applyBorder="0" applyProtection="0"/>
    <xf numFmtId="0" fontId="3" fillId="0" borderId="0"/>
    <xf numFmtId="0" fontId="52" fillId="0" borderId="0"/>
    <xf numFmtId="9" fontId="52" fillId="0" borderId="0" applyBorder="0" applyProtection="0"/>
    <xf numFmtId="167" fontId="52" fillId="0" borderId="0" applyBorder="0" applyProtection="0"/>
    <xf numFmtId="168" fontId="7" fillId="0" borderId="0" applyBorder="0" applyProtection="0"/>
  </cellStyleXfs>
  <cellXfs count="291">
    <xf numFmtId="0" fontId="0" fillId="0" borderId="0" xfId="0"/>
    <xf numFmtId="0" fontId="0" fillId="2" borderId="2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170" fontId="52" fillId="0" borderId="2" xfId="1" applyNumberFormat="1" applyBorder="1" applyAlignment="1" applyProtection="1">
      <alignment horizontal="center"/>
    </xf>
    <xf numFmtId="0" fontId="52" fillId="0" borderId="2" xfId="1" applyNumberFormat="1" applyBorder="1" applyAlignment="1" applyProtection="1">
      <alignment horizontal="center"/>
    </xf>
    <xf numFmtId="171" fontId="52" fillId="0" borderId="2" xfId="1" applyNumberFormat="1" applyBorder="1" applyAlignment="1" applyProtection="1">
      <alignment horizontal="center"/>
    </xf>
    <xf numFmtId="4" fontId="0" fillId="0" borderId="2" xfId="0" applyNumberFormat="1" applyBorder="1" applyAlignment="1">
      <alignment horizontal="center"/>
    </xf>
    <xf numFmtId="165" fontId="7" fillId="0" borderId="2" xfId="2" applyBorder="1" applyAlignment="1" applyProtection="1">
      <alignment horizontal="center"/>
    </xf>
    <xf numFmtId="172" fontId="0" fillId="0" borderId="0" xfId="0" applyNumberFormat="1"/>
    <xf numFmtId="0" fontId="0" fillId="3" borderId="2" xfId="0" applyFont="1" applyFill="1" applyBorder="1" applyAlignment="1">
      <alignment horizontal="center"/>
    </xf>
    <xf numFmtId="170" fontId="52" fillId="3" borderId="2" xfId="1" applyNumberFormat="1" applyFill="1" applyBorder="1" applyAlignment="1" applyProtection="1">
      <alignment horizontal="center"/>
    </xf>
    <xf numFmtId="170" fontId="0" fillId="3" borderId="2" xfId="0" applyNumberFormat="1" applyFill="1" applyBorder="1" applyAlignment="1">
      <alignment horizontal="center"/>
    </xf>
    <xf numFmtId="165" fontId="0" fillId="3" borderId="2" xfId="0" applyNumberFormat="1" applyFont="1" applyFill="1" applyBorder="1" applyAlignment="1">
      <alignment horizontal="center"/>
    </xf>
    <xf numFmtId="165" fontId="7" fillId="4" borderId="2" xfId="2" applyFill="1" applyBorder="1" applyAlignment="1" applyProtection="1">
      <alignment horizontal="center"/>
    </xf>
    <xf numFmtId="4" fontId="0" fillId="0" borderId="0" xfId="0" applyNumberFormat="1"/>
    <xf numFmtId="0" fontId="0" fillId="0" borderId="2" xfId="0" applyFont="1" applyBorder="1" applyAlignment="1">
      <alignment horizontal="center" wrapText="1"/>
    </xf>
    <xf numFmtId="0" fontId="0" fillId="0" borderId="3" xfId="0" applyFont="1" applyBorder="1" applyAlignment="1">
      <alignment horizontal="center"/>
    </xf>
    <xf numFmtId="173" fontId="0" fillId="3" borderId="2" xfId="0" applyNumberFormat="1" applyFont="1" applyFill="1" applyBorder="1" applyAlignment="1">
      <alignment horizontal="right"/>
    </xf>
    <xf numFmtId="0" fontId="0" fillId="0" borderId="0" xfId="0" applyBorder="1" applyAlignment="1">
      <alignment horizontal="center"/>
    </xf>
    <xf numFmtId="170" fontId="52" fillId="0" borderId="0" xfId="1" applyNumberFormat="1" applyBorder="1" applyAlignment="1" applyProtection="1">
      <alignment horizontal="center"/>
    </xf>
    <xf numFmtId="170" fontId="0" fillId="0" borderId="0" xfId="0" applyNumberFormat="1" applyBorder="1" applyAlignment="1">
      <alignment horizontal="center"/>
    </xf>
    <xf numFmtId="4" fontId="8" fillId="0" borderId="0" xfId="0" applyNumberFormat="1" applyFont="1" applyBorder="1" applyAlignment="1">
      <alignment horizontal="center"/>
    </xf>
    <xf numFmtId="174" fontId="52" fillId="0" borderId="2" xfId="1" applyNumberFormat="1" applyBorder="1" applyAlignment="1" applyProtection="1">
      <alignment horizontal="center"/>
    </xf>
    <xf numFmtId="174" fontId="9" fillId="0" borderId="2" xfId="1" applyNumberFormat="1" applyFont="1" applyBorder="1" applyAlignment="1" applyProtection="1">
      <alignment horizontal="center"/>
    </xf>
    <xf numFmtId="0" fontId="10" fillId="0" borderId="2" xfId="0" applyFont="1" applyBorder="1" applyAlignment="1">
      <alignment horizontal="center" vertical="center"/>
    </xf>
    <xf numFmtId="175" fontId="10" fillId="0" borderId="2" xfId="0" applyNumberFormat="1" applyFont="1" applyBorder="1" applyAlignment="1">
      <alignment horizontal="center" vertical="center"/>
    </xf>
    <xf numFmtId="171" fontId="10" fillId="0" borderId="2" xfId="0" applyNumberFormat="1" applyFont="1" applyBorder="1" applyAlignment="1">
      <alignment horizontal="center" vertical="center"/>
    </xf>
    <xf numFmtId="2" fontId="0" fillId="0" borderId="2" xfId="0" applyNumberFormat="1" applyBorder="1" applyAlignment="1">
      <alignment horizontal="center"/>
    </xf>
    <xf numFmtId="165" fontId="7" fillId="0" borderId="3" xfId="2" applyBorder="1" applyAlignment="1" applyProtection="1">
      <alignment horizontal="center" wrapText="1"/>
    </xf>
    <xf numFmtId="170" fontId="11" fillId="3" borderId="2" xfId="0" applyNumberFormat="1" applyFont="1" applyFill="1" applyBorder="1" applyAlignment="1">
      <alignment horizontal="center"/>
    </xf>
    <xf numFmtId="2" fontId="0" fillId="4" borderId="2" xfId="0" applyNumberFormat="1" applyFont="1" applyFill="1" applyBorder="1" applyAlignment="1">
      <alignment horizontal="center"/>
    </xf>
    <xf numFmtId="165" fontId="7" fillId="4" borderId="3" xfId="2" applyFill="1" applyBorder="1" applyAlignment="1" applyProtection="1">
      <alignment horizontal="center"/>
    </xf>
    <xf numFmtId="176" fontId="10" fillId="0" borderId="3" xfId="1" applyNumberFormat="1" applyFont="1" applyBorder="1" applyAlignment="1" applyProtection="1">
      <alignment horizontal="center" vertical="center"/>
    </xf>
    <xf numFmtId="175" fontId="10" fillId="0" borderId="3" xfId="0" applyNumberFormat="1" applyFont="1" applyBorder="1" applyAlignment="1">
      <alignment horizontal="center" vertical="center"/>
    </xf>
    <xf numFmtId="2" fontId="0" fillId="3" borderId="2" xfId="0" applyNumberFormat="1" applyFont="1" applyFill="1" applyBorder="1" applyAlignment="1">
      <alignment horizontal="center"/>
    </xf>
    <xf numFmtId="165" fontId="7" fillId="4" borderId="4" xfId="2" applyFill="1" applyBorder="1" applyAlignment="1" applyProtection="1">
      <alignment horizontal="center"/>
    </xf>
    <xf numFmtId="0" fontId="0" fillId="2" borderId="2" xfId="0" applyFont="1" applyFill="1" applyBorder="1" applyAlignment="1">
      <alignment horizontal="center"/>
    </xf>
    <xf numFmtId="170" fontId="52" fillId="2" borderId="2" xfId="1" applyNumberFormat="1" applyFill="1" applyBorder="1" applyAlignment="1" applyProtection="1">
      <alignment horizontal="center"/>
    </xf>
    <xf numFmtId="170" fontId="0" fillId="2" borderId="2" xfId="0" applyNumberFormat="1" applyFill="1" applyBorder="1" applyAlignment="1">
      <alignment horizontal="center"/>
    </xf>
    <xf numFmtId="170" fontId="12" fillId="2" borderId="2" xfId="1" applyNumberFormat="1" applyFont="1" applyFill="1" applyBorder="1" applyAlignment="1" applyProtection="1">
      <alignment horizontal="center"/>
    </xf>
    <xf numFmtId="168" fontId="0" fillId="0" borderId="0" xfId="0" applyNumberFormat="1"/>
    <xf numFmtId="165" fontId="7" fillId="5" borderId="2" xfId="2" applyFill="1" applyBorder="1" applyAlignment="1" applyProtection="1"/>
    <xf numFmtId="0" fontId="0" fillId="6" borderId="0" xfId="0" applyFill="1" applyBorder="1"/>
    <xf numFmtId="1" fontId="10" fillId="6" borderId="0" xfId="0" applyNumberFormat="1" applyFont="1" applyFill="1" applyBorder="1" applyAlignment="1">
      <alignment horizontal="center" vertical="center"/>
    </xf>
    <xf numFmtId="2" fontId="10" fillId="5" borderId="2" xfId="0" applyNumberFormat="1" applyFont="1" applyFill="1" applyBorder="1" applyAlignment="1">
      <alignment horizontal="center" vertical="center"/>
    </xf>
    <xf numFmtId="177" fontId="10" fillId="6" borderId="0" xfId="0" applyNumberFormat="1" applyFont="1" applyFill="1" applyBorder="1" applyAlignment="1">
      <alignment vertical="center"/>
    </xf>
    <xf numFmtId="2" fontId="0" fillId="5" borderId="2" xfId="0" applyNumberFormat="1" applyFill="1" applyBorder="1" applyAlignment="1">
      <alignment horizontal="center"/>
    </xf>
    <xf numFmtId="0" fontId="0" fillId="0" borderId="0" xfId="0" applyFont="1" applyBorder="1" applyAlignment="1">
      <alignment horizontal="left" vertical="center" wrapText="1"/>
    </xf>
    <xf numFmtId="0" fontId="0" fillId="6" borderId="0" xfId="0" applyFont="1" applyFill="1"/>
    <xf numFmtId="178" fontId="0" fillId="0" borderId="0" xfId="0" applyNumberFormat="1"/>
    <xf numFmtId="0" fontId="14" fillId="0" borderId="0" xfId="0" applyFont="1" applyBorder="1" applyAlignment="1" applyProtection="1"/>
    <xf numFmtId="0" fontId="18" fillId="0" borderId="5" xfId="0" applyFont="1" applyBorder="1" applyAlignment="1" applyProtection="1">
      <alignment horizontal="center" vertical="center" wrapText="1"/>
    </xf>
    <xf numFmtId="0" fontId="14" fillId="0" borderId="6" xfId="0" applyFont="1" applyBorder="1" applyAlignment="1" applyProtection="1">
      <alignment horizontal="left" vertical="center" wrapText="1"/>
    </xf>
    <xf numFmtId="0" fontId="18" fillId="0" borderId="7" xfId="0" applyFont="1" applyBorder="1" applyAlignment="1" applyProtection="1">
      <alignment horizontal="center" vertical="center" wrapText="1"/>
    </xf>
    <xf numFmtId="164" fontId="14" fillId="0" borderId="0" xfId="0" applyNumberFormat="1" applyFont="1" applyBorder="1" applyAlignment="1" applyProtection="1"/>
    <xf numFmtId="0" fontId="18" fillId="0" borderId="8" xfId="0" applyFont="1" applyBorder="1" applyAlignment="1" applyProtection="1">
      <alignment horizontal="center" vertical="center" wrapText="1"/>
    </xf>
    <xf numFmtId="0" fontId="14" fillId="0" borderId="2" xfId="0" applyFont="1" applyBorder="1" applyAlignment="1" applyProtection="1">
      <alignment horizontal="center" vertical="center" wrapText="1"/>
    </xf>
    <xf numFmtId="173" fontId="14" fillId="0" borderId="2" xfId="0" applyNumberFormat="1" applyFont="1" applyBorder="1" applyAlignment="1" applyProtection="1">
      <alignment horizontal="center" vertical="center" wrapText="1"/>
    </xf>
    <xf numFmtId="179" fontId="14" fillId="0" borderId="0" xfId="0" applyNumberFormat="1" applyFont="1" applyBorder="1" applyAlignment="1" applyProtection="1"/>
    <xf numFmtId="0" fontId="14" fillId="0" borderId="9" xfId="0" applyFont="1" applyBorder="1" applyAlignment="1" applyProtection="1">
      <alignment horizontal="left" vertical="center" wrapText="1"/>
    </xf>
    <xf numFmtId="0" fontId="14" fillId="0" borderId="10" xfId="0" applyFont="1" applyBorder="1" applyAlignment="1" applyProtection="1">
      <alignment horizontal="left" vertical="center" wrapText="1"/>
    </xf>
    <xf numFmtId="0" fontId="18" fillId="0" borderId="2" xfId="0" applyFont="1" applyBorder="1" applyAlignment="1" applyProtection="1">
      <alignment horizontal="center" vertical="center" wrapText="1"/>
    </xf>
    <xf numFmtId="0" fontId="14" fillId="0" borderId="2" xfId="0" applyFont="1" applyBorder="1" applyAlignment="1" applyProtection="1"/>
    <xf numFmtId="0" fontId="18" fillId="0" borderId="11" xfId="0" applyFont="1" applyBorder="1" applyAlignment="1" applyProtection="1">
      <alignment horizontal="center" vertical="center" wrapText="1"/>
    </xf>
    <xf numFmtId="0" fontId="18" fillId="0" borderId="12" xfId="0" applyFont="1" applyBorder="1" applyAlignment="1" applyProtection="1">
      <alignment horizontal="center" vertical="center" wrapText="1"/>
    </xf>
    <xf numFmtId="0" fontId="14" fillId="0" borderId="11" xfId="0" applyFont="1" applyBorder="1" applyAlignment="1" applyProtection="1">
      <alignment horizontal="center" vertical="center" wrapText="1"/>
    </xf>
    <xf numFmtId="0" fontId="14" fillId="0" borderId="12" xfId="0" applyFont="1" applyBorder="1" applyAlignment="1" applyProtection="1">
      <alignment vertical="center" wrapText="1"/>
    </xf>
    <xf numFmtId="10" fontId="14" fillId="0" borderId="12" xfId="0" applyNumberFormat="1" applyFont="1" applyBorder="1" applyAlignment="1" applyProtection="1">
      <alignment horizontal="center" vertical="center" wrapText="1"/>
    </xf>
    <xf numFmtId="165" fontId="7" fillId="0" borderId="2" xfId="2" applyBorder="1" applyAlignment="1" applyProtection="1">
      <alignment horizontal="center" vertical="center" wrapText="1"/>
    </xf>
    <xf numFmtId="0" fontId="14" fillId="0" borderId="13" xfId="0" applyFont="1" applyBorder="1" applyAlignment="1" applyProtection="1">
      <alignment horizontal="center" vertical="center" wrapText="1"/>
    </xf>
    <xf numFmtId="0" fontId="14" fillId="0" borderId="14" xfId="0" applyFont="1" applyBorder="1" applyAlignment="1" applyProtection="1">
      <alignment vertical="center" wrapText="1"/>
    </xf>
    <xf numFmtId="10" fontId="16" fillId="0" borderId="12" xfId="0" applyNumberFormat="1" applyFont="1" applyBorder="1" applyAlignment="1" applyProtection="1">
      <alignment horizontal="center" vertical="center" wrapText="1"/>
    </xf>
    <xf numFmtId="10" fontId="14" fillId="0" borderId="2" xfId="0" applyNumberFormat="1" applyFont="1" applyBorder="1" applyAlignment="1" applyProtection="1">
      <alignment horizontal="center" vertical="center" wrapText="1"/>
    </xf>
    <xf numFmtId="0" fontId="21" fillId="0" borderId="2" xfId="0" applyFont="1" applyBorder="1" applyAlignment="1" applyProtection="1">
      <alignment vertical="center"/>
    </xf>
    <xf numFmtId="10" fontId="14" fillId="0" borderId="0" xfId="0" applyNumberFormat="1" applyFont="1" applyBorder="1" applyAlignment="1" applyProtection="1"/>
    <xf numFmtId="0" fontId="18" fillId="0" borderId="16" xfId="0" applyFont="1" applyBorder="1" applyAlignment="1" applyProtection="1">
      <alignment horizontal="center" vertical="center" wrapText="1"/>
    </xf>
    <xf numFmtId="0" fontId="18" fillId="0" borderId="17" xfId="0" applyFont="1" applyBorder="1" applyAlignment="1" applyProtection="1">
      <alignment horizontal="center" vertical="center" wrapText="1"/>
    </xf>
    <xf numFmtId="165" fontId="7" fillId="0" borderId="12" xfId="2" applyBorder="1" applyAlignment="1" applyProtection="1">
      <alignment horizontal="center" vertical="center" wrapText="1"/>
    </xf>
    <xf numFmtId="0" fontId="16" fillId="0" borderId="0" xfId="0" applyFont="1" applyBorder="1" applyAlignment="1" applyProtection="1"/>
    <xf numFmtId="10" fontId="14" fillId="0" borderId="14" xfId="0" applyNumberFormat="1" applyFont="1" applyBorder="1" applyAlignment="1" applyProtection="1">
      <alignment horizontal="center" vertical="center" wrapText="1"/>
    </xf>
    <xf numFmtId="165" fontId="7" fillId="0" borderId="14" xfId="2" applyBorder="1" applyAlignment="1" applyProtection="1">
      <alignment horizontal="center" vertical="center" wrapText="1"/>
    </xf>
    <xf numFmtId="0" fontId="19" fillId="0" borderId="9" xfId="0" applyFont="1" applyBorder="1" applyAlignment="1" applyProtection="1"/>
    <xf numFmtId="0" fontId="23" fillId="0" borderId="19" xfId="0" applyFont="1" applyBorder="1" applyAlignment="1" applyProtection="1">
      <alignment horizontal="center" vertical="center" wrapText="1"/>
    </xf>
    <xf numFmtId="0" fontId="16" fillId="0" borderId="19" xfId="0" applyFont="1" applyBorder="1" applyAlignment="1" applyProtection="1">
      <alignment horizontal="center" vertical="center" wrapText="1"/>
    </xf>
    <xf numFmtId="0" fontId="16" fillId="0" borderId="10" xfId="0" applyFont="1" applyBorder="1" applyAlignment="1" applyProtection="1">
      <alignment horizontal="center" vertical="center" wrapText="1"/>
    </xf>
    <xf numFmtId="0" fontId="19" fillId="0" borderId="20" xfId="0" applyFont="1" applyBorder="1" applyAlignment="1" applyProtection="1"/>
    <xf numFmtId="0" fontId="23" fillId="0" borderId="0" xfId="0" applyFont="1" applyBorder="1" applyAlignment="1" applyProtection="1">
      <alignment horizontal="center" vertical="center" wrapText="1"/>
    </xf>
    <xf numFmtId="0" fontId="16" fillId="0" borderId="0" xfId="0" applyFont="1" applyBorder="1" applyAlignment="1" applyProtection="1">
      <alignment horizontal="center" vertical="center" wrapText="1"/>
    </xf>
    <xf numFmtId="0" fontId="16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/>
    <xf numFmtId="0" fontId="16" fillId="0" borderId="1" xfId="0" applyFont="1" applyBorder="1" applyAlignment="1" applyProtection="1"/>
    <xf numFmtId="0" fontId="16" fillId="0" borderId="23" xfId="0" applyFont="1" applyBorder="1" applyAlignment="1" applyProtection="1"/>
    <xf numFmtId="0" fontId="18" fillId="7" borderId="2" xfId="0" applyFont="1" applyFill="1" applyBorder="1" applyAlignment="1" applyProtection="1">
      <alignment horizontal="center" vertical="center" wrapText="1"/>
    </xf>
    <xf numFmtId="0" fontId="18" fillId="0" borderId="2" xfId="0" applyFont="1" applyBorder="1" applyAlignment="1" applyProtection="1">
      <alignment vertical="center" wrapText="1"/>
    </xf>
    <xf numFmtId="0" fontId="14" fillId="0" borderId="2" xfId="0" applyFont="1" applyBorder="1" applyAlignment="1" applyProtection="1">
      <alignment vertical="center" wrapText="1"/>
    </xf>
    <xf numFmtId="165" fontId="7" fillId="0" borderId="2" xfId="2" applyBorder="1" applyAlignment="1" applyProtection="1">
      <alignment vertical="center" wrapText="1"/>
    </xf>
    <xf numFmtId="0" fontId="14" fillId="6" borderId="0" xfId="0" applyFont="1" applyFill="1" applyBorder="1" applyAlignment="1" applyProtection="1"/>
    <xf numFmtId="0" fontId="16" fillId="0" borderId="2" xfId="0" applyFont="1" applyBorder="1" applyAlignment="1" applyProtection="1">
      <alignment horizontal="left" vertical="center" wrapText="1" indent="15"/>
    </xf>
    <xf numFmtId="9" fontId="23" fillId="0" borderId="2" xfId="0" applyNumberFormat="1" applyFont="1" applyBorder="1" applyAlignment="1" applyProtection="1">
      <alignment horizontal="center" vertical="center" wrapText="1"/>
    </xf>
    <xf numFmtId="0" fontId="21" fillId="0" borderId="2" xfId="0" applyFont="1" applyBorder="1" applyAlignment="1" applyProtection="1">
      <alignment vertical="center" wrapText="1"/>
    </xf>
    <xf numFmtId="0" fontId="16" fillId="0" borderId="19" xfId="0" applyFont="1" applyBorder="1" applyAlignment="1" applyProtection="1"/>
    <xf numFmtId="0" fontId="16" fillId="0" borderId="10" xfId="0" applyFont="1" applyBorder="1" applyAlignment="1" applyProtection="1"/>
    <xf numFmtId="0" fontId="19" fillId="0" borderId="20" xfId="0" applyFont="1" applyBorder="1" applyAlignment="1" applyProtection="1">
      <alignment horizontal="justify" vertical="top" wrapText="1"/>
    </xf>
    <xf numFmtId="0" fontId="19" fillId="0" borderId="0" xfId="0" applyFont="1" applyBorder="1" applyAlignment="1" applyProtection="1">
      <alignment horizontal="justify" vertical="top" wrapText="1"/>
    </xf>
    <xf numFmtId="0" fontId="19" fillId="0" borderId="21" xfId="0" applyFont="1" applyBorder="1" applyAlignment="1" applyProtection="1">
      <alignment horizontal="justify" vertical="top" wrapText="1"/>
    </xf>
    <xf numFmtId="180" fontId="14" fillId="0" borderId="0" xfId="0" applyNumberFormat="1" applyFont="1" applyBorder="1" applyAlignment="1" applyProtection="1"/>
    <xf numFmtId="0" fontId="10" fillId="0" borderId="2" xfId="0" applyFont="1" applyBorder="1" applyAlignment="1" applyProtection="1">
      <alignment vertical="center"/>
    </xf>
    <xf numFmtId="181" fontId="14" fillId="0" borderId="2" xfId="0" applyNumberFormat="1" applyFont="1" applyBorder="1" applyAlignment="1" applyProtection="1">
      <alignment horizontal="center" vertical="center" wrapText="1"/>
    </xf>
    <xf numFmtId="165" fontId="7" fillId="0" borderId="2" xfId="2" applyBorder="1" applyProtection="1"/>
    <xf numFmtId="10" fontId="14" fillId="6" borderId="12" xfId="0" applyNumberFormat="1" applyFont="1" applyFill="1" applyBorder="1" applyAlignment="1" applyProtection="1">
      <alignment horizontal="center" vertical="center" wrapText="1"/>
    </xf>
    <xf numFmtId="10" fontId="14" fillId="6" borderId="14" xfId="0" applyNumberFormat="1" applyFont="1" applyFill="1" applyBorder="1" applyAlignment="1" applyProtection="1">
      <alignment horizontal="center" vertical="center" wrapText="1"/>
    </xf>
    <xf numFmtId="0" fontId="14" fillId="6" borderId="12" xfId="0" applyFont="1" applyFill="1" applyBorder="1" applyAlignment="1" applyProtection="1">
      <alignment horizontal="center" vertical="center" wrapText="1"/>
    </xf>
    <xf numFmtId="0" fontId="14" fillId="6" borderId="14" xfId="0" applyFont="1" applyFill="1" applyBorder="1" applyAlignment="1" applyProtection="1">
      <alignment horizontal="center" vertical="center" wrapText="1"/>
    </xf>
    <xf numFmtId="164" fontId="14" fillId="6" borderId="12" xfId="0" applyNumberFormat="1" applyFont="1" applyFill="1" applyBorder="1" applyAlignment="1" applyProtection="1">
      <alignment horizontal="center" vertical="center" wrapText="1"/>
    </xf>
    <xf numFmtId="164" fontId="14" fillId="6" borderId="14" xfId="0" applyNumberFormat="1" applyFont="1" applyFill="1" applyBorder="1" applyAlignment="1" applyProtection="1">
      <alignment horizontal="center" vertical="center" wrapText="1"/>
    </xf>
    <xf numFmtId="0" fontId="18" fillId="0" borderId="12" xfId="0" applyFont="1" applyBorder="1" applyAlignment="1" applyProtection="1">
      <alignment vertical="center" wrapText="1"/>
    </xf>
    <xf numFmtId="0" fontId="14" fillId="0" borderId="12" xfId="0" applyFont="1" applyBorder="1" applyAlignment="1" applyProtection="1">
      <alignment horizontal="center" vertical="center" wrapText="1"/>
    </xf>
    <xf numFmtId="0" fontId="14" fillId="0" borderId="14" xfId="0" applyFont="1" applyBorder="1" applyAlignment="1" applyProtection="1">
      <alignment horizontal="center" vertical="center" wrapText="1"/>
    </xf>
    <xf numFmtId="182" fontId="14" fillId="0" borderId="0" xfId="0" applyNumberFormat="1" applyFont="1" applyBorder="1" applyAlignment="1" applyProtection="1"/>
    <xf numFmtId="165" fontId="14" fillId="6" borderId="0" xfId="0" applyNumberFormat="1" applyFont="1" applyFill="1" applyBorder="1" applyAlignment="1" applyProtection="1"/>
    <xf numFmtId="164" fontId="14" fillId="6" borderId="0" xfId="0" applyNumberFormat="1" applyFont="1" applyFill="1" applyBorder="1" applyAlignment="1" applyProtection="1"/>
    <xf numFmtId="10" fontId="18" fillId="7" borderId="2" xfId="0" applyNumberFormat="1" applyFont="1" applyFill="1" applyBorder="1" applyAlignment="1" applyProtection="1">
      <alignment horizontal="center" vertical="center" wrapText="1"/>
    </xf>
    <xf numFmtId="0" fontId="14" fillId="0" borderId="2" xfId="0" applyFont="1" applyBorder="1" applyAlignment="1" applyProtection="1">
      <alignment horizontal="left" vertical="center" wrapText="1" indent="1"/>
    </xf>
    <xf numFmtId="165" fontId="25" fillId="0" borderId="12" xfId="2" applyFont="1" applyBorder="1" applyAlignment="1" applyProtection="1">
      <alignment vertical="center" wrapText="1"/>
    </xf>
    <xf numFmtId="165" fontId="7" fillId="0" borderId="12" xfId="2" applyBorder="1" applyAlignment="1" applyProtection="1">
      <alignment vertical="center" wrapText="1"/>
    </xf>
    <xf numFmtId="165" fontId="7" fillId="0" borderId="14" xfId="2" applyBorder="1" applyAlignment="1" applyProtection="1">
      <alignment vertical="center" wrapText="1"/>
    </xf>
    <xf numFmtId="164" fontId="14" fillId="6" borderId="0" xfId="0" applyNumberFormat="1" applyFont="1" applyFill="1" applyBorder="1" applyAlignment="1" applyProtection="1">
      <alignment horizontal="center"/>
    </xf>
    <xf numFmtId="165" fontId="25" fillId="0" borderId="2" xfId="2" applyFont="1" applyBorder="1" applyAlignment="1" applyProtection="1">
      <alignment vertical="center" wrapText="1"/>
    </xf>
    <xf numFmtId="169" fontId="52" fillId="6" borderId="0" xfId="1" applyFill="1" applyBorder="1" applyAlignment="1" applyProtection="1">
      <alignment horizontal="center"/>
    </xf>
    <xf numFmtId="0" fontId="18" fillId="0" borderId="27" xfId="0" applyFont="1" applyBorder="1" applyAlignment="1" applyProtection="1">
      <alignment horizontal="center" vertical="center" wrapText="1"/>
    </xf>
    <xf numFmtId="165" fontId="25" fillId="8" borderId="2" xfId="2" applyFont="1" applyFill="1" applyBorder="1" applyAlignment="1" applyProtection="1">
      <alignment vertical="center" wrapText="1"/>
    </xf>
    <xf numFmtId="0" fontId="14" fillId="0" borderId="0" xfId="0" applyFont="1" applyBorder="1" applyAlignment="1" applyProtection="1">
      <alignment horizontal="center"/>
    </xf>
    <xf numFmtId="178" fontId="14" fillId="0" borderId="0" xfId="0" applyNumberFormat="1" applyFont="1" applyBorder="1" applyAlignment="1" applyProtection="1"/>
    <xf numFmtId="0" fontId="26" fillId="0" borderId="0" xfId="0" applyFont="1"/>
    <xf numFmtId="0" fontId="26" fillId="0" borderId="0" xfId="0" applyFont="1" applyAlignment="1">
      <alignment horizontal="center" vertical="center"/>
    </xf>
    <xf numFmtId="0" fontId="28" fillId="7" borderId="2" xfId="0" applyFont="1" applyFill="1" applyBorder="1" applyAlignment="1">
      <alignment horizontal="center" vertical="center" wrapText="1"/>
    </xf>
    <xf numFmtId="0" fontId="28" fillId="7" borderId="24" xfId="0" applyFont="1" applyFill="1" applyBorder="1" applyAlignment="1">
      <alignment horizontal="center" vertical="center" wrapText="1"/>
    </xf>
    <xf numFmtId="0" fontId="29" fillId="7" borderId="2" xfId="0" applyFont="1" applyFill="1" applyBorder="1" applyAlignment="1">
      <alignment horizontal="center" vertical="center" wrapText="1"/>
    </xf>
    <xf numFmtId="0" fontId="28" fillId="7" borderId="6" xfId="0" applyFont="1" applyFill="1" applyBorder="1" applyAlignment="1">
      <alignment horizontal="center" vertical="center" wrapText="1"/>
    </xf>
    <xf numFmtId="0" fontId="30" fillId="6" borderId="2" xfId="0" applyFont="1" applyFill="1" applyBorder="1" applyAlignment="1">
      <alignment horizontal="center" vertical="center" wrapText="1"/>
    </xf>
    <xf numFmtId="0" fontId="28" fillId="6" borderId="27" xfId="0" applyFont="1" applyFill="1" applyBorder="1" applyAlignment="1">
      <alignment horizontal="center" vertical="center" wrapText="1"/>
    </xf>
    <xf numFmtId="0" fontId="28" fillId="6" borderId="2" xfId="0" applyFont="1" applyFill="1" applyBorder="1" applyAlignment="1">
      <alignment horizontal="center" vertical="top" wrapText="1"/>
    </xf>
    <xf numFmtId="177" fontId="28" fillId="0" borderId="2" xfId="0" applyNumberFormat="1" applyFont="1" applyBorder="1" applyAlignment="1">
      <alignment horizontal="center" vertical="center" wrapText="1"/>
    </xf>
    <xf numFmtId="177" fontId="28" fillId="6" borderId="2" xfId="0" applyNumberFormat="1" applyFont="1" applyFill="1" applyBorder="1" applyAlignment="1">
      <alignment horizontal="center" vertical="center" wrapText="1"/>
    </xf>
    <xf numFmtId="177" fontId="28" fillId="6" borderId="6" xfId="0" applyNumberFormat="1" applyFont="1" applyFill="1" applyBorder="1" applyAlignment="1">
      <alignment horizontal="center" vertical="center" wrapText="1"/>
    </xf>
    <xf numFmtId="0" fontId="28" fillId="6" borderId="2" xfId="0" applyFont="1" applyFill="1" applyBorder="1" applyAlignment="1">
      <alignment horizontal="center" vertical="center" wrapText="1"/>
    </xf>
    <xf numFmtId="0" fontId="26" fillId="6" borderId="0" xfId="0" applyFont="1" applyFill="1"/>
    <xf numFmtId="0" fontId="31" fillId="6" borderId="2" xfId="0" applyFont="1" applyFill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 wrapText="1"/>
    </xf>
    <xf numFmtId="177" fontId="28" fillId="0" borderId="6" xfId="0" applyNumberFormat="1" applyFont="1" applyBorder="1" applyAlignment="1">
      <alignment horizontal="center" vertical="center" wrapText="1"/>
    </xf>
    <xf numFmtId="177" fontId="0" fillId="9" borderId="2" xfId="0" applyNumberFormat="1" applyFont="1" applyFill="1" applyBorder="1" applyAlignment="1">
      <alignment horizontal="center" vertical="center" wrapText="1"/>
    </xf>
    <xf numFmtId="165" fontId="7" fillId="0" borderId="2" xfId="2" applyBorder="1" applyAlignment="1" applyProtection="1"/>
    <xf numFmtId="0" fontId="0" fillId="0" borderId="2" xfId="0" applyBorder="1" applyProtection="1"/>
    <xf numFmtId="0" fontId="0" fillId="0" borderId="0" xfId="0" applyAlignment="1">
      <alignment vertical="center"/>
    </xf>
    <xf numFmtId="0" fontId="33" fillId="7" borderId="6" xfId="18" applyFont="1" applyFill="1" applyBorder="1" applyAlignment="1">
      <alignment horizontal="left" vertical="center"/>
    </xf>
    <xf numFmtId="0" fontId="33" fillId="7" borderId="28" xfId="18" applyFont="1" applyFill="1" applyBorder="1" applyAlignment="1">
      <alignment horizontal="left" vertical="center"/>
    </xf>
    <xf numFmtId="0" fontId="33" fillId="10" borderId="28" xfId="18" applyFont="1" applyFill="1" applyBorder="1" applyAlignment="1">
      <alignment horizontal="left" vertical="center"/>
    </xf>
    <xf numFmtId="0" fontId="33" fillId="7" borderId="29" xfId="18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35" fillId="9" borderId="2" xfId="0" applyFont="1" applyFill="1" applyBorder="1" applyAlignment="1">
      <alignment horizontal="center" vertical="center"/>
    </xf>
    <xf numFmtId="0" fontId="35" fillId="9" borderId="2" xfId="0" applyFont="1" applyFill="1" applyBorder="1" applyAlignment="1">
      <alignment horizontal="center" vertical="center" wrapText="1"/>
    </xf>
    <xf numFmtId="0" fontId="38" fillId="0" borderId="0" xfId="0" applyFont="1"/>
    <xf numFmtId="0" fontId="35" fillId="10" borderId="2" xfId="0" applyFont="1" applyFill="1" applyBorder="1" applyAlignment="1">
      <alignment horizontal="center" vertical="center"/>
    </xf>
    <xf numFmtId="0" fontId="39" fillId="6" borderId="2" xfId="0" applyFont="1" applyFill="1" applyBorder="1" applyAlignment="1">
      <alignment horizontal="center" vertical="center" wrapText="1"/>
    </xf>
    <xf numFmtId="0" fontId="39" fillId="6" borderId="6" xfId="0" applyFont="1" applyFill="1" applyBorder="1" applyAlignment="1">
      <alignment horizontal="center" vertical="center" wrapText="1"/>
    </xf>
    <xf numFmtId="183" fontId="40" fillId="0" borderId="2" xfId="0" applyNumberFormat="1" applyFont="1" applyBorder="1" applyAlignment="1">
      <alignment horizontal="center" vertical="center" wrapText="1"/>
    </xf>
    <xf numFmtId="183" fontId="39" fillId="6" borderId="2" xfId="0" applyNumberFormat="1" applyFont="1" applyFill="1" applyBorder="1" applyAlignment="1">
      <alignment horizontal="center" vertical="center" wrapText="1"/>
    </xf>
    <xf numFmtId="184" fontId="39" fillId="6" borderId="2" xfId="0" applyNumberFormat="1" applyFont="1" applyFill="1" applyBorder="1" applyAlignment="1">
      <alignment horizontal="center" vertical="center"/>
    </xf>
    <xf numFmtId="0" fontId="40" fillId="6" borderId="2" xfId="0" applyFont="1" applyFill="1" applyBorder="1" applyAlignment="1">
      <alignment horizontal="center" vertical="center" wrapText="1"/>
    </xf>
    <xf numFmtId="0" fontId="40" fillId="6" borderId="6" xfId="0" applyFont="1" applyFill="1" applyBorder="1" applyAlignment="1">
      <alignment horizontal="center" vertical="center" wrapText="1"/>
    </xf>
    <xf numFmtId="0" fontId="41" fillId="6" borderId="6" xfId="0" applyFont="1" applyFill="1" applyBorder="1" applyAlignment="1">
      <alignment horizontal="center" vertical="center" wrapText="1"/>
    </xf>
    <xf numFmtId="183" fontId="40" fillId="6" borderId="2" xfId="0" applyNumberFormat="1" applyFont="1" applyFill="1" applyBorder="1" applyAlignment="1">
      <alignment horizontal="center" vertical="center" wrapText="1"/>
    </xf>
    <xf numFmtId="184" fontId="41" fillId="6" borderId="2" xfId="0" applyNumberFormat="1" applyFont="1" applyFill="1" applyBorder="1" applyAlignment="1">
      <alignment horizontal="center" vertical="center"/>
    </xf>
    <xf numFmtId="0" fontId="41" fillId="6" borderId="2" xfId="0" applyFont="1" applyFill="1" applyBorder="1" applyAlignment="1">
      <alignment horizontal="center" vertical="center" wrapText="1"/>
    </xf>
    <xf numFmtId="0" fontId="40" fillId="0" borderId="2" xfId="0" applyFont="1" applyBorder="1" applyAlignment="1">
      <alignment horizontal="center" vertical="center" wrapText="1"/>
    </xf>
    <xf numFmtId="0" fontId="40" fillId="0" borderId="6" xfId="0" applyFont="1" applyBorder="1" applyAlignment="1">
      <alignment horizontal="center" vertical="center" wrapText="1"/>
    </xf>
    <xf numFmtId="0" fontId="41" fillId="0" borderId="6" xfId="0" applyFont="1" applyBorder="1" applyAlignment="1">
      <alignment horizontal="center" vertical="center" wrapText="1"/>
    </xf>
    <xf numFmtId="184" fontId="41" fillId="0" borderId="2" xfId="0" applyNumberFormat="1" applyFont="1" applyBorder="1" applyAlignment="1">
      <alignment horizontal="center" vertical="center"/>
    </xf>
    <xf numFmtId="0" fontId="0" fillId="6" borderId="0" xfId="0" applyFill="1" applyAlignment="1">
      <alignment vertical="center"/>
    </xf>
    <xf numFmtId="183" fontId="39" fillId="0" borderId="2" xfId="0" applyNumberFormat="1" applyFont="1" applyBorder="1" applyAlignment="1">
      <alignment horizontal="center" vertical="center" wrapText="1"/>
    </xf>
    <xf numFmtId="0" fontId="40" fillId="0" borderId="3" xfId="0" applyFont="1" applyBorder="1" applyAlignment="1">
      <alignment horizontal="center" vertical="center" wrapText="1"/>
    </xf>
    <xf numFmtId="0" fontId="42" fillId="9" borderId="6" xfId="0" applyFont="1" applyFill="1" applyBorder="1" applyAlignment="1">
      <alignment horizontal="right" vertical="center"/>
    </xf>
    <xf numFmtId="0" fontId="42" fillId="9" borderId="28" xfId="0" applyFont="1" applyFill="1" applyBorder="1" applyAlignment="1">
      <alignment horizontal="right" vertical="center"/>
    </xf>
    <xf numFmtId="184" fontId="43" fillId="9" borderId="2" xfId="0" applyNumberFormat="1" applyFont="1" applyFill="1" applyBorder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41" fillId="0" borderId="2" xfId="0" applyFont="1" applyBorder="1" applyAlignment="1">
      <alignment horizontal="center" vertical="center" wrapText="1"/>
    </xf>
    <xf numFmtId="0" fontId="33" fillId="9" borderId="6" xfId="0" applyFont="1" applyFill="1" applyBorder="1" applyAlignment="1">
      <alignment horizontal="right" vertical="center"/>
    </xf>
    <xf numFmtId="0" fontId="33" fillId="9" borderId="28" xfId="0" applyFont="1" applyFill="1" applyBorder="1" applyAlignment="1">
      <alignment horizontal="right" vertical="center"/>
    </xf>
    <xf numFmtId="184" fontId="45" fillId="9" borderId="2" xfId="0" applyNumberFormat="1" applyFont="1" applyFill="1" applyBorder="1" applyAlignment="1">
      <alignment horizontal="center" vertical="center"/>
    </xf>
    <xf numFmtId="0" fontId="45" fillId="9" borderId="28" xfId="0" applyFont="1" applyFill="1" applyBorder="1" applyAlignment="1">
      <alignment horizontal="right" vertical="center"/>
    </xf>
    <xf numFmtId="0" fontId="46" fillId="9" borderId="6" xfId="0" applyFont="1" applyFill="1" applyBorder="1" applyAlignment="1">
      <alignment vertical="center"/>
    </xf>
    <xf numFmtId="0" fontId="46" fillId="9" borderId="28" xfId="0" applyFont="1" applyFill="1" applyBorder="1" applyAlignment="1">
      <alignment vertical="center"/>
    </xf>
    <xf numFmtId="0" fontId="47" fillId="9" borderId="28" xfId="0" applyFont="1" applyFill="1" applyBorder="1" applyAlignment="1">
      <alignment vertical="center"/>
    </xf>
    <xf numFmtId="10" fontId="21" fillId="0" borderId="2" xfId="0" applyNumberFormat="1" applyFont="1" applyBorder="1" applyAlignment="1" applyProtection="1">
      <alignment horizontal="center" vertical="center"/>
    </xf>
    <xf numFmtId="0" fontId="14" fillId="11" borderId="12" xfId="0" applyFont="1" applyFill="1" applyBorder="1" applyAlignment="1" applyProtection="1">
      <alignment horizontal="center" vertical="center" wrapText="1"/>
    </xf>
    <xf numFmtId="165" fontId="7" fillId="12" borderId="2" xfId="2" applyFill="1" applyBorder="1" applyAlignment="1" applyProtection="1">
      <alignment horizontal="center" vertical="center" wrapText="1"/>
    </xf>
    <xf numFmtId="0" fontId="14" fillId="0" borderId="2" xfId="0" applyFont="1" applyBorder="1" applyAlignment="1" applyProtection="1">
      <alignment vertical="center"/>
    </xf>
    <xf numFmtId="0" fontId="18" fillId="13" borderId="2" xfId="0" applyFont="1" applyFill="1" applyBorder="1" applyAlignment="1" applyProtection="1">
      <alignment horizontal="center" vertical="center" wrapText="1"/>
    </xf>
    <xf numFmtId="0" fontId="18" fillId="14" borderId="2" xfId="0" applyFont="1" applyFill="1" applyBorder="1" applyAlignment="1" applyProtection="1">
      <alignment horizontal="center" vertical="center" wrapText="1"/>
    </xf>
    <xf numFmtId="0" fontId="18" fillId="15" borderId="2" xfId="0" applyFont="1" applyFill="1" applyBorder="1" applyAlignment="1" applyProtection="1">
      <alignment horizontal="center" vertical="center" wrapText="1"/>
    </xf>
    <xf numFmtId="10" fontId="14" fillId="13" borderId="2" xfId="0" applyNumberFormat="1" applyFont="1" applyFill="1" applyBorder="1" applyAlignment="1" applyProtection="1">
      <alignment horizontal="center" vertical="center" wrapText="1"/>
    </xf>
    <xf numFmtId="10" fontId="14" fillId="14" borderId="2" xfId="0" applyNumberFormat="1" applyFont="1" applyFill="1" applyBorder="1" applyAlignment="1" applyProtection="1">
      <alignment horizontal="center" vertical="center" wrapText="1"/>
    </xf>
    <xf numFmtId="10" fontId="14" fillId="15" borderId="2" xfId="0" applyNumberFormat="1" applyFont="1" applyFill="1" applyBorder="1" applyAlignment="1" applyProtection="1">
      <alignment horizontal="center" vertical="center" wrapText="1"/>
    </xf>
    <xf numFmtId="185" fontId="14" fillId="13" borderId="2" xfId="0" applyNumberFormat="1" applyFont="1" applyFill="1" applyBorder="1" applyAlignment="1" applyProtection="1">
      <alignment horizontal="center" vertical="center" wrapText="1"/>
    </xf>
    <xf numFmtId="181" fontId="14" fillId="13" borderId="2" xfId="0" applyNumberFormat="1" applyFont="1" applyFill="1" applyBorder="1" applyAlignment="1" applyProtection="1">
      <alignment horizontal="center" vertical="center" wrapText="1"/>
    </xf>
    <xf numFmtId="185" fontId="14" fillId="13" borderId="27" xfId="0" applyNumberFormat="1" applyFont="1" applyFill="1" applyBorder="1" applyAlignment="1" applyProtection="1">
      <alignment horizontal="center" vertical="center" wrapText="1"/>
    </xf>
    <xf numFmtId="10" fontId="14" fillId="13" borderId="27" xfId="0" applyNumberFormat="1" applyFont="1" applyFill="1" applyBorder="1" applyAlignment="1" applyProtection="1">
      <alignment horizontal="center" vertical="center" wrapText="1"/>
    </xf>
    <xf numFmtId="10" fontId="14" fillId="0" borderId="27" xfId="0" applyNumberFormat="1" applyFont="1" applyBorder="1" applyAlignment="1" applyProtection="1">
      <alignment horizontal="center" vertical="center" wrapText="1"/>
    </xf>
    <xf numFmtId="0" fontId="19" fillId="13" borderId="2" xfId="0" applyFont="1" applyFill="1" applyBorder="1" applyAlignment="1" applyProtection="1">
      <alignment vertical="top" wrapText="1"/>
    </xf>
    <xf numFmtId="0" fontId="19" fillId="0" borderId="2" xfId="0" applyFont="1" applyBorder="1" applyAlignment="1" applyProtection="1">
      <alignment vertical="top" wrapText="1"/>
    </xf>
    <xf numFmtId="10" fontId="19" fillId="0" borderId="2" xfId="0" applyNumberFormat="1" applyFont="1" applyBorder="1" applyAlignment="1" applyProtection="1">
      <alignment vertical="top" wrapText="1"/>
    </xf>
    <xf numFmtId="0" fontId="18" fillId="13" borderId="30" xfId="0" applyFont="1" applyFill="1" applyBorder="1" applyAlignment="1" applyProtection="1">
      <alignment vertical="center" wrapText="1"/>
    </xf>
    <xf numFmtId="0" fontId="18" fillId="7" borderId="30" xfId="0" applyFont="1" applyFill="1" applyBorder="1" applyAlignment="1" applyProtection="1">
      <alignment vertical="center" wrapText="1"/>
    </xf>
    <xf numFmtId="0" fontId="18" fillId="13" borderId="2" xfId="0" applyFont="1" applyFill="1" applyBorder="1" applyAlignment="1" applyProtection="1">
      <alignment vertical="center" wrapText="1"/>
    </xf>
    <xf numFmtId="0" fontId="18" fillId="7" borderId="2" xfId="0" applyFont="1" applyFill="1" applyBorder="1" applyAlignment="1" applyProtection="1">
      <alignment vertical="center" wrapText="1"/>
    </xf>
    <xf numFmtId="10" fontId="14" fillId="6" borderId="2" xfId="0" applyNumberFormat="1" applyFont="1" applyFill="1" applyBorder="1" applyAlignment="1" applyProtection="1">
      <alignment horizontal="center" vertical="center" wrapText="1"/>
    </xf>
    <xf numFmtId="0" fontId="14" fillId="6" borderId="2" xfId="0" applyFont="1" applyFill="1" applyBorder="1" applyAlignment="1" applyProtection="1">
      <alignment horizontal="center" vertical="center" wrapText="1"/>
    </xf>
    <xf numFmtId="0" fontId="49" fillId="6" borderId="2" xfId="0" applyFont="1" applyFill="1" applyBorder="1" applyAlignment="1" applyProtection="1">
      <alignment horizontal="center" vertical="center" wrapText="1"/>
    </xf>
    <xf numFmtId="0" fontId="14" fillId="16" borderId="2" xfId="0" applyFont="1" applyFill="1" applyBorder="1" applyAlignment="1" applyProtection="1">
      <alignment horizontal="center" vertical="center" wrapText="1"/>
    </xf>
    <xf numFmtId="10" fontId="14" fillId="16" borderId="2" xfId="0" applyNumberFormat="1" applyFont="1" applyFill="1" applyBorder="1" applyAlignment="1" applyProtection="1">
      <alignment horizontal="center" vertical="center" wrapText="1"/>
    </xf>
    <xf numFmtId="0" fontId="14" fillId="13" borderId="2" xfId="0" applyFont="1" applyFill="1" applyBorder="1" applyAlignment="1" applyProtection="1">
      <alignment horizontal="center" vertical="center" wrapText="1"/>
    </xf>
    <xf numFmtId="10" fontId="18" fillId="13" borderId="2" xfId="0" applyNumberFormat="1" applyFont="1" applyFill="1" applyBorder="1" applyAlignment="1" applyProtection="1">
      <alignment horizontal="center" vertical="center" wrapText="1"/>
    </xf>
    <xf numFmtId="4" fontId="13" fillId="6" borderId="0" xfId="0" applyNumberFormat="1" applyFont="1" applyFill="1" applyBorder="1" applyAlignment="1">
      <alignment horizontal="center" vertical="center"/>
    </xf>
    <xf numFmtId="0" fontId="0" fillId="5" borderId="2" xfId="0" applyFont="1" applyFill="1" applyBorder="1" applyAlignment="1">
      <alignment horizontal="center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170" fontId="12" fillId="5" borderId="2" xfId="0" applyNumberFormat="1" applyFont="1" applyFill="1" applyBorder="1" applyAlignment="1">
      <alignment horizontal="center"/>
    </xf>
    <xf numFmtId="177" fontId="2" fillId="6" borderId="0" xfId="0" applyNumberFormat="1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14" fillId="0" borderId="25" xfId="0" applyFont="1" applyBorder="1" applyAlignment="1" applyProtection="1">
      <alignment horizontal="left" vertical="center" wrapText="1"/>
    </xf>
    <xf numFmtId="0" fontId="18" fillId="0" borderId="26" xfId="0" applyFont="1" applyBorder="1" applyAlignment="1" applyProtection="1">
      <alignment horizontal="center" vertical="center" wrapText="1"/>
    </xf>
    <xf numFmtId="0" fontId="18" fillId="0" borderId="2" xfId="0" applyFont="1" applyBorder="1" applyAlignment="1" applyProtection="1">
      <alignment horizontal="center" vertical="center" wrapText="1"/>
    </xf>
    <xf numFmtId="0" fontId="18" fillId="0" borderId="6" xfId="0" applyFont="1" applyBorder="1" applyAlignment="1" applyProtection="1">
      <alignment horizontal="center" vertical="center" wrapText="1"/>
    </xf>
    <xf numFmtId="0" fontId="14" fillId="0" borderId="16" xfId="0" applyFont="1" applyBorder="1" applyAlignment="1" applyProtection="1">
      <alignment horizontal="left" vertical="center" wrapText="1"/>
    </xf>
    <xf numFmtId="0" fontId="18" fillId="0" borderId="16" xfId="0" applyFont="1" applyBorder="1" applyAlignment="1" applyProtection="1">
      <alignment horizontal="center" vertical="center" wrapText="1"/>
    </xf>
    <xf numFmtId="0" fontId="19" fillId="0" borderId="2" xfId="0" applyFont="1" applyBorder="1" applyAlignment="1" applyProtection="1">
      <alignment horizontal="left" vertical="center" wrapText="1"/>
    </xf>
    <xf numFmtId="0" fontId="19" fillId="0" borderId="2" xfId="0" applyFont="1" applyBorder="1" applyAlignment="1" applyProtection="1">
      <alignment horizontal="left"/>
    </xf>
    <xf numFmtId="0" fontId="18" fillId="7" borderId="15" xfId="0" applyFont="1" applyFill="1" applyBorder="1" applyAlignment="1" applyProtection="1">
      <alignment horizontal="center" vertical="center" wrapText="1"/>
    </xf>
    <xf numFmtId="0" fontId="18" fillId="7" borderId="16" xfId="0" applyFont="1" applyFill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18" fillId="7" borderId="2" xfId="0" applyFont="1" applyFill="1" applyBorder="1" applyAlignment="1" applyProtection="1">
      <alignment horizontal="center" vertical="center" wrapText="1"/>
    </xf>
    <xf numFmtId="0" fontId="0" fillId="0" borderId="2" xfId="0" applyBorder="1"/>
    <xf numFmtId="0" fontId="19" fillId="0" borderId="2" xfId="0" applyFont="1" applyBorder="1" applyAlignment="1" applyProtection="1">
      <alignment horizontal="justify" vertical="top" wrapText="1"/>
    </xf>
    <xf numFmtId="0" fontId="14" fillId="0" borderId="2" xfId="0" applyFont="1" applyBorder="1" applyAlignment="1" applyProtection="1">
      <alignment horizontal="left" vertical="center" wrapText="1"/>
    </xf>
    <xf numFmtId="0" fontId="19" fillId="0" borderId="24" xfId="0" applyFont="1" applyBorder="1" applyAlignment="1" applyProtection="1">
      <alignment horizontal="justify" vertical="top" wrapText="1"/>
    </xf>
    <xf numFmtId="0" fontId="18" fillId="0" borderId="2" xfId="0" applyFont="1" applyBorder="1" applyAlignment="1" applyProtection="1">
      <alignment horizontal="left" vertical="center" wrapText="1"/>
    </xf>
    <xf numFmtId="0" fontId="14" fillId="0" borderId="2" xfId="0" applyFont="1" applyBorder="1" applyAlignment="1" applyProtection="1">
      <alignment horizontal="center" vertical="center" wrapText="1"/>
    </xf>
    <xf numFmtId="0" fontId="18" fillId="7" borderId="2" xfId="0" applyFont="1" applyFill="1" applyBorder="1" applyAlignment="1" applyProtection="1">
      <alignment horizontal="center" vertical="center"/>
    </xf>
    <xf numFmtId="0" fontId="14" fillId="6" borderId="2" xfId="0" applyFont="1" applyFill="1" applyBorder="1" applyAlignment="1" applyProtection="1">
      <alignment horizontal="left" vertical="center" wrapText="1"/>
    </xf>
    <xf numFmtId="0" fontId="16" fillId="0" borderId="2" xfId="0" applyFont="1" applyBorder="1" applyAlignment="1" applyProtection="1">
      <alignment horizontal="center"/>
    </xf>
    <xf numFmtId="164" fontId="16" fillId="0" borderId="2" xfId="0" applyNumberFormat="1" applyFont="1" applyBorder="1" applyAlignment="1" applyProtection="1">
      <alignment horizontal="center"/>
    </xf>
    <xf numFmtId="0" fontId="16" fillId="0" borderId="2" xfId="0" applyFont="1" applyBorder="1" applyAlignment="1" applyProtection="1">
      <alignment horizontal="center" vertical="center" wrapText="1"/>
    </xf>
    <xf numFmtId="178" fontId="16" fillId="0" borderId="2" xfId="0" applyNumberFormat="1" applyFont="1" applyBorder="1" applyAlignment="1" applyProtection="1">
      <alignment horizontal="center"/>
    </xf>
    <xf numFmtId="0" fontId="15" fillId="6" borderId="1" xfId="0" applyFont="1" applyFill="1" applyBorder="1" applyAlignment="1" applyProtection="1">
      <alignment horizontal="center"/>
    </xf>
    <xf numFmtId="0" fontId="16" fillId="6" borderId="2" xfId="0" applyFont="1" applyFill="1" applyBorder="1" applyAlignment="1" applyProtection="1">
      <alignment vertical="center" wrapText="1"/>
    </xf>
    <xf numFmtId="0" fontId="17" fillId="0" borderId="2" xfId="0" applyFont="1" applyBorder="1" applyAlignment="1" applyProtection="1">
      <alignment horizontal="center"/>
    </xf>
    <xf numFmtId="0" fontId="29" fillId="0" borderId="2" xfId="0" applyFont="1" applyBorder="1" applyAlignment="1">
      <alignment horizontal="center" vertical="center" wrapText="1"/>
    </xf>
    <xf numFmtId="0" fontId="33" fillId="7" borderId="2" xfId="18" applyFont="1" applyFill="1" applyBorder="1" applyAlignment="1">
      <alignment horizontal="left" vertical="center"/>
    </xf>
    <xf numFmtId="0" fontId="3" fillId="6" borderId="2" xfId="18" applyFont="1" applyFill="1" applyBorder="1" applyAlignment="1">
      <alignment horizontal="left" vertical="top" wrapText="1"/>
    </xf>
    <xf numFmtId="0" fontId="27" fillId="7" borderId="6" xfId="0" applyFont="1" applyFill="1" applyBorder="1" applyAlignment="1">
      <alignment horizontal="center" vertical="center" wrapText="1"/>
    </xf>
    <xf numFmtId="0" fontId="32" fillId="9" borderId="2" xfId="0" applyFont="1" applyFill="1" applyBorder="1" applyAlignment="1">
      <alignment horizontal="center"/>
    </xf>
    <xf numFmtId="0" fontId="29" fillId="0" borderId="2" xfId="0" applyFont="1" applyBorder="1" applyAlignment="1">
      <alignment horizontal="center" vertical="center"/>
    </xf>
    <xf numFmtId="0" fontId="42" fillId="9" borderId="28" xfId="0" applyFont="1" applyFill="1" applyBorder="1" applyAlignment="1">
      <alignment horizontal="center" vertical="center"/>
    </xf>
    <xf numFmtId="0" fontId="43" fillId="9" borderId="2" xfId="0" applyFont="1" applyFill="1" applyBorder="1" applyAlignment="1">
      <alignment horizontal="center" vertical="center"/>
    </xf>
    <xf numFmtId="0" fontId="44" fillId="9" borderId="6" xfId="0" applyFont="1" applyFill="1" applyBorder="1" applyAlignment="1">
      <alignment horizontal="right" vertical="center"/>
    </xf>
    <xf numFmtId="179" fontId="44" fillId="9" borderId="2" xfId="0" applyNumberFormat="1" applyFont="1" applyFill="1" applyBorder="1" applyAlignment="1">
      <alignment horizontal="center" vertical="center"/>
    </xf>
    <xf numFmtId="0" fontId="34" fillId="9" borderId="2" xfId="0" applyFont="1" applyFill="1" applyBorder="1" applyAlignment="1">
      <alignment horizontal="center" vertical="center"/>
    </xf>
    <xf numFmtId="0" fontId="35" fillId="9" borderId="2" xfId="0" applyFont="1" applyFill="1" applyBorder="1" applyAlignment="1">
      <alignment horizontal="center" vertical="center"/>
    </xf>
    <xf numFmtId="0" fontId="36" fillId="9" borderId="2" xfId="0" applyFont="1" applyFill="1" applyBorder="1" applyAlignment="1">
      <alignment horizontal="center" vertical="center"/>
    </xf>
    <xf numFmtId="0" fontId="36" fillId="9" borderId="2" xfId="0" applyFont="1" applyFill="1" applyBorder="1" applyAlignment="1">
      <alignment horizontal="center" vertical="center" wrapText="1"/>
    </xf>
    <xf numFmtId="0" fontId="35" fillId="9" borderId="2" xfId="0" applyFont="1" applyFill="1" applyBorder="1" applyAlignment="1">
      <alignment horizontal="center" vertical="center" wrapText="1"/>
    </xf>
    <xf numFmtId="0" fontId="37" fillId="10" borderId="2" xfId="0" applyFont="1" applyFill="1" applyBorder="1" applyAlignment="1">
      <alignment horizontal="center" vertical="center" wrapText="1"/>
    </xf>
    <xf numFmtId="0" fontId="45" fillId="9" borderId="29" xfId="0" applyFont="1" applyFill="1" applyBorder="1" applyAlignment="1">
      <alignment horizontal="right" vertical="center"/>
    </xf>
    <xf numFmtId="0" fontId="45" fillId="9" borderId="29" xfId="0" applyFont="1" applyFill="1" applyBorder="1" applyAlignment="1">
      <alignment horizontal="center" vertical="center"/>
    </xf>
    <xf numFmtId="0" fontId="45" fillId="9" borderId="2" xfId="0" applyFont="1" applyFill="1" applyBorder="1" applyAlignment="1">
      <alignment horizontal="center" vertical="center"/>
    </xf>
    <xf numFmtId="0" fontId="47" fillId="9" borderId="29" xfId="0" applyFont="1" applyFill="1" applyBorder="1" applyAlignment="1">
      <alignment horizontal="right" vertical="center"/>
    </xf>
    <xf numFmtId="179" fontId="47" fillId="9" borderId="2" xfId="0" applyNumberFormat="1" applyFont="1" applyFill="1" applyBorder="1" applyAlignment="1">
      <alignment horizontal="center" vertical="center"/>
    </xf>
    <xf numFmtId="0" fontId="34" fillId="9" borderId="1" xfId="0" applyFont="1" applyFill="1" applyBorder="1" applyAlignment="1">
      <alignment horizontal="center" vertical="center"/>
    </xf>
    <xf numFmtId="0" fontId="19" fillId="0" borderId="2" xfId="0" applyFont="1" applyBorder="1" applyAlignment="1" applyProtection="1">
      <alignment vertical="center" wrapText="1"/>
    </xf>
    <xf numFmtId="0" fontId="0" fillId="0" borderId="30" xfId="0" applyBorder="1"/>
    <xf numFmtId="0" fontId="19" fillId="0" borderId="27" xfId="0" applyFont="1" applyBorder="1" applyAlignment="1" applyProtection="1">
      <alignment horizontal="left"/>
    </xf>
    <xf numFmtId="0" fontId="4" fillId="0" borderId="29" xfId="0" applyFont="1" applyBorder="1" applyAlignment="1" applyProtection="1">
      <alignment horizontal="left" vertical="center" wrapText="1"/>
    </xf>
    <xf numFmtId="0" fontId="4" fillId="0" borderId="2" xfId="0" applyFont="1" applyBorder="1" applyAlignment="1" applyProtection="1">
      <alignment horizontal="left" vertical="center" wrapText="1"/>
    </xf>
    <xf numFmtId="0" fontId="14" fillId="6" borderId="2" xfId="0" applyFont="1" applyFill="1" applyBorder="1" applyAlignment="1" applyProtection="1">
      <alignment horizontal="center"/>
    </xf>
    <xf numFmtId="0" fontId="48" fillId="0" borderId="2" xfId="0" applyFont="1" applyBorder="1" applyAlignment="1" applyProtection="1">
      <alignment horizontal="left" vertical="center" wrapText="1" indent="1"/>
    </xf>
    <xf numFmtId="0" fontId="50" fillId="0" borderId="0" xfId="0" applyFont="1" applyBorder="1" applyAlignment="1" applyProtection="1">
      <alignment horizontal="left" vertical="center" wrapText="1"/>
    </xf>
    <xf numFmtId="0" fontId="15" fillId="6" borderId="0" xfId="0" applyFont="1" applyFill="1" applyBorder="1" applyAlignment="1" applyProtection="1">
      <alignment horizontal="center"/>
    </xf>
    <xf numFmtId="0" fontId="19" fillId="0" borderId="2" xfId="0" applyFont="1" applyBorder="1" applyAlignment="1" applyProtection="1">
      <alignment horizontal="center" vertical="top" wrapText="1"/>
    </xf>
  </cellXfs>
  <cellStyles count="23">
    <cellStyle name="Hiperlink 2" xfId="3" xr:uid="{00000000-0005-0000-0000-000006000000}"/>
    <cellStyle name="Moeda" xfId="2" builtinId="4"/>
    <cellStyle name="Moeda 2" xfId="4" xr:uid="{00000000-0005-0000-0000-000007000000}"/>
    <cellStyle name="Moeda 2 2" xfId="5" xr:uid="{00000000-0005-0000-0000-000008000000}"/>
    <cellStyle name="Moeda 3" xfId="6" xr:uid="{00000000-0005-0000-0000-000009000000}"/>
    <cellStyle name="Moeda 4" xfId="7" xr:uid="{00000000-0005-0000-0000-00000A000000}"/>
    <cellStyle name="Moeda 5" xfId="8" xr:uid="{00000000-0005-0000-0000-00000B000000}"/>
    <cellStyle name="Moeda 6" xfId="9" xr:uid="{00000000-0005-0000-0000-00000C000000}"/>
    <cellStyle name="Normal" xfId="0" builtinId="0"/>
    <cellStyle name="Normal 2" xfId="10" xr:uid="{00000000-0005-0000-0000-00000D000000}"/>
    <cellStyle name="Normal 2 2" xfId="11" xr:uid="{00000000-0005-0000-0000-00000E000000}"/>
    <cellStyle name="Normal 2 2 2" xfId="12" xr:uid="{00000000-0005-0000-0000-00000F000000}"/>
    <cellStyle name="Normal 2 3" xfId="13" xr:uid="{00000000-0005-0000-0000-000010000000}"/>
    <cellStyle name="Normal 2 4" xfId="14" xr:uid="{00000000-0005-0000-0000-000011000000}"/>
    <cellStyle name="Normal 3" xfId="15" xr:uid="{00000000-0005-0000-0000-000012000000}"/>
    <cellStyle name="Normal 4" xfId="16" xr:uid="{00000000-0005-0000-0000-000013000000}"/>
    <cellStyle name="Normal 5" xfId="17" xr:uid="{00000000-0005-0000-0000-000014000000}"/>
    <cellStyle name="Normal 6" xfId="18" xr:uid="{00000000-0005-0000-0000-000015000000}"/>
    <cellStyle name="Normal 7" xfId="19" xr:uid="{00000000-0005-0000-0000-000016000000}"/>
    <cellStyle name="Porcentagem 2" xfId="20" xr:uid="{00000000-0005-0000-0000-000017000000}"/>
    <cellStyle name="Vírgula" xfId="1" builtinId="3"/>
    <cellStyle name="Vírgula 2" xfId="21" xr:uid="{00000000-0005-0000-0000-000018000000}"/>
    <cellStyle name="Vírgula 3" xfId="22" xr:uid="{00000000-0005-0000-0000-000019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8EA9DB"/>
      <rgbColor rgb="FF993366"/>
      <rgbColor rgb="FFFFF2CC"/>
      <rgbColor rgb="FFDEEBF7"/>
      <rgbColor rgb="FF660066"/>
      <rgbColor rgb="FFFF8080"/>
      <rgbColor rgb="FF0563C1"/>
      <rgbColor rgb="FFB4C7E7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E7E6E6"/>
      <rgbColor rgb="FFD6DCE5"/>
      <rgbColor rgb="FFFFFF6D"/>
      <rgbColor rgb="FFB4C6E7"/>
      <rgbColor rgb="FFD9D9D9"/>
      <rgbColor rgb="FFD0CECE"/>
      <rgbColor rgb="FFF8CBAD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BJ69"/>
  <sheetViews>
    <sheetView zoomScale="155" zoomScaleNormal="155" workbookViewId="0">
      <selection activeCell="A11" sqref="A11"/>
    </sheetView>
  </sheetViews>
  <sheetFormatPr defaultColWidth="11.7109375" defaultRowHeight="15.75" x14ac:dyDescent="0.25"/>
  <cols>
    <col min="1" max="1" width="32.28515625" customWidth="1"/>
    <col min="3" max="3" width="13.85546875" customWidth="1"/>
    <col min="4" max="4" width="15.7109375" customWidth="1"/>
    <col min="5" max="5" width="17.85546875" customWidth="1"/>
    <col min="6" max="6" width="15.7109375" customWidth="1"/>
    <col min="7" max="7" width="16.85546875" customWidth="1"/>
    <col min="8" max="8" width="17.7109375" customWidth="1"/>
    <col min="9" max="9" width="16.42578125" customWidth="1"/>
    <col min="10" max="10" width="14.42578125" customWidth="1"/>
    <col min="11" max="11" width="18.28515625" customWidth="1"/>
    <col min="12" max="12" width="11.28515625" customWidth="1"/>
    <col min="13" max="62" width="8.7109375" customWidth="1"/>
  </cols>
  <sheetData>
    <row r="3" spans="1:10" x14ac:dyDescent="0.25">
      <c r="A3" t="s">
        <v>0</v>
      </c>
    </row>
    <row r="5" spans="1:10" x14ac:dyDescent="0.25">
      <c r="A5" s="231" t="s">
        <v>1</v>
      </c>
      <c r="B5" s="231"/>
      <c r="C5" s="231"/>
      <c r="D5" s="231"/>
      <c r="E5" s="231"/>
      <c r="F5" s="231"/>
      <c r="G5" s="231"/>
      <c r="H5" s="231"/>
    </row>
    <row r="6" spans="1:10" x14ac:dyDescent="0.25">
      <c r="A6" s="231" t="s">
        <v>2</v>
      </c>
      <c r="B6" s="231"/>
      <c r="C6" s="231"/>
      <c r="D6" s="231"/>
      <c r="E6" s="231"/>
      <c r="F6" s="231"/>
      <c r="G6" s="231"/>
      <c r="H6" s="231"/>
    </row>
    <row r="7" spans="1:10" ht="28.7" customHeight="1" x14ac:dyDescent="0.25">
      <c r="A7" s="230" t="s">
        <v>3</v>
      </c>
      <c r="B7" s="230" t="s">
        <v>4</v>
      </c>
      <c r="C7" s="230" t="s">
        <v>5</v>
      </c>
      <c r="D7" s="230"/>
      <c r="E7" s="230" t="s">
        <v>6</v>
      </c>
      <c r="F7" s="230" t="s">
        <v>7</v>
      </c>
      <c r="G7" s="230" t="s">
        <v>8</v>
      </c>
      <c r="H7" s="230" t="s">
        <v>9</v>
      </c>
    </row>
    <row r="8" spans="1:10" ht="26.65" customHeight="1" x14ac:dyDescent="0.25">
      <c r="A8" s="230"/>
      <c r="B8" s="230"/>
      <c r="C8" s="1" t="s">
        <v>10</v>
      </c>
      <c r="D8" s="1" t="s">
        <v>11</v>
      </c>
      <c r="E8" s="230" t="s">
        <v>11</v>
      </c>
      <c r="F8" s="230"/>
      <c r="G8" s="230"/>
      <c r="H8" s="230"/>
    </row>
    <row r="9" spans="1:10" x14ac:dyDescent="0.25">
      <c r="A9" s="2" t="s">
        <v>12</v>
      </c>
      <c r="B9" s="3">
        <v>148.37</v>
      </c>
      <c r="C9" s="4">
        <f t="shared" ref="C9:C17" si="0">1/800</f>
        <v>1.25E-3</v>
      </c>
      <c r="D9" s="5">
        <f t="shared" ref="D9:D17" si="1">1/1200</f>
        <v>8.3333333333333339E-4</v>
      </c>
      <c r="E9" s="5">
        <f>1/800</f>
        <v>1.25E-3</v>
      </c>
      <c r="F9" s="6">
        <f>'Servente de Limpeza '!$D$127</f>
        <v>5182.7</v>
      </c>
      <c r="G9" s="7">
        <f t="shared" ref="G9:G17" si="2">F9*E9</f>
        <v>6.4783749999999998</v>
      </c>
      <c r="H9" s="7">
        <f t="shared" ref="H9:H17" si="3">G9*B9</f>
        <v>961.19649875000005</v>
      </c>
      <c r="J9" s="8"/>
    </row>
    <row r="10" spans="1:10" x14ac:dyDescent="0.25">
      <c r="A10" s="2" t="s">
        <v>13</v>
      </c>
      <c r="B10" s="3">
        <v>115.29</v>
      </c>
      <c r="C10" s="4">
        <f t="shared" si="0"/>
        <v>1.25E-3</v>
      </c>
      <c r="D10" s="5">
        <f t="shared" si="1"/>
        <v>8.3333333333333339E-4</v>
      </c>
      <c r="E10" s="5">
        <f t="shared" ref="E10:E17" si="4">E9</f>
        <v>1.25E-3</v>
      </c>
      <c r="F10" s="6">
        <f>'Servente de Limpeza '!$D$127</f>
        <v>5182.7</v>
      </c>
      <c r="G10" s="7">
        <f t="shared" si="2"/>
        <v>6.4783749999999998</v>
      </c>
      <c r="H10" s="7">
        <f t="shared" si="3"/>
        <v>746.89185375</v>
      </c>
    </row>
    <row r="11" spans="1:10" x14ac:dyDescent="0.25">
      <c r="A11" s="2" t="s">
        <v>14</v>
      </c>
      <c r="B11" s="3">
        <v>1919.28</v>
      </c>
      <c r="C11" s="4">
        <f t="shared" si="0"/>
        <v>1.25E-3</v>
      </c>
      <c r="D11" s="5">
        <f t="shared" si="1"/>
        <v>8.3333333333333339E-4</v>
      </c>
      <c r="E11" s="5">
        <f t="shared" si="4"/>
        <v>1.25E-3</v>
      </c>
      <c r="F11" s="6">
        <f>'Servente de Limpeza '!$D$127</f>
        <v>5182.7</v>
      </c>
      <c r="G11" s="7">
        <f t="shared" si="2"/>
        <v>6.4783749999999998</v>
      </c>
      <c r="H11" s="7">
        <f t="shared" si="3"/>
        <v>12433.815569999999</v>
      </c>
    </row>
    <row r="12" spans="1:10" x14ac:dyDescent="0.25">
      <c r="A12" s="2" t="s">
        <v>15</v>
      </c>
      <c r="B12" s="3">
        <v>88.86</v>
      </c>
      <c r="C12" s="4">
        <f t="shared" si="0"/>
        <v>1.25E-3</v>
      </c>
      <c r="D12" s="5">
        <f t="shared" si="1"/>
        <v>8.3333333333333339E-4</v>
      </c>
      <c r="E12" s="5">
        <f t="shared" si="4"/>
        <v>1.25E-3</v>
      </c>
      <c r="F12" s="6">
        <f>'Servente de Limpeza '!$D$127</f>
        <v>5182.7</v>
      </c>
      <c r="G12" s="7">
        <f t="shared" si="2"/>
        <v>6.4783749999999998</v>
      </c>
      <c r="H12" s="7">
        <f t="shared" si="3"/>
        <v>575.66840249999996</v>
      </c>
    </row>
    <row r="13" spans="1:10" x14ac:dyDescent="0.25">
      <c r="A13" s="2" t="s">
        <v>16</v>
      </c>
      <c r="B13" s="3">
        <v>286.44</v>
      </c>
      <c r="C13" s="4">
        <f t="shared" si="0"/>
        <v>1.25E-3</v>
      </c>
      <c r="D13" s="5">
        <f t="shared" si="1"/>
        <v>8.3333333333333339E-4</v>
      </c>
      <c r="E13" s="5">
        <f t="shared" si="4"/>
        <v>1.25E-3</v>
      </c>
      <c r="F13" s="6">
        <f>'Servente de Limpeza '!$D$127</f>
        <v>5182.7</v>
      </c>
      <c r="G13" s="7">
        <f t="shared" si="2"/>
        <v>6.4783749999999998</v>
      </c>
      <c r="H13" s="7">
        <f t="shared" si="3"/>
        <v>1855.6657349999998</v>
      </c>
    </row>
    <row r="14" spans="1:10" x14ac:dyDescent="0.25">
      <c r="A14" s="2" t="s">
        <v>17</v>
      </c>
      <c r="B14" s="3">
        <v>512.80999999999995</v>
      </c>
      <c r="C14" s="4">
        <f t="shared" si="0"/>
        <v>1.25E-3</v>
      </c>
      <c r="D14" s="5">
        <f t="shared" si="1"/>
        <v>8.3333333333333339E-4</v>
      </c>
      <c r="E14" s="5">
        <f t="shared" si="4"/>
        <v>1.25E-3</v>
      </c>
      <c r="F14" s="6">
        <f>'Servente de Limpeza '!$D$127</f>
        <v>5182.7</v>
      </c>
      <c r="G14" s="7">
        <f t="shared" si="2"/>
        <v>6.4783749999999998</v>
      </c>
      <c r="H14" s="7">
        <f t="shared" si="3"/>
        <v>3322.1754837499993</v>
      </c>
    </row>
    <row r="15" spans="1:10" x14ac:dyDescent="0.25">
      <c r="A15" s="2" t="s">
        <v>18</v>
      </c>
      <c r="B15" s="3">
        <v>44.8</v>
      </c>
      <c r="C15" s="4">
        <f t="shared" si="0"/>
        <v>1.25E-3</v>
      </c>
      <c r="D15" s="5">
        <f t="shared" si="1"/>
        <v>8.3333333333333339E-4</v>
      </c>
      <c r="E15" s="5">
        <f t="shared" si="4"/>
        <v>1.25E-3</v>
      </c>
      <c r="F15" s="6">
        <f>'Servente de Limpeza '!$D$127</f>
        <v>5182.7</v>
      </c>
      <c r="G15" s="7">
        <f t="shared" si="2"/>
        <v>6.4783749999999998</v>
      </c>
      <c r="H15" s="7">
        <f t="shared" si="3"/>
        <v>290.23119999999994</v>
      </c>
    </row>
    <row r="16" spans="1:10" x14ac:dyDescent="0.25">
      <c r="A16" s="2" t="s">
        <v>19</v>
      </c>
      <c r="B16" s="3">
        <v>174.36</v>
      </c>
      <c r="C16" s="4">
        <f t="shared" si="0"/>
        <v>1.25E-3</v>
      </c>
      <c r="D16" s="5">
        <f t="shared" si="1"/>
        <v>8.3333333333333339E-4</v>
      </c>
      <c r="E16" s="5">
        <f t="shared" si="4"/>
        <v>1.25E-3</v>
      </c>
      <c r="F16" s="6">
        <f>'Servente de Limpeza '!$D$127</f>
        <v>5182.7</v>
      </c>
      <c r="G16" s="7">
        <f t="shared" si="2"/>
        <v>6.4783749999999998</v>
      </c>
      <c r="H16" s="7">
        <f t="shared" si="3"/>
        <v>1129.569465</v>
      </c>
    </row>
    <row r="17" spans="1:11" x14ac:dyDescent="0.25">
      <c r="A17" s="2" t="s">
        <v>20</v>
      </c>
      <c r="B17" s="3">
        <v>785.58</v>
      </c>
      <c r="C17" s="4">
        <f t="shared" si="0"/>
        <v>1.25E-3</v>
      </c>
      <c r="D17" s="5">
        <f t="shared" si="1"/>
        <v>8.3333333333333339E-4</v>
      </c>
      <c r="E17" s="5">
        <f t="shared" si="4"/>
        <v>1.25E-3</v>
      </c>
      <c r="F17" s="6">
        <f>'Servente de Limpeza '!$D$127</f>
        <v>5182.7</v>
      </c>
      <c r="G17" s="7">
        <f t="shared" si="2"/>
        <v>6.4783749999999998</v>
      </c>
      <c r="H17" s="7">
        <f t="shared" si="3"/>
        <v>5089.2818324999998</v>
      </c>
    </row>
    <row r="18" spans="1:11" x14ac:dyDescent="0.25">
      <c r="A18" s="9" t="s">
        <v>21</v>
      </c>
      <c r="B18" s="10">
        <v>4075.79</v>
      </c>
      <c r="C18" s="10"/>
      <c r="D18" s="10"/>
      <c r="E18" s="11"/>
      <c r="F18" s="9"/>
      <c r="G18" s="12"/>
      <c r="H18" s="13">
        <f>SUM(H9:H17)</f>
        <v>26404.496041249993</v>
      </c>
      <c r="I18" s="14">
        <f>B18*C17*F17</f>
        <v>26404.49604125</v>
      </c>
    </row>
    <row r="19" spans="1:11" ht="28.7" customHeight="1" x14ac:dyDescent="0.25">
      <c r="A19" s="230" t="s">
        <v>22</v>
      </c>
      <c r="B19" s="230" t="s">
        <v>4</v>
      </c>
      <c r="C19" s="230" t="s">
        <v>5</v>
      </c>
      <c r="D19" s="230"/>
      <c r="E19" s="230" t="s">
        <v>6</v>
      </c>
      <c r="F19" s="230" t="s">
        <v>7</v>
      </c>
      <c r="G19" s="230" t="s">
        <v>8</v>
      </c>
      <c r="H19" s="230" t="s">
        <v>9</v>
      </c>
      <c r="I19" s="14"/>
    </row>
    <row r="20" spans="1:11" ht="28.7" customHeight="1" x14ac:dyDescent="0.25">
      <c r="A20" s="230"/>
      <c r="B20" s="230"/>
      <c r="C20" s="1" t="s">
        <v>10</v>
      </c>
      <c r="D20" s="1" t="s">
        <v>11</v>
      </c>
      <c r="E20" s="230" t="s">
        <v>11</v>
      </c>
      <c r="F20" s="230"/>
      <c r="G20" s="230"/>
      <c r="H20" s="230"/>
    </row>
    <row r="21" spans="1:11" ht="31.5" x14ac:dyDescent="0.25">
      <c r="A21" s="15" t="s">
        <v>23</v>
      </c>
      <c r="B21" s="3">
        <v>428.52</v>
      </c>
      <c r="C21" s="5">
        <f>1/1800</f>
        <v>5.5555555555555556E-4</v>
      </c>
      <c r="D21" s="5">
        <f>1/2700</f>
        <v>3.7037037037037035E-4</v>
      </c>
      <c r="E21" s="5">
        <f>C21</f>
        <v>5.5555555555555556E-4</v>
      </c>
      <c r="F21" s="7">
        <f>'Servente de Limpeza '!$D$127</f>
        <v>5182.7</v>
      </c>
      <c r="G21" s="7">
        <f>F21*E21</f>
        <v>2.8792777777777778</v>
      </c>
      <c r="H21" s="7">
        <f>G21*B21</f>
        <v>1233.8281133333332</v>
      </c>
    </row>
    <row r="22" spans="1:11" x14ac:dyDescent="0.25">
      <c r="A22" s="16" t="s">
        <v>24</v>
      </c>
      <c r="B22" s="3">
        <v>116.5</v>
      </c>
      <c r="C22" s="5">
        <f>1/1800</f>
        <v>5.5555555555555556E-4</v>
      </c>
      <c r="D22" s="5">
        <f>1/2700</f>
        <v>3.7037037037037035E-4</v>
      </c>
      <c r="E22" s="5">
        <f>E21</f>
        <v>5.5555555555555556E-4</v>
      </c>
      <c r="F22" s="7">
        <f>'Servente de Limpeza '!$D$127</f>
        <v>5182.7</v>
      </c>
      <c r="G22" s="7">
        <f>F22*E22</f>
        <v>2.8792777777777778</v>
      </c>
      <c r="H22" s="7">
        <f>G22*B22</f>
        <v>335.43586111111114</v>
      </c>
    </row>
    <row r="23" spans="1:11" x14ac:dyDescent="0.25">
      <c r="A23" s="9" t="s">
        <v>21</v>
      </c>
      <c r="B23" s="10">
        <v>545.02</v>
      </c>
      <c r="C23" s="10"/>
      <c r="D23" s="10"/>
      <c r="E23" s="11"/>
      <c r="F23" s="9"/>
      <c r="G23" s="9"/>
      <c r="H23" s="17">
        <f>SUM(H21:H22)</f>
        <v>1569.2639744444443</v>
      </c>
    </row>
    <row r="24" spans="1:11" x14ac:dyDescent="0.25">
      <c r="A24" s="18"/>
      <c r="B24" s="19"/>
      <c r="C24" s="19"/>
      <c r="D24" s="19"/>
      <c r="E24" s="20"/>
      <c r="F24" s="18"/>
      <c r="G24" s="18"/>
      <c r="H24" s="19"/>
      <c r="I24" s="21"/>
      <c r="J24" s="21"/>
    </row>
    <row r="25" spans="1:11" x14ac:dyDescent="0.25">
      <c r="A25" s="18"/>
      <c r="B25" s="19"/>
      <c r="C25" s="19"/>
      <c r="D25" s="19"/>
      <c r="E25" s="20"/>
      <c r="F25" s="18"/>
      <c r="G25" s="18"/>
      <c r="H25" s="19"/>
      <c r="I25" s="21"/>
      <c r="J25" s="21"/>
    </row>
    <row r="26" spans="1:11" ht="28.7" customHeight="1" x14ac:dyDescent="0.25">
      <c r="A26" s="230" t="s">
        <v>25</v>
      </c>
      <c r="B26" s="230" t="s">
        <v>4</v>
      </c>
      <c r="C26" s="230" t="s">
        <v>5</v>
      </c>
      <c r="D26" s="230"/>
      <c r="E26" s="230" t="s">
        <v>6</v>
      </c>
      <c r="F26" s="230" t="s">
        <v>26</v>
      </c>
      <c r="G26" s="230" t="s">
        <v>27</v>
      </c>
      <c r="H26" s="230" t="s">
        <v>28</v>
      </c>
      <c r="I26" s="230" t="s">
        <v>29</v>
      </c>
      <c r="J26" s="230" t="s">
        <v>30</v>
      </c>
      <c r="K26" s="230" t="s">
        <v>9</v>
      </c>
    </row>
    <row r="27" spans="1:11" ht="34.15" customHeight="1" x14ac:dyDescent="0.25">
      <c r="A27" s="230"/>
      <c r="B27" s="230"/>
      <c r="C27" s="1" t="s">
        <v>10</v>
      </c>
      <c r="D27" s="1" t="s">
        <v>11</v>
      </c>
      <c r="E27" s="230" t="s">
        <v>11</v>
      </c>
      <c r="F27" s="230"/>
      <c r="G27" s="230"/>
      <c r="H27" s="230"/>
      <c r="I27" s="230"/>
      <c r="J27" s="230"/>
      <c r="K27" s="230"/>
    </row>
    <row r="28" spans="1:11" ht="31.5" x14ac:dyDescent="0.25">
      <c r="A28" s="15" t="s">
        <v>31</v>
      </c>
      <c r="B28" s="3">
        <v>675.59</v>
      </c>
      <c r="C28" s="22">
        <f>1/300</f>
        <v>3.3333333333333335E-3</v>
      </c>
      <c r="D28" s="22">
        <f>1/380</f>
        <v>2.631578947368421E-3</v>
      </c>
      <c r="E28" s="23">
        <f>C28</f>
        <v>3.3333333333333335E-3</v>
      </c>
      <c r="F28" s="24">
        <v>8</v>
      </c>
      <c r="G28" s="25">
        <f>1/188.76</f>
        <v>5.2977325704598437E-3</v>
      </c>
      <c r="H28" s="26">
        <f>E28*F28*G28</f>
        <v>1.4127286854559584E-4</v>
      </c>
      <c r="I28" s="6">
        <f>'Servente de Limpeza '!$D$127</f>
        <v>5182.7</v>
      </c>
      <c r="J28" s="27">
        <f>I28*H28</f>
        <v>0.7321748958112595</v>
      </c>
      <c r="K28" s="28">
        <f>B28*H28*I28</f>
        <v>494.65003786112885</v>
      </c>
    </row>
    <row r="29" spans="1:11" x14ac:dyDescent="0.25">
      <c r="A29" s="9" t="s">
        <v>21</v>
      </c>
      <c r="B29" s="10">
        <v>675.59</v>
      </c>
      <c r="C29" s="10"/>
      <c r="D29" s="10"/>
      <c r="E29" s="29"/>
      <c r="F29" s="9"/>
      <c r="G29" s="9"/>
      <c r="H29" s="9"/>
      <c r="I29" s="9"/>
      <c r="J29" s="30"/>
      <c r="K29" s="31">
        <f>K28</f>
        <v>494.65003786112885</v>
      </c>
    </row>
    <row r="30" spans="1:11" ht="28.7" customHeight="1" x14ac:dyDescent="0.25">
      <c r="A30" s="230" t="s">
        <v>32</v>
      </c>
      <c r="B30" s="230" t="s">
        <v>4</v>
      </c>
      <c r="C30" s="230" t="s">
        <v>5</v>
      </c>
      <c r="D30" s="230"/>
      <c r="E30" s="230" t="s">
        <v>6</v>
      </c>
      <c r="F30" s="230" t="s">
        <v>33</v>
      </c>
      <c r="G30" s="230" t="s">
        <v>27</v>
      </c>
      <c r="H30" s="230" t="s">
        <v>28</v>
      </c>
      <c r="I30" s="230" t="s">
        <v>29</v>
      </c>
      <c r="J30" s="230" t="s">
        <v>30</v>
      </c>
      <c r="K30" s="230" t="s">
        <v>9</v>
      </c>
    </row>
    <row r="31" spans="1:11" ht="39.200000000000003" customHeight="1" x14ac:dyDescent="0.25">
      <c r="A31" s="230"/>
      <c r="B31" s="230"/>
      <c r="C31" s="1" t="s">
        <v>34</v>
      </c>
      <c r="D31" s="1" t="s">
        <v>11</v>
      </c>
      <c r="E31" s="230" t="s">
        <v>11</v>
      </c>
      <c r="F31" s="230"/>
      <c r="G31" s="230"/>
      <c r="H31" s="230"/>
      <c r="I31" s="230"/>
      <c r="J31" s="230"/>
      <c r="K31" s="230"/>
    </row>
    <row r="32" spans="1:11" x14ac:dyDescent="0.25">
      <c r="A32" s="15" t="s">
        <v>35</v>
      </c>
      <c r="B32" s="3">
        <v>267.04000000000002</v>
      </c>
      <c r="C32" s="22">
        <f>1/130</f>
        <v>7.6923076923076927E-3</v>
      </c>
      <c r="D32" s="22">
        <f>1/160</f>
        <v>6.2500000000000003E-3</v>
      </c>
      <c r="E32" s="22">
        <f>C32</f>
        <v>7.6923076923076927E-3</v>
      </c>
      <c r="F32" s="32">
        <v>1</v>
      </c>
      <c r="G32" s="33">
        <f>1/566.28</f>
        <v>1.7659108568199478E-3</v>
      </c>
      <c r="H32" s="26">
        <f>E32*F32*G32</f>
        <v>1.3583929667845753E-5</v>
      </c>
      <c r="I32" s="6">
        <f>'Servente de Limpeza '!$D$127</f>
        <v>5182.7</v>
      </c>
      <c r="J32" s="27">
        <f>I32*H32</f>
        <v>7.040143228954418E-2</v>
      </c>
      <c r="K32" s="28">
        <f>B32*H32*I32</f>
        <v>18.799998478599882</v>
      </c>
    </row>
    <row r="33" spans="1:11" x14ac:dyDescent="0.25">
      <c r="A33" s="2" t="s">
        <v>36</v>
      </c>
      <c r="B33" s="3">
        <v>571.75</v>
      </c>
      <c r="C33" s="22">
        <f>1/130</f>
        <v>7.6923076923076927E-3</v>
      </c>
      <c r="D33" s="22">
        <f>1/160</f>
        <v>6.2500000000000003E-3</v>
      </c>
      <c r="E33" s="22">
        <f>C33</f>
        <v>7.6923076923076927E-3</v>
      </c>
      <c r="F33" s="32">
        <v>1</v>
      </c>
      <c r="G33" s="33">
        <f>1/1132.56</f>
        <v>8.8295542840997388E-4</v>
      </c>
      <c r="H33" s="26">
        <f>E33*F33*G33</f>
        <v>6.7919648339228764E-6</v>
      </c>
      <c r="I33" s="6">
        <f>'Servente de Limpeza '!$D$127</f>
        <v>5182.7</v>
      </c>
      <c r="J33" s="27">
        <f>I33*H33</f>
        <v>3.520071614477209E-2</v>
      </c>
      <c r="K33" s="28">
        <f>B33*H33*I33</f>
        <v>20.126009455773442</v>
      </c>
    </row>
    <row r="34" spans="1:11" x14ac:dyDescent="0.25">
      <c r="A34" s="9" t="s">
        <v>21</v>
      </c>
      <c r="B34" s="10">
        <v>864.57</v>
      </c>
      <c r="C34" s="10"/>
      <c r="D34" s="10"/>
      <c r="E34" s="11"/>
      <c r="F34" s="9"/>
      <c r="G34" s="9"/>
      <c r="H34" s="9"/>
      <c r="I34" s="9"/>
      <c r="J34" s="34">
        <f>SUM(J32:J33)</f>
        <v>0.10560214843431627</v>
      </c>
      <c r="K34" s="35">
        <f>K32+K33</f>
        <v>38.926007934373324</v>
      </c>
    </row>
    <row r="35" spans="1:11" x14ac:dyDescent="0.25">
      <c r="A35" s="36" t="s">
        <v>37</v>
      </c>
      <c r="B35" s="37">
        <f>B18+B23+B29+B34</f>
        <v>6160.9699999999993</v>
      </c>
      <c r="C35" s="37"/>
      <c r="D35" s="37"/>
      <c r="E35" s="38"/>
      <c r="F35" s="36"/>
      <c r="G35" s="36"/>
      <c r="H35" s="39"/>
      <c r="I35" s="39"/>
      <c r="J35" s="39"/>
      <c r="K35" s="39"/>
    </row>
    <row r="36" spans="1:11" x14ac:dyDescent="0.25">
      <c r="B36" s="40"/>
      <c r="F36" s="227"/>
      <c r="G36" s="227"/>
      <c r="H36" s="228" t="s">
        <v>38</v>
      </c>
      <c r="I36" s="228"/>
      <c r="J36" s="228"/>
      <c r="K36" s="41">
        <f>H18+H23+K29+K34</f>
        <v>28507.336061489939</v>
      </c>
    </row>
    <row r="37" spans="1:11" x14ac:dyDescent="0.25">
      <c r="B37" s="42"/>
      <c r="C37" s="42"/>
      <c r="D37" s="42"/>
      <c r="E37" s="229"/>
      <c r="F37" s="229"/>
      <c r="G37" s="229"/>
      <c r="H37" s="228" t="s">
        <v>39</v>
      </c>
      <c r="I37" s="228"/>
      <c r="J37" s="228"/>
      <c r="K37" s="41">
        <f>K36*12</f>
        <v>342088.03273787926</v>
      </c>
    </row>
    <row r="38" spans="1:11" x14ac:dyDescent="0.25">
      <c r="A38" s="223"/>
      <c r="B38" s="223"/>
      <c r="C38" s="223"/>
      <c r="D38" s="223"/>
      <c r="E38" s="42"/>
      <c r="F38" s="42"/>
      <c r="G38" s="43"/>
      <c r="H38" s="224" t="s">
        <v>40</v>
      </c>
      <c r="I38" s="224"/>
      <c r="J38" s="224"/>
      <c r="K38" s="44">
        <f>(B18*E17)+(B23*E22)+(B29*H28)+(B34*H33)</f>
        <v>5.4988410551860722</v>
      </c>
    </row>
    <row r="39" spans="1:11" x14ac:dyDescent="0.25">
      <c r="A39" s="223"/>
      <c r="B39" s="223"/>
      <c r="C39" s="223"/>
      <c r="D39" s="223"/>
      <c r="E39" s="223"/>
      <c r="F39" s="223"/>
      <c r="G39" s="45"/>
      <c r="H39" s="224" t="s">
        <v>41</v>
      </c>
      <c r="I39" s="224"/>
      <c r="J39" s="224"/>
      <c r="K39" s="46">
        <f>ROUND(K38,0)</f>
        <v>5</v>
      </c>
    </row>
    <row r="40" spans="1:11" ht="41.25" customHeight="1" x14ac:dyDescent="0.25">
      <c r="A40" t="s">
        <v>42</v>
      </c>
      <c r="B40" s="47"/>
      <c r="C40" s="47"/>
      <c r="D40" s="47"/>
      <c r="E40" s="47"/>
      <c r="F40" s="47"/>
      <c r="G40" s="47"/>
      <c r="H40" s="47"/>
    </row>
    <row r="41" spans="1:11" x14ac:dyDescent="0.25">
      <c r="A41" t="s">
        <v>43</v>
      </c>
    </row>
    <row r="42" spans="1:11" ht="43.35" customHeight="1" x14ac:dyDescent="0.25">
      <c r="A42" s="225" t="s">
        <v>44</v>
      </c>
      <c r="B42" s="225"/>
      <c r="C42" s="225"/>
      <c r="D42" s="225"/>
      <c r="E42" s="225"/>
      <c r="F42" s="225"/>
      <c r="G42" s="225"/>
      <c r="H42" s="225"/>
    </row>
    <row r="43" spans="1:11" x14ac:dyDescent="0.25">
      <c r="A43" s="226"/>
      <c r="B43" s="226"/>
      <c r="C43" s="226"/>
      <c r="D43" s="226"/>
      <c r="E43" s="226"/>
      <c r="F43" s="226"/>
      <c r="G43" s="226"/>
      <c r="H43" s="226"/>
    </row>
    <row r="54" ht="15" customHeight="1" x14ac:dyDescent="0.25"/>
    <row r="55" ht="15" customHeight="1" x14ac:dyDescent="0.25"/>
    <row r="65" spans="1:62" x14ac:dyDescent="0.25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</row>
    <row r="66" spans="1:62" x14ac:dyDescent="0.25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</row>
    <row r="67" spans="1:62" x14ac:dyDescent="0.25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</row>
    <row r="68" spans="1:62" x14ac:dyDescent="0.25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</row>
    <row r="69" spans="1:62" x14ac:dyDescent="0.25">
      <c r="A69" s="49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</row>
  </sheetData>
  <mergeCells count="46">
    <mergeCell ref="A5:H5"/>
    <mergeCell ref="A6:H6"/>
    <mergeCell ref="A7:A8"/>
    <mergeCell ref="B7:B8"/>
    <mergeCell ref="C7:D7"/>
    <mergeCell ref="E7:E8"/>
    <mergeCell ref="F7:F8"/>
    <mergeCell ref="G7:G8"/>
    <mergeCell ref="H7:H8"/>
    <mergeCell ref="G19:G20"/>
    <mergeCell ref="H19:H20"/>
    <mergeCell ref="A26:A27"/>
    <mergeCell ref="B26:B27"/>
    <mergeCell ref="C26:D26"/>
    <mergeCell ref="E26:E27"/>
    <mergeCell ref="F26:F27"/>
    <mergeCell ref="G26:G27"/>
    <mergeCell ref="H26:H27"/>
    <mergeCell ref="A19:A20"/>
    <mergeCell ref="B19:B20"/>
    <mergeCell ref="C19:D19"/>
    <mergeCell ref="E19:E20"/>
    <mergeCell ref="F19:F20"/>
    <mergeCell ref="I26:I27"/>
    <mergeCell ref="J26:J27"/>
    <mergeCell ref="K26:K27"/>
    <mergeCell ref="A30:A31"/>
    <mergeCell ref="B30:B31"/>
    <mergeCell ref="C30:D30"/>
    <mergeCell ref="E30:E31"/>
    <mergeCell ref="F30:F31"/>
    <mergeCell ref="G30:G31"/>
    <mergeCell ref="H30:H31"/>
    <mergeCell ref="I30:I31"/>
    <mergeCell ref="J30:J31"/>
    <mergeCell ref="K30:K31"/>
    <mergeCell ref="A39:F39"/>
    <mergeCell ref="H39:J39"/>
    <mergeCell ref="A42:H42"/>
    <mergeCell ref="A43:H43"/>
    <mergeCell ref="F36:G36"/>
    <mergeCell ref="H36:J36"/>
    <mergeCell ref="E37:G37"/>
    <mergeCell ref="H37:J37"/>
    <mergeCell ref="A38:D38"/>
    <mergeCell ref="H38:J38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Roman,Normal"&amp;A</oddHeader>
    <oddFooter>&amp;C&amp;"Times New Roman,Normal"Página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J132"/>
  <sheetViews>
    <sheetView tabSelected="1" topLeftCell="A52" zoomScale="155" zoomScaleNormal="155" workbookViewId="0">
      <selection activeCell="F56" sqref="F56"/>
    </sheetView>
  </sheetViews>
  <sheetFormatPr defaultColWidth="9.140625" defaultRowHeight="15.75" x14ac:dyDescent="0.25"/>
  <cols>
    <col min="1" max="1" width="9.140625" style="50"/>
    <col min="2" max="2" width="72.140625" style="50" customWidth="1"/>
    <col min="3" max="3" width="18" style="50" customWidth="1"/>
    <col min="4" max="4" width="22.28515625" style="50" customWidth="1"/>
    <col min="5" max="5" width="14" style="50" customWidth="1"/>
    <col min="6" max="6" width="12.7109375" style="50" customWidth="1"/>
    <col min="7" max="7" width="14" style="50" customWidth="1"/>
    <col min="8" max="1024" width="9.140625" style="50"/>
  </cols>
  <sheetData>
    <row r="1" spans="1:5" ht="23.25" x14ac:dyDescent="0.35">
      <c r="A1" s="256" t="s">
        <v>45</v>
      </c>
      <c r="B1" s="256"/>
      <c r="C1" s="256"/>
      <c r="D1" s="256"/>
    </row>
    <row r="2" spans="1:5" ht="71.25" customHeight="1" x14ac:dyDescent="0.25">
      <c r="A2" s="257" t="str">
        <f>'Notas_Explicativas_-_Base_Dados'!A2:D2</f>
        <v>A Planilha de Custos e Formação de Preços tem por objetivo apurar o preço máximo aceitável desta licitação e foi realizada com base no modelo Anexo VII-D da Instrução Normativa nº 05/2017 e nas orientações disponíveis no Portal de Compras do Governo Federal, acesso pelo link: https://www.gov.br/compras/pt-br/centrais-de-conteudo/orientacoes-e-procedimentos/11-orientacoes-gerais-para-planilha-de-custos-e-formacao-de-precos.</v>
      </c>
      <c r="B2" s="257"/>
      <c r="C2" s="257"/>
      <c r="D2" s="257"/>
    </row>
    <row r="3" spans="1:5" x14ac:dyDescent="0.25">
      <c r="A3" s="258" t="s">
        <v>46</v>
      </c>
      <c r="B3" s="258"/>
      <c r="C3" s="258"/>
      <c r="D3" s="258"/>
    </row>
    <row r="4" spans="1:5" x14ac:dyDescent="0.25">
      <c r="A4" s="250" t="s">
        <v>47</v>
      </c>
      <c r="B4" s="250"/>
      <c r="C4" s="250"/>
      <c r="D4" s="250"/>
    </row>
    <row r="5" spans="1:5" x14ac:dyDescent="0.25">
      <c r="A5" s="51">
        <v>1</v>
      </c>
      <c r="B5" s="52" t="s">
        <v>48</v>
      </c>
      <c r="C5" s="252" t="s">
        <v>49</v>
      </c>
      <c r="D5" s="252"/>
    </row>
    <row r="6" spans="1:5" x14ac:dyDescent="0.25">
      <c r="A6" s="53">
        <v>2</v>
      </c>
      <c r="B6" s="52" t="s">
        <v>50</v>
      </c>
      <c r="C6" s="252" t="s">
        <v>51</v>
      </c>
      <c r="D6" s="252"/>
    </row>
    <row r="7" spans="1:5" x14ac:dyDescent="0.25">
      <c r="A7" s="53">
        <v>3</v>
      </c>
      <c r="B7" s="52" t="s">
        <v>52</v>
      </c>
      <c r="C7" s="253"/>
      <c r="D7" s="253"/>
      <c r="E7" s="54"/>
    </row>
    <row r="8" spans="1:5" ht="30.75" customHeight="1" x14ac:dyDescent="0.25">
      <c r="A8" s="53">
        <v>4</v>
      </c>
      <c r="B8" s="52" t="s">
        <v>53</v>
      </c>
      <c r="C8" s="254" t="s">
        <v>54</v>
      </c>
      <c r="D8" s="254"/>
    </row>
    <row r="9" spans="1:5" ht="30.75" customHeight="1" x14ac:dyDescent="0.25">
      <c r="A9" s="55">
        <v>5</v>
      </c>
      <c r="B9" s="52" t="s">
        <v>55</v>
      </c>
      <c r="C9" s="254" t="s">
        <v>56</v>
      </c>
      <c r="D9" s="254"/>
    </row>
    <row r="10" spans="1:5" x14ac:dyDescent="0.25">
      <c r="A10" s="55">
        <v>6</v>
      </c>
      <c r="B10" s="52" t="s">
        <v>57</v>
      </c>
      <c r="C10" s="255">
        <v>44562</v>
      </c>
      <c r="D10" s="255"/>
    </row>
    <row r="11" spans="1:5" x14ac:dyDescent="0.25">
      <c r="A11" s="239" t="s">
        <v>58</v>
      </c>
      <c r="B11" s="239"/>
      <c r="C11" s="239"/>
      <c r="D11" s="239"/>
    </row>
    <row r="12" spans="1:5" x14ac:dyDescent="0.25">
      <c r="A12" s="239" t="s">
        <v>59</v>
      </c>
      <c r="B12" s="239"/>
      <c r="C12" s="239"/>
      <c r="D12" s="239"/>
    </row>
    <row r="13" spans="1:5" x14ac:dyDescent="0.25">
      <c r="A13" s="250" t="s">
        <v>60</v>
      </c>
      <c r="B13" s="250"/>
      <c r="C13" s="250"/>
      <c r="D13" s="250"/>
    </row>
    <row r="14" spans="1:5" ht="15.75" customHeight="1" x14ac:dyDescent="0.25">
      <c r="A14" s="56" t="s">
        <v>61</v>
      </c>
      <c r="B14" s="246" t="s">
        <v>62</v>
      </c>
      <c r="C14" s="246"/>
      <c r="D14" s="57">
        <v>1416.75</v>
      </c>
      <c r="E14" s="58"/>
    </row>
    <row r="15" spans="1:5" x14ac:dyDescent="0.25">
      <c r="A15" s="56" t="s">
        <v>63</v>
      </c>
      <c r="B15" s="59" t="s">
        <v>64</v>
      </c>
      <c r="C15" s="60"/>
      <c r="D15" s="56">
        <v>0</v>
      </c>
    </row>
    <row r="16" spans="1:5" ht="15.75" customHeight="1" x14ac:dyDescent="0.25">
      <c r="A16" s="56" t="s">
        <v>65</v>
      </c>
      <c r="B16" s="251" t="s">
        <v>66</v>
      </c>
      <c r="C16" s="251"/>
      <c r="D16" s="56">
        <v>0</v>
      </c>
    </row>
    <row r="17" spans="1:5" ht="15.75" customHeight="1" x14ac:dyDescent="0.25">
      <c r="A17" s="56" t="s">
        <v>67</v>
      </c>
      <c r="B17" s="246" t="s">
        <v>68</v>
      </c>
      <c r="C17" s="246"/>
      <c r="D17" s="56">
        <v>0</v>
      </c>
    </row>
    <row r="18" spans="1:5" ht="15.75" customHeight="1" x14ac:dyDescent="0.25">
      <c r="A18" s="56" t="s">
        <v>69</v>
      </c>
      <c r="B18" s="246" t="s">
        <v>70</v>
      </c>
      <c r="C18" s="246"/>
      <c r="D18" s="56">
        <v>0</v>
      </c>
    </row>
    <row r="19" spans="1:5" ht="15.75" customHeight="1" x14ac:dyDescent="0.25">
      <c r="A19" s="56" t="s">
        <v>71</v>
      </c>
      <c r="B19" s="246" t="s">
        <v>72</v>
      </c>
      <c r="C19" s="246"/>
      <c r="D19" s="56">
        <v>0</v>
      </c>
    </row>
    <row r="20" spans="1:5" ht="15.75" customHeight="1" x14ac:dyDescent="0.25">
      <c r="A20" s="234" t="s">
        <v>21</v>
      </c>
      <c r="B20" s="234"/>
      <c r="C20" s="234"/>
      <c r="D20" s="57">
        <f>SUM(D14:D19)</f>
        <v>1416.75</v>
      </c>
    </row>
    <row r="21" spans="1:5" x14ac:dyDescent="0.25">
      <c r="A21" s="239" t="s">
        <v>73</v>
      </c>
      <c r="B21" s="239"/>
      <c r="C21" s="239"/>
      <c r="D21" s="62"/>
    </row>
    <row r="22" spans="1:5" x14ac:dyDescent="0.25">
      <c r="A22" s="250" t="s">
        <v>74</v>
      </c>
      <c r="B22" s="250"/>
      <c r="C22" s="250"/>
      <c r="D22" s="250"/>
    </row>
    <row r="23" spans="1:5" x14ac:dyDescent="0.25">
      <c r="A23" s="250" t="s">
        <v>75</v>
      </c>
      <c r="B23" s="250"/>
      <c r="C23" s="250"/>
      <c r="D23" s="250"/>
    </row>
    <row r="24" spans="1:5" x14ac:dyDescent="0.25">
      <c r="A24" s="63" t="s">
        <v>76</v>
      </c>
      <c r="B24" s="64" t="s">
        <v>77</v>
      </c>
      <c r="C24" s="64" t="s">
        <v>78</v>
      </c>
      <c r="D24" s="64" t="s">
        <v>79</v>
      </c>
    </row>
    <row r="25" spans="1:5" x14ac:dyDescent="0.25">
      <c r="A25" s="65" t="s">
        <v>61</v>
      </c>
      <c r="B25" s="66" t="s">
        <v>80</v>
      </c>
      <c r="C25" s="67">
        <f>'Notas_Explicativas_-_Base_Dados'!C10</f>
        <v>8.3333333333333329E-2</v>
      </c>
      <c r="D25" s="68">
        <f>ROUND($D$20*C25,2)</f>
        <v>118.06</v>
      </c>
    </row>
    <row r="26" spans="1:5" x14ac:dyDescent="0.25">
      <c r="A26" s="69" t="s">
        <v>63</v>
      </c>
      <c r="B26" s="70" t="s">
        <v>81</v>
      </c>
      <c r="C26" s="71">
        <f>'Notas_Explicativas_-_Base_Dados'!C11</f>
        <v>0.121</v>
      </c>
      <c r="D26" s="68">
        <f>ROUND($D$20*C26,2)</f>
        <v>171.43</v>
      </c>
    </row>
    <row r="27" spans="1:5" ht="15.75" customHeight="1" x14ac:dyDescent="0.25">
      <c r="A27" s="234" t="s">
        <v>21</v>
      </c>
      <c r="B27" s="234"/>
      <c r="C27" s="72">
        <f>SUM(C25:C26)</f>
        <v>0.20433333333333331</v>
      </c>
      <c r="D27" s="68">
        <f>SUM(D25:D26)</f>
        <v>289.49</v>
      </c>
    </row>
    <row r="28" spans="1:5" x14ac:dyDescent="0.25">
      <c r="A28" s="61"/>
      <c r="B28" s="73" t="s">
        <v>82</v>
      </c>
      <c r="C28" s="67">
        <f>'Notas_Explicativas_-_Base_Dados'!C13</f>
        <v>7.5194666666666674E-2</v>
      </c>
      <c r="D28" s="68">
        <f>ROUND(D27*C43,2)</f>
        <v>94.95</v>
      </c>
      <c r="E28" s="54"/>
    </row>
    <row r="29" spans="1:5" x14ac:dyDescent="0.25">
      <c r="A29" s="61"/>
      <c r="B29" s="61" t="s">
        <v>83</v>
      </c>
      <c r="C29" s="72">
        <f>C27+C28</f>
        <v>0.279528</v>
      </c>
      <c r="D29" s="68">
        <f>D27+D28</f>
        <v>384.44</v>
      </c>
      <c r="E29" s="74"/>
    </row>
    <row r="30" spans="1:5" ht="26.25" customHeight="1" x14ac:dyDescent="0.25">
      <c r="A30" s="245" t="s">
        <v>84</v>
      </c>
      <c r="B30" s="245"/>
      <c r="C30" s="245"/>
      <c r="D30" s="245"/>
    </row>
    <row r="31" spans="1:5" ht="64.5" customHeight="1" x14ac:dyDescent="0.25">
      <c r="A31" s="245" t="s">
        <v>85</v>
      </c>
      <c r="B31" s="245"/>
      <c r="C31" s="245"/>
      <c r="D31" s="245"/>
    </row>
    <row r="32" spans="1:5" ht="15.75" customHeight="1" x14ac:dyDescent="0.25">
      <c r="A32" s="245" t="s">
        <v>86</v>
      </c>
      <c r="B32" s="245"/>
      <c r="C32" s="245"/>
      <c r="D32" s="245"/>
    </row>
    <row r="33" spans="1:6" ht="32.25" customHeight="1" x14ac:dyDescent="0.25">
      <c r="A33" s="240" t="s">
        <v>87</v>
      </c>
      <c r="B33" s="240"/>
      <c r="C33" s="240"/>
      <c r="D33" s="240"/>
    </row>
    <row r="34" spans="1:6" x14ac:dyDescent="0.25">
      <c r="A34" s="75" t="s">
        <v>88</v>
      </c>
      <c r="B34" s="76" t="s">
        <v>89</v>
      </c>
      <c r="C34" s="76" t="s">
        <v>78</v>
      </c>
      <c r="D34" s="76" t="s">
        <v>79</v>
      </c>
    </row>
    <row r="35" spans="1:6" x14ac:dyDescent="0.25">
      <c r="A35" s="65" t="s">
        <v>61</v>
      </c>
      <c r="B35" s="66" t="s">
        <v>90</v>
      </c>
      <c r="C35" s="67">
        <f>'Notas_Explicativas_-_Base_Dados'!C20</f>
        <v>0.2</v>
      </c>
      <c r="D35" s="77">
        <f t="shared" ref="D35:D42" si="0">ROUND($D$20*C35,2)</f>
        <v>283.35000000000002</v>
      </c>
    </row>
    <row r="36" spans="1:6" x14ac:dyDescent="0.25">
      <c r="A36" s="65" t="s">
        <v>63</v>
      </c>
      <c r="B36" s="66" t="s">
        <v>91</v>
      </c>
      <c r="C36" s="67">
        <f>'Notas_Explicativas_-_Base_Dados'!C21</f>
        <v>2.5000000000000001E-2</v>
      </c>
      <c r="D36" s="77">
        <f t="shared" si="0"/>
        <v>35.42</v>
      </c>
    </row>
    <row r="37" spans="1:6" x14ac:dyDescent="0.25">
      <c r="A37" s="65" t="s">
        <v>65</v>
      </c>
      <c r="B37" s="66" t="s">
        <v>92</v>
      </c>
      <c r="C37" s="67">
        <f>'Notas_Explicativas_-_Base_Dados'!C22</f>
        <v>0.03</v>
      </c>
      <c r="D37" s="77">
        <f t="shared" si="0"/>
        <v>42.5</v>
      </c>
    </row>
    <row r="38" spans="1:6" x14ac:dyDescent="0.25">
      <c r="A38" s="65" t="s">
        <v>67</v>
      </c>
      <c r="B38" s="66" t="s">
        <v>93</v>
      </c>
      <c r="C38" s="67">
        <f>'Notas_Explicativas_-_Base_Dados'!C23</f>
        <v>1.4999999999999999E-2</v>
      </c>
      <c r="D38" s="77">
        <f t="shared" si="0"/>
        <v>21.25</v>
      </c>
    </row>
    <row r="39" spans="1:6" x14ac:dyDescent="0.25">
      <c r="A39" s="65" t="s">
        <v>69</v>
      </c>
      <c r="B39" s="66" t="s">
        <v>94</v>
      </c>
      <c r="C39" s="67">
        <f>'Notas_Explicativas_-_Base_Dados'!C24</f>
        <v>0.01</v>
      </c>
      <c r="D39" s="77">
        <f t="shared" si="0"/>
        <v>14.17</v>
      </c>
    </row>
    <row r="40" spans="1:6" x14ac:dyDescent="0.25">
      <c r="A40" s="65" t="s">
        <v>71</v>
      </c>
      <c r="B40" s="66" t="s">
        <v>95</v>
      </c>
      <c r="C40" s="67">
        <f>'Notas_Explicativas_-_Base_Dados'!C25</f>
        <v>6.0000000000000001E-3</v>
      </c>
      <c r="D40" s="77">
        <f t="shared" si="0"/>
        <v>8.5</v>
      </c>
      <c r="F40" s="78"/>
    </row>
    <row r="41" spans="1:6" x14ac:dyDescent="0.25">
      <c r="A41" s="65" t="s">
        <v>96</v>
      </c>
      <c r="B41" s="66" t="s">
        <v>97</v>
      </c>
      <c r="C41" s="67">
        <f>'Notas_Explicativas_-_Base_Dados'!C26</f>
        <v>2E-3</v>
      </c>
      <c r="D41" s="77">
        <f t="shared" si="0"/>
        <v>2.83</v>
      </c>
    </row>
    <row r="42" spans="1:6" x14ac:dyDescent="0.25">
      <c r="A42" s="65" t="s">
        <v>98</v>
      </c>
      <c r="B42" s="66" t="s">
        <v>99</v>
      </c>
      <c r="C42" s="67">
        <v>0.04</v>
      </c>
      <c r="D42" s="77">
        <f t="shared" si="0"/>
        <v>56.67</v>
      </c>
    </row>
    <row r="43" spans="1:6" ht="15.75" customHeight="1" x14ac:dyDescent="0.25">
      <c r="A43" s="242" t="s">
        <v>100</v>
      </c>
      <c r="B43" s="242"/>
      <c r="C43" s="79">
        <f>SUM(C35:C42)</f>
        <v>0.32800000000000001</v>
      </c>
      <c r="D43" s="80">
        <f>SUM(D35:D42)</f>
        <v>464.69000000000005</v>
      </c>
    </row>
    <row r="44" spans="1:6" x14ac:dyDescent="0.25">
      <c r="A44" s="81" t="s">
        <v>101</v>
      </c>
      <c r="B44" s="82"/>
      <c r="C44" s="83"/>
      <c r="D44" s="84"/>
    </row>
    <row r="45" spans="1:6" x14ac:dyDescent="0.25">
      <c r="A45" s="85" t="s">
        <v>102</v>
      </c>
      <c r="B45" s="86"/>
      <c r="C45" s="87"/>
      <c r="D45" s="88"/>
    </row>
    <row r="46" spans="1:6" ht="16.5" customHeight="1" x14ac:dyDescent="0.25">
      <c r="A46" s="89" t="s">
        <v>103</v>
      </c>
      <c r="B46" s="90"/>
      <c r="C46" s="90"/>
      <c r="D46" s="91"/>
    </row>
    <row r="47" spans="1:6" ht="15.75" customHeight="1" x14ac:dyDescent="0.25">
      <c r="A47" s="243" t="s">
        <v>104</v>
      </c>
      <c r="B47" s="243"/>
      <c r="C47" s="243"/>
      <c r="D47" s="243"/>
    </row>
    <row r="48" spans="1:6" x14ac:dyDescent="0.25">
      <c r="A48" s="61" t="s">
        <v>105</v>
      </c>
      <c r="B48" s="93" t="s">
        <v>106</v>
      </c>
      <c r="C48" s="61" t="s">
        <v>107</v>
      </c>
      <c r="D48" s="61" t="s">
        <v>79</v>
      </c>
    </row>
    <row r="49" spans="1:5" ht="15.75" customHeight="1" x14ac:dyDescent="0.25">
      <c r="A49" s="249" t="s">
        <v>61</v>
      </c>
      <c r="B49" s="94" t="s">
        <v>108</v>
      </c>
      <c r="C49" s="95">
        <v>5.5</v>
      </c>
      <c r="D49" s="68">
        <f>ROUND(C49*22*2,2)</f>
        <v>242</v>
      </c>
      <c r="E49" s="96"/>
    </row>
    <row r="50" spans="1:5" ht="31.5" x14ac:dyDescent="0.25">
      <c r="A50" s="249"/>
      <c r="B50" s="97" t="s">
        <v>109</v>
      </c>
      <c r="C50" s="98">
        <v>0.06</v>
      </c>
      <c r="D50" s="57">
        <f>ROUND(IF(C50*D14&gt;D49,D49,C50*D14),2)*-1</f>
        <v>-85.01</v>
      </c>
      <c r="E50" s="96"/>
    </row>
    <row r="51" spans="1:5" x14ac:dyDescent="0.25">
      <c r="A51" s="56" t="s">
        <v>63</v>
      </c>
      <c r="B51" s="94" t="s">
        <v>110</v>
      </c>
      <c r="C51" s="95">
        <v>38</v>
      </c>
      <c r="D51" s="68">
        <f>ROUND(C51*22,2)</f>
        <v>836</v>
      </c>
      <c r="E51" s="96"/>
    </row>
    <row r="52" spans="1:5" x14ac:dyDescent="0.25">
      <c r="A52" s="56" t="s">
        <v>65</v>
      </c>
      <c r="B52" s="99" t="s">
        <v>111</v>
      </c>
      <c r="C52" s="95"/>
      <c r="D52" s="68"/>
      <c r="E52" s="96"/>
    </row>
    <row r="53" spans="1:5" x14ac:dyDescent="0.25">
      <c r="A53" s="56" t="s">
        <v>67</v>
      </c>
      <c r="B53" s="99" t="s">
        <v>112</v>
      </c>
      <c r="C53" s="95"/>
      <c r="D53" s="68">
        <v>11.27</v>
      </c>
      <c r="E53" s="96"/>
    </row>
    <row r="54" spans="1:5" x14ac:dyDescent="0.25">
      <c r="A54" s="56" t="s">
        <v>69</v>
      </c>
      <c r="B54" s="99" t="s">
        <v>113</v>
      </c>
      <c r="C54" s="95"/>
      <c r="D54" s="68">
        <v>2.5</v>
      </c>
      <c r="E54" s="96"/>
    </row>
    <row r="55" spans="1:5" x14ac:dyDescent="0.25">
      <c r="A55" s="56" t="s">
        <v>71</v>
      </c>
      <c r="B55" s="94" t="s">
        <v>72</v>
      </c>
      <c r="C55" s="95"/>
      <c r="D55" s="68">
        <f>'Notas_Explicativas_-_Base_Dados'!D41</f>
        <v>0</v>
      </c>
    </row>
    <row r="56" spans="1:5" ht="15.75" customHeight="1" x14ac:dyDescent="0.25">
      <c r="A56" s="234" t="s">
        <v>21</v>
      </c>
      <c r="B56" s="234"/>
      <c r="C56" s="234"/>
      <c r="D56" s="68">
        <f>SUM(D49:D55)</f>
        <v>1006.76</v>
      </c>
    </row>
    <row r="57" spans="1:5" x14ac:dyDescent="0.25">
      <c r="A57" s="81" t="s">
        <v>114</v>
      </c>
      <c r="B57" s="100"/>
      <c r="C57" s="100"/>
      <c r="D57" s="101"/>
    </row>
    <row r="58" spans="1:5" ht="24" customHeight="1" x14ac:dyDescent="0.25">
      <c r="A58" s="247" t="s">
        <v>115</v>
      </c>
      <c r="B58" s="247"/>
      <c r="C58" s="247"/>
      <c r="D58" s="247"/>
    </row>
    <row r="59" spans="1:5" ht="24" customHeight="1" x14ac:dyDescent="0.25">
      <c r="A59" s="247" t="s">
        <v>327</v>
      </c>
      <c r="B59" s="247"/>
      <c r="C59" s="247"/>
      <c r="D59" s="247"/>
    </row>
    <row r="60" spans="1:5" ht="12.75" customHeight="1" x14ac:dyDescent="0.25">
      <c r="A60" s="102"/>
      <c r="B60" s="103"/>
      <c r="C60" s="103"/>
      <c r="D60" s="104"/>
    </row>
    <row r="61" spans="1:5" ht="15.75" customHeight="1" x14ac:dyDescent="0.25">
      <c r="A61" s="243" t="s">
        <v>116</v>
      </c>
      <c r="B61" s="243"/>
      <c r="C61" s="243"/>
      <c r="D61" s="243"/>
    </row>
    <row r="62" spans="1:5" ht="15.75" customHeight="1" x14ac:dyDescent="0.25">
      <c r="A62" s="61">
        <v>2</v>
      </c>
      <c r="B62" s="248" t="s">
        <v>117</v>
      </c>
      <c r="C62" s="248"/>
      <c r="D62" s="61" t="s">
        <v>79</v>
      </c>
    </row>
    <row r="63" spans="1:5" ht="15.75" customHeight="1" x14ac:dyDescent="0.25">
      <c r="A63" s="56" t="s">
        <v>76</v>
      </c>
      <c r="B63" s="246" t="s">
        <v>77</v>
      </c>
      <c r="C63" s="246"/>
      <c r="D63" s="68">
        <f>D29</f>
        <v>384.44</v>
      </c>
      <c r="E63" s="105"/>
    </row>
    <row r="64" spans="1:5" ht="15.75" customHeight="1" x14ac:dyDescent="0.25">
      <c r="A64" s="56" t="s">
        <v>88</v>
      </c>
      <c r="B64" s="246" t="s">
        <v>89</v>
      </c>
      <c r="C64" s="246"/>
      <c r="D64" s="68">
        <f>D43</f>
        <v>464.69000000000005</v>
      </c>
      <c r="E64" s="105"/>
    </row>
    <row r="65" spans="1:5" ht="15.75" customHeight="1" x14ac:dyDescent="0.25">
      <c r="A65" s="56" t="s">
        <v>105</v>
      </c>
      <c r="B65" s="246" t="s">
        <v>106</v>
      </c>
      <c r="C65" s="246"/>
      <c r="D65" s="68">
        <f>D56</f>
        <v>1006.76</v>
      </c>
      <c r="E65" s="105"/>
    </row>
    <row r="66" spans="1:5" ht="15.75" customHeight="1" x14ac:dyDescent="0.25">
      <c r="A66" s="234" t="s">
        <v>21</v>
      </c>
      <c r="B66" s="234"/>
      <c r="C66" s="234"/>
      <c r="D66" s="68">
        <f>SUM(D63:D65)</f>
        <v>1855.89</v>
      </c>
      <c r="E66" s="105"/>
    </row>
    <row r="67" spans="1:5" ht="15.75" customHeight="1" x14ac:dyDescent="0.25">
      <c r="A67" s="243" t="s">
        <v>118</v>
      </c>
      <c r="B67" s="243"/>
      <c r="C67" s="243"/>
      <c r="D67" s="243"/>
    </row>
    <row r="68" spans="1:5" x14ac:dyDescent="0.25">
      <c r="A68" s="61">
        <v>3</v>
      </c>
      <c r="B68" s="61" t="s">
        <v>119</v>
      </c>
      <c r="C68" s="61" t="s">
        <v>120</v>
      </c>
      <c r="D68" s="61" t="s">
        <v>79</v>
      </c>
    </row>
    <row r="69" spans="1:5" x14ac:dyDescent="0.25">
      <c r="A69" s="56" t="s">
        <v>61</v>
      </c>
      <c r="B69" s="106" t="str">
        <f>'Notas_Explicativas_-_Base_Dados'!B48</f>
        <v>Aviso prévio indenizado ((1/12)x 0,055)=0,46%</v>
      </c>
      <c r="C69" s="72">
        <f>'Notas_Explicativas_-_Base_Dados'!C48</f>
        <v>4.5833333333333334E-3</v>
      </c>
      <c r="D69" s="68">
        <f t="shared" ref="D69:D74" si="1">ROUND($D$20*C69,2)</f>
        <v>6.49</v>
      </c>
    </row>
    <row r="70" spans="1:5" x14ac:dyDescent="0.25">
      <c r="A70" s="56" t="s">
        <v>63</v>
      </c>
      <c r="B70" s="106" t="str">
        <f>'Notas_Explicativas_-_Base_Dados'!B49</f>
        <v>Incidência do FGTS sobre aviso prévio indenizado (8%*0,46)=0,04%</v>
      </c>
      <c r="C70" s="72">
        <f>'Notas_Explicativas_-_Base_Dados'!C49</f>
        <v>3.6666666666666667E-4</v>
      </c>
      <c r="D70" s="68">
        <f t="shared" si="1"/>
        <v>0.52</v>
      </c>
    </row>
    <row r="71" spans="1:5" ht="24" customHeight="1" x14ac:dyDescent="0.25">
      <c r="A71" s="56" t="s">
        <v>65</v>
      </c>
      <c r="B71" s="106" t="str">
        <f>'Notas_Explicativas_-_Base_Dados'!B50</f>
        <v>Multa do FGTS s/ aviso prévio indenizado (0,08*0,4*0,9*(1+5/56+5/56+1/3*5/56)</v>
      </c>
      <c r="C71" s="72">
        <f>'Notas_Explicativas_-_Base_Dados'!C50</f>
        <v>3.4799999999999998E-2</v>
      </c>
      <c r="D71" s="68">
        <f t="shared" si="1"/>
        <v>49.3</v>
      </c>
    </row>
    <row r="72" spans="1:5" x14ac:dyDescent="0.25">
      <c r="A72" s="56" t="s">
        <v>67</v>
      </c>
      <c r="B72" s="106" t="str">
        <f>'Notas_Explicativas_-_Base_Dados'!B51</f>
        <v>Aviso prévio trabalhado ((7/30/12))*</v>
      </c>
      <c r="C72" s="72">
        <f>'Notas_Explicativas_-_Base_Dados'!C51</f>
        <v>1.9444444444444445E-2</v>
      </c>
      <c r="D72" s="68">
        <f t="shared" si="1"/>
        <v>27.55</v>
      </c>
    </row>
    <row r="73" spans="1:5" x14ac:dyDescent="0.25">
      <c r="A73" s="56" t="s">
        <v>69</v>
      </c>
      <c r="B73" s="106" t="str">
        <f>'Notas_Explicativas_-_Base_Dados'!B52</f>
        <v>Incidência dos encargos do submódulo 2.2 sobre o aviso prévio trabalhado</v>
      </c>
      <c r="C73" s="72">
        <f>'Notas_Explicativas_-_Base_Dados'!C52</f>
        <v>7.1555555555555565E-3</v>
      </c>
      <c r="D73" s="68">
        <f t="shared" si="1"/>
        <v>10.14</v>
      </c>
    </row>
    <row r="74" spans="1:5" x14ac:dyDescent="0.25">
      <c r="A74" s="56" t="s">
        <v>71</v>
      </c>
      <c r="B74" s="106" t="str">
        <f>'Notas_Explicativas_-_Base_Dados'!B53</f>
        <v>Multa do FGTS sobre o aviso prévio trabalhado (40%*8%*0,04%)</v>
      </c>
      <c r="C74" s="107">
        <f>'Notas_Explicativas_-_Base_Dados'!C53</f>
        <v>6.2222222222222225E-4</v>
      </c>
      <c r="D74" s="68">
        <f t="shared" si="1"/>
        <v>0.88</v>
      </c>
    </row>
    <row r="75" spans="1:5" ht="15.75" customHeight="1" x14ac:dyDescent="0.25">
      <c r="A75" s="234" t="s">
        <v>21</v>
      </c>
      <c r="B75" s="234"/>
      <c r="C75" s="72">
        <f>SUM(C69:C74)</f>
        <v>6.6972222222222225E-2</v>
      </c>
      <c r="D75" s="108">
        <f>SUM(D69:D74)</f>
        <v>94.88</v>
      </c>
    </row>
    <row r="76" spans="1:5" ht="75.75" customHeight="1" x14ac:dyDescent="0.25">
      <c r="A76" s="245" t="str">
        <f>'Notas_Explicativas_-_Base_Dados'!A55:D55</f>
        <v>Nota 1 - Os índices utilizados neste módulo não são fixos e foram obtidos por meio das orientações disponíveis no portal de compras link: https://www.gov.br/compras/pt-br/centrais-de-conteudo/orientacoes-e-procedimentos/11-orientacoes-gerais-para-planilha-de-custos-e-formacao-de-precos, e levantamentos realizados em outras contratações.
Nota 2 - É de responsabiliade de cada licitante definir os seus índices de custos com a provisão de para rescisão. 
* Nota 3 - A parcela mensal a título de aviso prévio trabalhado será no percentual máximo de 1,94% no primeiro ano, e, em caso de prorrogação do contrato, o percentual máximo dessa parcela será de 0,194% a cada ano de prorrogação, a ser incluído por ocasião da formulação do aditivo da prorrogação do contrato, conforme a Lei 12.506/2011" (TCU no Acórdão nº 1.186/2017 - Plenário)</v>
      </c>
      <c r="B76" s="245"/>
      <c r="C76" s="245"/>
      <c r="D76" s="245"/>
    </row>
    <row r="77" spans="1:5" ht="15.75" customHeight="1" x14ac:dyDescent="0.25">
      <c r="A77" s="243" t="s">
        <v>121</v>
      </c>
      <c r="B77" s="243"/>
      <c r="C77" s="243"/>
      <c r="D77" s="243"/>
    </row>
    <row r="78" spans="1:5" ht="16.5" customHeight="1" x14ac:dyDescent="0.25">
      <c r="A78" s="240" t="s">
        <v>122</v>
      </c>
      <c r="B78" s="240"/>
      <c r="C78" s="240"/>
      <c r="D78" s="240"/>
    </row>
    <row r="79" spans="1:5" x14ac:dyDescent="0.25">
      <c r="A79" s="75" t="s">
        <v>123</v>
      </c>
      <c r="B79" s="76" t="s">
        <v>124</v>
      </c>
      <c r="C79" s="76" t="s">
        <v>120</v>
      </c>
      <c r="D79" s="76" t="s">
        <v>79</v>
      </c>
    </row>
    <row r="80" spans="1:5" x14ac:dyDescent="0.25">
      <c r="A80" s="65" t="s">
        <v>61</v>
      </c>
      <c r="B80" s="66" t="s">
        <v>125</v>
      </c>
      <c r="C80" s="109">
        <f>'Notas_Explicativas_-_Base_Dados'!C59</f>
        <v>8.3333333333333329E-2</v>
      </c>
      <c r="D80" s="68">
        <f t="shared" ref="D80:D85" si="2">ROUND($D$20*C80,2)</f>
        <v>118.06</v>
      </c>
    </row>
    <row r="81" spans="1:4" x14ac:dyDescent="0.25">
      <c r="A81" s="65" t="s">
        <v>63</v>
      </c>
      <c r="B81" s="66" t="s">
        <v>126</v>
      </c>
      <c r="C81" s="109">
        <f>'Notas_Explicativas_-_Base_Dados'!C60</f>
        <v>2.8E-3</v>
      </c>
      <c r="D81" s="68">
        <f t="shared" si="2"/>
        <v>3.97</v>
      </c>
    </row>
    <row r="82" spans="1:4" x14ac:dyDescent="0.25">
      <c r="A82" s="65" t="s">
        <v>65</v>
      </c>
      <c r="B82" s="66" t="s">
        <v>127</v>
      </c>
      <c r="C82" s="109">
        <f>'Notas_Explicativas_-_Base_Dados'!C61</f>
        <v>4.0000000000000002E-4</v>
      </c>
      <c r="D82" s="68">
        <f t="shared" si="2"/>
        <v>0.56999999999999995</v>
      </c>
    </row>
    <row r="83" spans="1:4" x14ac:dyDescent="0.25">
      <c r="A83" s="65" t="s">
        <v>67</v>
      </c>
      <c r="B83" s="66" t="s">
        <v>128</v>
      </c>
      <c r="C83" s="109">
        <f>'Notas_Explicativas_-_Base_Dados'!C62</f>
        <v>2.7000000000000001E-3</v>
      </c>
      <c r="D83" s="68">
        <f t="shared" si="2"/>
        <v>3.83</v>
      </c>
    </row>
    <row r="84" spans="1:4" x14ac:dyDescent="0.25">
      <c r="A84" s="65" t="s">
        <v>69</v>
      </c>
      <c r="B84" s="66" t="s">
        <v>129</v>
      </c>
      <c r="C84" s="109">
        <f>'Notas_Explicativas_-_Base_Dados'!C63</f>
        <v>2.9999999999999997E-4</v>
      </c>
      <c r="D84" s="68">
        <f t="shared" si="2"/>
        <v>0.43</v>
      </c>
    </row>
    <row r="85" spans="1:4" x14ac:dyDescent="0.25">
      <c r="A85" s="65" t="s">
        <v>71</v>
      </c>
      <c r="B85" s="66" t="s">
        <v>130</v>
      </c>
      <c r="C85" s="109">
        <f>'Notas_Explicativas_-_Base_Dados'!C64</f>
        <v>0</v>
      </c>
      <c r="D85" s="68">
        <f t="shared" si="2"/>
        <v>0</v>
      </c>
    </row>
    <row r="86" spans="1:4" ht="15.75" customHeight="1" x14ac:dyDescent="0.25">
      <c r="A86" s="242" t="s">
        <v>100</v>
      </c>
      <c r="B86" s="242"/>
      <c r="C86" s="110">
        <f>SUM(C80:C85)</f>
        <v>8.9533333333333312E-2</v>
      </c>
      <c r="D86" s="80">
        <f>SUM(D80:D85)</f>
        <v>126.86</v>
      </c>
    </row>
    <row r="87" spans="1:4" ht="27" customHeight="1" x14ac:dyDescent="0.25">
      <c r="A87" s="244"/>
      <c r="B87" s="244"/>
      <c r="C87" s="244"/>
      <c r="D87" s="244"/>
    </row>
    <row r="88" spans="1:4" ht="16.5" customHeight="1" x14ac:dyDescent="0.25">
      <c r="A88" s="240" t="s">
        <v>131</v>
      </c>
      <c r="B88" s="240"/>
      <c r="C88" s="240"/>
      <c r="D88" s="240"/>
    </row>
    <row r="89" spans="1:4" x14ac:dyDescent="0.25">
      <c r="A89" s="75" t="s">
        <v>132</v>
      </c>
      <c r="B89" s="76" t="s">
        <v>133</v>
      </c>
      <c r="C89" s="76" t="s">
        <v>120</v>
      </c>
      <c r="D89" s="76" t="s">
        <v>79</v>
      </c>
    </row>
    <row r="90" spans="1:4" x14ac:dyDescent="0.25">
      <c r="A90" s="65" t="s">
        <v>61</v>
      </c>
      <c r="B90" s="66" t="s">
        <v>134</v>
      </c>
      <c r="C90" s="111"/>
      <c r="D90" s="111"/>
    </row>
    <row r="91" spans="1:4" ht="15.75" customHeight="1" x14ac:dyDescent="0.25">
      <c r="A91" s="242" t="s">
        <v>21</v>
      </c>
      <c r="B91" s="242"/>
      <c r="C91" s="112"/>
      <c r="D91" s="112"/>
    </row>
    <row r="92" spans="1:4" ht="21" customHeight="1" x14ac:dyDescent="0.25">
      <c r="A92" s="245" t="s">
        <v>135</v>
      </c>
      <c r="B92" s="245"/>
      <c r="C92" s="245"/>
      <c r="D92" s="245"/>
    </row>
    <row r="93" spans="1:4" ht="15.75" customHeight="1" x14ac:dyDescent="0.25">
      <c r="A93" s="243" t="s">
        <v>136</v>
      </c>
      <c r="B93" s="243"/>
      <c r="C93" s="243"/>
      <c r="D93" s="243"/>
    </row>
    <row r="94" spans="1:4" x14ac:dyDescent="0.25">
      <c r="A94" s="63">
        <v>4</v>
      </c>
      <c r="B94" s="64" t="s">
        <v>137</v>
      </c>
      <c r="C94" s="64"/>
      <c r="D94" s="64" t="s">
        <v>79</v>
      </c>
    </row>
    <row r="95" spans="1:4" x14ac:dyDescent="0.25">
      <c r="A95" s="65" t="s">
        <v>123</v>
      </c>
      <c r="B95" s="66" t="s">
        <v>138</v>
      </c>
      <c r="C95" s="109">
        <f>C86</f>
        <v>8.9533333333333312E-2</v>
      </c>
      <c r="D95" s="113">
        <f>D86</f>
        <v>126.86</v>
      </c>
    </row>
    <row r="96" spans="1:4" x14ac:dyDescent="0.25">
      <c r="A96" s="65" t="s">
        <v>132</v>
      </c>
      <c r="B96" s="66" t="s">
        <v>139</v>
      </c>
      <c r="C96" s="111"/>
      <c r="D96" s="111"/>
    </row>
    <row r="97" spans="1:6" ht="15.75" customHeight="1" x14ac:dyDescent="0.25">
      <c r="A97" s="242" t="s">
        <v>21</v>
      </c>
      <c r="B97" s="242"/>
      <c r="C97" s="112"/>
      <c r="D97" s="114">
        <f>SUM(D95:D96)</f>
        <v>126.86</v>
      </c>
    </row>
    <row r="98" spans="1:6" ht="16.5" customHeight="1" x14ac:dyDescent="0.25">
      <c r="A98" s="243" t="s">
        <v>140</v>
      </c>
      <c r="B98" s="243"/>
      <c r="C98" s="243"/>
      <c r="D98" s="243"/>
    </row>
    <row r="99" spans="1:6" x14ac:dyDescent="0.25">
      <c r="A99" s="63">
        <v>5</v>
      </c>
      <c r="B99" s="115" t="s">
        <v>141</v>
      </c>
      <c r="C99" s="64"/>
      <c r="D99" s="64" t="s">
        <v>79</v>
      </c>
    </row>
    <row r="100" spans="1:6" x14ac:dyDescent="0.25">
      <c r="A100" s="65" t="s">
        <v>61</v>
      </c>
      <c r="B100" s="66" t="s">
        <v>142</v>
      </c>
      <c r="C100" s="116"/>
      <c r="D100" s="77">
        <f>'Equipamentos_ 24.03.22'!L19</f>
        <v>20.147906249999998</v>
      </c>
    </row>
    <row r="101" spans="1:6" x14ac:dyDescent="0.25">
      <c r="A101" s="65" t="s">
        <v>63</v>
      </c>
      <c r="B101" s="66" t="s">
        <v>143</v>
      </c>
      <c r="C101" s="116"/>
      <c r="D101" s="77">
        <f>'Materiais_24.03.22'!L43</f>
        <v>795.4452083333332</v>
      </c>
    </row>
    <row r="102" spans="1:6" x14ac:dyDescent="0.25">
      <c r="A102" s="65" t="s">
        <v>65</v>
      </c>
      <c r="B102" s="66" t="s">
        <v>144</v>
      </c>
      <c r="C102" s="116"/>
      <c r="D102" s="77">
        <v>0</v>
      </c>
    </row>
    <row r="103" spans="1:6" x14ac:dyDescent="0.25">
      <c r="A103" s="65" t="s">
        <v>67</v>
      </c>
      <c r="B103" s="66" t="s">
        <v>145</v>
      </c>
      <c r="C103" s="116"/>
      <c r="D103" s="77">
        <f>'Uniforme_24.03.22'!L12</f>
        <v>45.036666666666669</v>
      </c>
    </row>
    <row r="104" spans="1:6" ht="15.75" customHeight="1" x14ac:dyDescent="0.25">
      <c r="A104" s="242" t="s">
        <v>100</v>
      </c>
      <c r="B104" s="242"/>
      <c r="C104" s="117"/>
      <c r="D104" s="80">
        <f>SUM(D100:D103)</f>
        <v>860.62978124999984</v>
      </c>
      <c r="E104" s="118"/>
    </row>
    <row r="105" spans="1:6" ht="16.5" customHeight="1" x14ac:dyDescent="0.25">
      <c r="A105" s="243" t="s">
        <v>146</v>
      </c>
      <c r="B105" s="243"/>
      <c r="C105" s="243"/>
      <c r="D105" s="243"/>
    </row>
    <row r="106" spans="1:6" x14ac:dyDescent="0.25">
      <c r="A106" s="61">
        <v>6</v>
      </c>
      <c r="B106" s="93" t="s">
        <v>147</v>
      </c>
      <c r="C106" s="61" t="s">
        <v>78</v>
      </c>
      <c r="D106" s="61" t="s">
        <v>79</v>
      </c>
    </row>
    <row r="107" spans="1:6" x14ac:dyDescent="0.25">
      <c r="A107" s="56" t="s">
        <v>61</v>
      </c>
      <c r="B107" s="94" t="s">
        <v>148</v>
      </c>
      <c r="C107" s="72">
        <f>Média_Índices_Lucro_e_CI!Q25</f>
        <v>4.0183333333333335E-2</v>
      </c>
      <c r="D107" s="56">
        <f>ROUND(C107*D125,2)</f>
        <v>175</v>
      </c>
      <c r="E107" s="96"/>
    </row>
    <row r="108" spans="1:6" x14ac:dyDescent="0.25">
      <c r="A108" s="56" t="s">
        <v>63</v>
      </c>
      <c r="B108" s="94" t="s">
        <v>149</v>
      </c>
      <c r="C108" s="72">
        <f>Média_Índices_Lucro_e_CI!Q26</f>
        <v>4.5119999999999993E-2</v>
      </c>
      <c r="D108" s="56">
        <f>ROUND((D125+D107)*C108,2)</f>
        <v>204.39</v>
      </c>
      <c r="E108" s="119"/>
      <c r="F108" s="120"/>
    </row>
    <row r="109" spans="1:6" x14ac:dyDescent="0.25">
      <c r="A109" s="56"/>
      <c r="B109" s="56" t="s">
        <v>150</v>
      </c>
      <c r="C109" s="72">
        <f>SUM(C107:C108)</f>
        <v>8.5303333333333328E-2</v>
      </c>
      <c r="D109" s="56">
        <f>SUM(D107:D108)</f>
        <v>379.39</v>
      </c>
    </row>
    <row r="110" spans="1:6" x14ac:dyDescent="0.25">
      <c r="A110" s="56" t="s">
        <v>65</v>
      </c>
      <c r="B110" s="94" t="s">
        <v>151</v>
      </c>
      <c r="C110" s="121"/>
      <c r="D110" s="56"/>
    </row>
    <row r="111" spans="1:6" x14ac:dyDescent="0.25">
      <c r="A111" s="56"/>
      <c r="B111" s="122" t="s">
        <v>152</v>
      </c>
      <c r="C111" s="72">
        <f>'Notas_Explicativas_-_Base_Dados'!C72</f>
        <v>6.4999999999999997E-3</v>
      </c>
      <c r="D111" s="56">
        <f>ROUND(C111*$D$127,2)</f>
        <v>33.69</v>
      </c>
      <c r="E111" s="54"/>
    </row>
    <row r="112" spans="1:6" x14ac:dyDescent="0.25">
      <c r="A112" s="56"/>
      <c r="B112" s="122" t="s">
        <v>153</v>
      </c>
      <c r="C112" s="72">
        <f>'Notas_Explicativas_-_Base_Dados'!C73</f>
        <v>0.03</v>
      </c>
      <c r="D112" s="56">
        <f>ROUND(C112*$D$127,2)</f>
        <v>155.47999999999999</v>
      </c>
    </row>
    <row r="113" spans="1:7" x14ac:dyDescent="0.25">
      <c r="A113" s="56"/>
      <c r="B113" s="122" t="s">
        <v>154</v>
      </c>
      <c r="C113" s="72">
        <f>'Notas_Explicativas_-_Base_Dados'!C74</f>
        <v>0.05</v>
      </c>
      <c r="D113" s="56">
        <f>ROUND(C113*$D$127,2)</f>
        <v>259.14</v>
      </c>
      <c r="G113" s="54"/>
    </row>
    <row r="114" spans="1:7" x14ac:dyDescent="0.25">
      <c r="A114" s="56"/>
      <c r="B114" s="56" t="s">
        <v>155</v>
      </c>
      <c r="C114" s="72">
        <f>SUM(C111:C113)</f>
        <v>8.6499999999999994E-2</v>
      </c>
      <c r="D114" s="56">
        <f>SUM(D111:D113)</f>
        <v>448.30999999999995</v>
      </c>
    </row>
    <row r="115" spans="1:7" ht="15.75" customHeight="1" x14ac:dyDescent="0.25">
      <c r="A115" s="234" t="s">
        <v>100</v>
      </c>
      <c r="B115" s="234"/>
      <c r="C115" s="72">
        <f>C114+C109</f>
        <v>0.17180333333333331</v>
      </c>
      <c r="D115" s="56">
        <f>D114+D109</f>
        <v>827.69999999999993</v>
      </c>
    </row>
    <row r="116" spans="1:7" ht="39" customHeight="1" x14ac:dyDescent="0.25">
      <c r="A116" s="238" t="str">
        <f>'Notas_Explicativas_-_Base_Dados'!A77:D77</f>
        <v>Nota 1: É de responsabilidade de cada licitante o estabelecimento dos índices de Custos Indiretos e de Lucro. Porém, apenas para fins de apuração do valor máximo aceitável para o posto de trabalho, foram utilizados como referência a média dos índices utilizados pelas empresas em diversos pregões, excluindo-se aqueles que destoam-se do alinhamento dos demais índices pesquisados.</v>
      </c>
      <c r="B116" s="238"/>
      <c r="C116" s="238"/>
      <c r="D116" s="238"/>
    </row>
    <row r="117" spans="1:7" x14ac:dyDescent="0.25">
      <c r="A117" s="239" t="s">
        <v>156</v>
      </c>
      <c r="B117" s="239"/>
      <c r="C117" s="239"/>
      <c r="D117" s="239"/>
    </row>
    <row r="118" spans="1:7" ht="16.5" customHeight="1" x14ac:dyDescent="0.25">
      <c r="A118" s="240" t="s">
        <v>157</v>
      </c>
      <c r="B118" s="240"/>
      <c r="C118" s="240"/>
      <c r="D118" s="240"/>
    </row>
    <row r="119" spans="1:7" ht="16.5" customHeight="1" x14ac:dyDescent="0.25">
      <c r="A119" s="241" t="s">
        <v>158</v>
      </c>
      <c r="B119" s="241"/>
      <c r="C119" s="241"/>
      <c r="D119" s="76" t="s">
        <v>79</v>
      </c>
      <c r="G119" s="58"/>
    </row>
    <row r="120" spans="1:7" ht="16.5" customHeight="1" x14ac:dyDescent="0.25">
      <c r="A120" s="63" t="s">
        <v>61</v>
      </c>
      <c r="B120" s="236" t="s">
        <v>60</v>
      </c>
      <c r="C120" s="236"/>
      <c r="D120" s="123">
        <f>D20</f>
        <v>1416.75</v>
      </c>
    </row>
    <row r="121" spans="1:7" ht="16.5" customHeight="1" x14ac:dyDescent="0.25">
      <c r="A121" s="63" t="s">
        <v>63</v>
      </c>
      <c r="B121" s="236" t="s">
        <v>74</v>
      </c>
      <c r="C121" s="236"/>
      <c r="D121" s="124">
        <f>D66</f>
        <v>1855.89</v>
      </c>
    </row>
    <row r="122" spans="1:7" ht="16.5" customHeight="1" x14ac:dyDescent="0.25">
      <c r="A122" s="63" t="s">
        <v>65</v>
      </c>
      <c r="B122" s="236" t="s">
        <v>118</v>
      </c>
      <c r="C122" s="236"/>
      <c r="D122" s="124">
        <f>D75</f>
        <v>94.88</v>
      </c>
    </row>
    <row r="123" spans="1:7" ht="16.5" customHeight="1" x14ac:dyDescent="0.25">
      <c r="A123" s="63" t="s">
        <v>67</v>
      </c>
      <c r="B123" s="236" t="s">
        <v>121</v>
      </c>
      <c r="C123" s="236"/>
      <c r="D123" s="124">
        <f>D97</f>
        <v>126.86</v>
      </c>
    </row>
    <row r="124" spans="1:7" ht="16.5" customHeight="1" x14ac:dyDescent="0.25">
      <c r="A124" s="63" t="s">
        <v>69</v>
      </c>
      <c r="B124" s="236" t="s">
        <v>140</v>
      </c>
      <c r="C124" s="236"/>
      <c r="D124" s="124">
        <f>D104</f>
        <v>860.62978124999984</v>
      </c>
    </row>
    <row r="125" spans="1:7" ht="16.5" customHeight="1" x14ac:dyDescent="0.25">
      <c r="A125" s="237" t="s">
        <v>159</v>
      </c>
      <c r="B125" s="237"/>
      <c r="C125" s="237"/>
      <c r="D125" s="125">
        <f>SUM(D120:D124)</f>
        <v>4355.0097812500007</v>
      </c>
      <c r="E125" s="118"/>
    </row>
    <row r="126" spans="1:7" ht="16.5" customHeight="1" x14ac:dyDescent="0.25">
      <c r="A126" s="63" t="s">
        <v>71</v>
      </c>
      <c r="B126" s="232" t="s">
        <v>160</v>
      </c>
      <c r="C126" s="232"/>
      <c r="D126" s="95">
        <f>D107+D108+D114</f>
        <v>827.69999999999993</v>
      </c>
      <c r="E126" s="126"/>
      <c r="F126" s="96"/>
    </row>
    <row r="127" spans="1:7" ht="16.5" customHeight="1" x14ac:dyDescent="0.25">
      <c r="A127" s="233" t="s">
        <v>161</v>
      </c>
      <c r="B127" s="233"/>
      <c r="C127" s="233"/>
      <c r="D127" s="127">
        <f>ROUND((D125+D107+D108)/(1-C114),2)</f>
        <v>5182.7</v>
      </c>
      <c r="E127" s="120"/>
      <c r="F127" s="128"/>
    </row>
    <row r="128" spans="1:7" ht="15.75" customHeight="1" x14ac:dyDescent="0.25">
      <c r="A128" s="234" t="s">
        <v>162</v>
      </c>
      <c r="B128" s="234"/>
      <c r="C128" s="234"/>
      <c r="D128" s="129">
        <v>1</v>
      </c>
      <c r="E128" s="74"/>
    </row>
    <row r="129" spans="1:4" ht="15.75" customHeight="1" x14ac:dyDescent="0.25">
      <c r="A129" s="235" t="s">
        <v>163</v>
      </c>
      <c r="B129" s="235"/>
      <c r="C129" s="235"/>
      <c r="D129" s="130">
        <f>D127*D128</f>
        <v>5182.7</v>
      </c>
    </row>
    <row r="131" spans="1:4" x14ac:dyDescent="0.25">
      <c r="B131" s="131"/>
      <c r="C131" s="132"/>
    </row>
    <row r="132" spans="1:4" x14ac:dyDescent="0.25">
      <c r="B132" s="131"/>
    </row>
  </sheetData>
  <mergeCells count="69">
    <mergeCell ref="A1:D1"/>
    <mergeCell ref="A2:D2"/>
    <mergeCell ref="A3:D3"/>
    <mergeCell ref="A4:D4"/>
    <mergeCell ref="C5:D5"/>
    <mergeCell ref="C6:D6"/>
    <mergeCell ref="C7:D7"/>
    <mergeCell ref="C8:D8"/>
    <mergeCell ref="C9:D9"/>
    <mergeCell ref="C10:D10"/>
    <mergeCell ref="A11:D11"/>
    <mergeCell ref="A12:D12"/>
    <mergeCell ref="A13:D13"/>
    <mergeCell ref="B14:C14"/>
    <mergeCell ref="B16:C16"/>
    <mergeCell ref="B17:C17"/>
    <mergeCell ref="B18:C18"/>
    <mergeCell ref="B19:C19"/>
    <mergeCell ref="A20:C20"/>
    <mergeCell ref="A21:C21"/>
    <mergeCell ref="A22:D22"/>
    <mergeCell ref="A23:D23"/>
    <mergeCell ref="A27:B27"/>
    <mergeCell ref="A30:D30"/>
    <mergeCell ref="A31:D31"/>
    <mergeCell ref="A32:D32"/>
    <mergeCell ref="A33:D33"/>
    <mergeCell ref="A43:B43"/>
    <mergeCell ref="A47:D47"/>
    <mergeCell ref="A49:A50"/>
    <mergeCell ref="A56:C56"/>
    <mergeCell ref="A58:D58"/>
    <mergeCell ref="A59:D59"/>
    <mergeCell ref="A61:D61"/>
    <mergeCell ref="B62:C62"/>
    <mergeCell ref="B63:C63"/>
    <mergeCell ref="B64:C64"/>
    <mergeCell ref="B65:C65"/>
    <mergeCell ref="A66:C66"/>
    <mergeCell ref="A67:D67"/>
    <mergeCell ref="A75:B75"/>
    <mergeCell ref="A76:D76"/>
    <mergeCell ref="A77:D77"/>
    <mergeCell ref="A78:D78"/>
    <mergeCell ref="A86:B86"/>
    <mergeCell ref="A87:D87"/>
    <mergeCell ref="A88:D88"/>
    <mergeCell ref="A91:B91"/>
    <mergeCell ref="A92:D92"/>
    <mergeCell ref="A93:D93"/>
    <mergeCell ref="A97:B97"/>
    <mergeCell ref="A98:D98"/>
    <mergeCell ref="A104:B104"/>
    <mergeCell ref="A105:D105"/>
    <mergeCell ref="A115:B115"/>
    <mergeCell ref="A116:D116"/>
    <mergeCell ref="A117:D117"/>
    <mergeCell ref="A118:D118"/>
    <mergeCell ref="A119:C119"/>
    <mergeCell ref="B120:C120"/>
    <mergeCell ref="B126:C126"/>
    <mergeCell ref="A127:C127"/>
    <mergeCell ref="A128:C128"/>
    <mergeCell ref="A129:C129"/>
    <mergeCell ref="B121:C121"/>
    <mergeCell ref="B122:C122"/>
    <mergeCell ref="B123:C123"/>
    <mergeCell ref="B124:C124"/>
    <mergeCell ref="A125:C125"/>
  </mergeCells>
  <printOptions horizontalCentered="1" verticalCentered="1"/>
  <pageMargins left="0.31527777777777799" right="0.118055555555556" top="0.196527777777778" bottom="0.196527777777778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J23"/>
  <sheetViews>
    <sheetView zoomScale="155" zoomScaleNormal="155" workbookViewId="0">
      <selection activeCell="E6" sqref="E6"/>
    </sheetView>
  </sheetViews>
  <sheetFormatPr defaultColWidth="9.140625" defaultRowHeight="15.75" x14ac:dyDescent="0.25"/>
  <cols>
    <col min="1" max="1" width="7.85546875" style="133" customWidth="1"/>
    <col min="2" max="2" width="11.7109375" style="133" customWidth="1"/>
    <col min="3" max="3" width="35.85546875" style="133" customWidth="1"/>
    <col min="4" max="4" width="9" style="133" customWidth="1"/>
    <col min="5" max="5" width="11.7109375" style="133" customWidth="1"/>
    <col min="6" max="6" width="8.42578125" style="133" customWidth="1"/>
    <col min="7" max="7" width="16.140625" style="134" customWidth="1"/>
    <col min="8" max="8" width="11.7109375" style="134" customWidth="1"/>
    <col min="9" max="9" width="14.28515625" style="134" customWidth="1"/>
    <col min="10" max="10" width="13.28515625" style="134" customWidth="1"/>
    <col min="11" max="11" width="8.7109375" style="134" customWidth="1"/>
    <col min="12" max="12" width="14.42578125" style="134" customWidth="1"/>
    <col min="13" max="1024" width="9.140625" style="133"/>
  </cols>
  <sheetData>
    <row r="1" spans="1:18" ht="16.5" customHeight="1" x14ac:dyDescent="0.25">
      <c r="A1" s="262" t="s">
        <v>164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262"/>
    </row>
    <row r="2" spans="1:18" ht="77.25" customHeight="1" x14ac:dyDescent="0.25">
      <c r="A2" s="135" t="s">
        <v>165</v>
      </c>
      <c r="B2" s="136" t="s">
        <v>166</v>
      </c>
      <c r="C2" s="135" t="s">
        <v>167</v>
      </c>
      <c r="D2" s="137" t="s">
        <v>168</v>
      </c>
      <c r="E2" s="135" t="s">
        <v>169</v>
      </c>
      <c r="F2" s="135" t="s">
        <v>170</v>
      </c>
      <c r="G2" s="135" t="s">
        <v>171</v>
      </c>
      <c r="H2" s="135" t="s">
        <v>172</v>
      </c>
      <c r="I2" s="138" t="s">
        <v>173</v>
      </c>
      <c r="J2" s="138" t="s">
        <v>174</v>
      </c>
      <c r="K2" s="138" t="s">
        <v>175</v>
      </c>
      <c r="L2" s="135" t="s">
        <v>176</v>
      </c>
    </row>
    <row r="3" spans="1:18" s="146" customFormat="1" ht="75.95" customHeight="1" x14ac:dyDescent="0.2">
      <c r="A3" s="139">
        <v>1</v>
      </c>
      <c r="B3" s="140">
        <v>388812</v>
      </c>
      <c r="C3" s="141" t="s">
        <v>177</v>
      </c>
      <c r="D3" s="139" t="s">
        <v>178</v>
      </c>
      <c r="E3" s="139">
        <v>2</v>
      </c>
      <c r="F3" s="139" t="s">
        <v>170</v>
      </c>
      <c r="G3" s="142">
        <v>533.97</v>
      </c>
      <c r="H3" s="143">
        <f t="shared" ref="H3:H13" si="0">G3*E3</f>
        <v>1067.94</v>
      </c>
      <c r="I3" s="144">
        <f t="shared" ref="I3:I13" si="1">H3*0.1</f>
        <v>106.79400000000001</v>
      </c>
      <c r="J3" s="143">
        <f t="shared" ref="J3:J13" si="2">H3-I3</f>
        <v>961.14600000000007</v>
      </c>
      <c r="K3" s="145">
        <v>10</v>
      </c>
      <c r="L3" s="143">
        <f t="shared" ref="L3:L13" si="3">J3/K3</f>
        <v>96.11460000000001</v>
      </c>
      <c r="M3" s="133"/>
      <c r="N3" s="133"/>
      <c r="O3" s="133"/>
      <c r="P3" s="133"/>
      <c r="Q3" s="133"/>
      <c r="R3" s="133"/>
    </row>
    <row r="4" spans="1:18" s="146" customFormat="1" ht="91.5" customHeight="1" x14ac:dyDescent="0.2">
      <c r="A4" s="139">
        <v>2</v>
      </c>
      <c r="B4" s="145">
        <v>399576</v>
      </c>
      <c r="C4" s="145" t="s">
        <v>179</v>
      </c>
      <c r="D4" s="139" t="s">
        <v>178</v>
      </c>
      <c r="E4" s="139">
        <v>1</v>
      </c>
      <c r="F4" s="139" t="s">
        <v>170</v>
      </c>
      <c r="G4" s="142">
        <v>198</v>
      </c>
      <c r="H4" s="143">
        <f t="shared" si="0"/>
        <v>198</v>
      </c>
      <c r="I4" s="144">
        <f t="shared" si="1"/>
        <v>19.8</v>
      </c>
      <c r="J4" s="143">
        <f t="shared" si="2"/>
        <v>178.2</v>
      </c>
      <c r="K4" s="145">
        <v>5</v>
      </c>
      <c r="L4" s="143">
        <f t="shared" si="3"/>
        <v>35.64</v>
      </c>
      <c r="M4" s="133"/>
      <c r="N4" s="133"/>
      <c r="O4" s="133"/>
      <c r="P4" s="133"/>
      <c r="Q4" s="133"/>
      <c r="R4" s="133"/>
    </row>
    <row r="5" spans="1:18" s="146" customFormat="1" ht="78.2" customHeight="1" x14ac:dyDescent="0.2">
      <c r="A5" s="139">
        <v>3</v>
      </c>
      <c r="B5" s="147">
        <v>30163</v>
      </c>
      <c r="C5" s="145" t="s">
        <v>180</v>
      </c>
      <c r="D5" s="139" t="s">
        <v>178</v>
      </c>
      <c r="E5" s="139">
        <v>1</v>
      </c>
      <c r="F5" s="139" t="s">
        <v>170</v>
      </c>
      <c r="G5" s="142">
        <v>2368.62</v>
      </c>
      <c r="H5" s="143">
        <f t="shared" si="0"/>
        <v>2368.62</v>
      </c>
      <c r="I5" s="144">
        <f t="shared" si="1"/>
        <v>236.86199999999999</v>
      </c>
      <c r="J5" s="143">
        <f t="shared" si="2"/>
        <v>2131.7579999999998</v>
      </c>
      <c r="K5" s="145">
        <v>10</v>
      </c>
      <c r="L5" s="143">
        <f t="shared" si="3"/>
        <v>213.17579999999998</v>
      </c>
      <c r="M5" s="133"/>
      <c r="N5" s="133"/>
      <c r="O5" s="133"/>
      <c r="P5" s="133"/>
      <c r="Q5" s="133"/>
      <c r="R5" s="133"/>
    </row>
    <row r="6" spans="1:18" s="146" customFormat="1" ht="87.2" customHeight="1" x14ac:dyDescent="0.2">
      <c r="A6" s="139">
        <v>4</v>
      </c>
      <c r="B6" s="140">
        <v>123242</v>
      </c>
      <c r="C6" s="145" t="s">
        <v>181</v>
      </c>
      <c r="D6" s="139" t="s">
        <v>178</v>
      </c>
      <c r="E6" s="139">
        <v>3</v>
      </c>
      <c r="F6" s="139" t="s">
        <v>170</v>
      </c>
      <c r="G6" s="142">
        <v>348.02</v>
      </c>
      <c r="H6" s="143">
        <f t="shared" si="0"/>
        <v>1044.06</v>
      </c>
      <c r="I6" s="144">
        <f t="shared" si="1"/>
        <v>104.40600000000001</v>
      </c>
      <c r="J6" s="143">
        <f t="shared" si="2"/>
        <v>939.654</v>
      </c>
      <c r="K6" s="145">
        <v>5</v>
      </c>
      <c r="L6" s="143">
        <f t="shared" si="3"/>
        <v>187.9308</v>
      </c>
      <c r="M6" s="133"/>
      <c r="N6" s="133"/>
      <c r="O6" s="133"/>
      <c r="P6" s="133"/>
      <c r="Q6" s="133"/>
      <c r="R6" s="133"/>
    </row>
    <row r="7" spans="1:18" s="146" customFormat="1" ht="140.85" customHeight="1" x14ac:dyDescent="0.2">
      <c r="A7" s="139">
        <v>5</v>
      </c>
      <c r="B7" s="140">
        <v>150245</v>
      </c>
      <c r="C7" s="148" t="s">
        <v>182</v>
      </c>
      <c r="D7" s="149" t="s">
        <v>178</v>
      </c>
      <c r="E7" s="149">
        <v>1</v>
      </c>
      <c r="F7" s="149" t="s">
        <v>170</v>
      </c>
      <c r="G7" s="142">
        <v>534.83000000000004</v>
      </c>
      <c r="H7" s="142">
        <f t="shared" si="0"/>
        <v>534.83000000000004</v>
      </c>
      <c r="I7" s="150">
        <f t="shared" si="1"/>
        <v>53.483000000000004</v>
      </c>
      <c r="J7" s="142">
        <f t="shared" si="2"/>
        <v>481.34700000000004</v>
      </c>
      <c r="K7" s="148">
        <v>10</v>
      </c>
      <c r="L7" s="142">
        <f t="shared" si="3"/>
        <v>48.134700000000002</v>
      </c>
      <c r="M7" s="133"/>
      <c r="N7" s="133"/>
      <c r="O7" s="133"/>
      <c r="P7" s="133"/>
      <c r="Q7" s="133"/>
      <c r="R7" s="133"/>
    </row>
    <row r="8" spans="1:18" s="146" customFormat="1" ht="66.2" customHeight="1" x14ac:dyDescent="0.2">
      <c r="A8" s="139">
        <v>6</v>
      </c>
      <c r="B8" s="140">
        <v>372651</v>
      </c>
      <c r="C8" s="148" t="s">
        <v>183</v>
      </c>
      <c r="D8" s="149" t="s">
        <v>178</v>
      </c>
      <c r="E8" s="149">
        <v>6</v>
      </c>
      <c r="F8" s="149" t="s">
        <v>170</v>
      </c>
      <c r="G8" s="142">
        <v>23.61</v>
      </c>
      <c r="H8" s="142">
        <f t="shared" si="0"/>
        <v>141.66</v>
      </c>
      <c r="I8" s="150">
        <f t="shared" si="1"/>
        <v>14.166</v>
      </c>
      <c r="J8" s="142">
        <f t="shared" si="2"/>
        <v>127.494</v>
      </c>
      <c r="K8" s="148">
        <v>5</v>
      </c>
      <c r="L8" s="142">
        <f t="shared" si="3"/>
        <v>25.498799999999999</v>
      </c>
      <c r="M8" s="133"/>
      <c r="N8" s="133"/>
      <c r="O8" s="133"/>
      <c r="P8" s="133"/>
      <c r="Q8" s="133"/>
      <c r="R8" s="133"/>
    </row>
    <row r="9" spans="1:18" s="146" customFormat="1" ht="71.099999999999994" customHeight="1" x14ac:dyDescent="0.2">
      <c r="A9" s="139">
        <v>7</v>
      </c>
      <c r="B9" s="140">
        <v>405636</v>
      </c>
      <c r="C9" s="148" t="s">
        <v>184</v>
      </c>
      <c r="D9" s="149" t="s">
        <v>178</v>
      </c>
      <c r="E9" s="149">
        <v>6</v>
      </c>
      <c r="F9" s="149" t="s">
        <v>170</v>
      </c>
      <c r="G9" s="142">
        <v>18.82</v>
      </c>
      <c r="H9" s="142">
        <f t="shared" si="0"/>
        <v>112.92</v>
      </c>
      <c r="I9" s="150">
        <f t="shared" si="1"/>
        <v>11.292000000000002</v>
      </c>
      <c r="J9" s="142">
        <f t="shared" si="2"/>
        <v>101.628</v>
      </c>
      <c r="K9" s="148">
        <v>5</v>
      </c>
      <c r="L9" s="142">
        <f t="shared" si="3"/>
        <v>20.325600000000001</v>
      </c>
      <c r="M9" s="133"/>
      <c r="N9" s="133"/>
      <c r="O9" s="133"/>
      <c r="P9" s="133"/>
      <c r="Q9" s="133"/>
      <c r="R9" s="133"/>
    </row>
    <row r="10" spans="1:18" s="146" customFormat="1" ht="71.099999999999994" customHeight="1" x14ac:dyDescent="0.2">
      <c r="A10" s="139">
        <v>8</v>
      </c>
      <c r="B10" s="148">
        <v>405155</v>
      </c>
      <c r="C10" s="148" t="s">
        <v>185</v>
      </c>
      <c r="D10" s="149" t="s">
        <v>178</v>
      </c>
      <c r="E10" s="149">
        <v>10</v>
      </c>
      <c r="F10" s="149" t="s">
        <v>170</v>
      </c>
      <c r="G10" s="142">
        <v>24.62</v>
      </c>
      <c r="H10" s="142">
        <f t="shared" si="0"/>
        <v>246.20000000000002</v>
      </c>
      <c r="I10" s="150">
        <f t="shared" si="1"/>
        <v>24.620000000000005</v>
      </c>
      <c r="J10" s="142">
        <f t="shared" si="2"/>
        <v>221.58</v>
      </c>
      <c r="K10" s="148">
        <v>5</v>
      </c>
      <c r="L10" s="142">
        <f t="shared" si="3"/>
        <v>44.316000000000003</v>
      </c>
      <c r="M10" s="133"/>
      <c r="N10" s="133"/>
      <c r="O10" s="133"/>
      <c r="P10" s="133"/>
      <c r="Q10" s="133"/>
      <c r="R10" s="133"/>
    </row>
    <row r="11" spans="1:18" s="146" customFormat="1" ht="64.349999999999994" customHeight="1" x14ac:dyDescent="0.2">
      <c r="A11" s="139">
        <v>9</v>
      </c>
      <c r="B11" s="148">
        <v>424661</v>
      </c>
      <c r="C11" s="148" t="s">
        <v>186</v>
      </c>
      <c r="D11" s="149" t="s">
        <v>178</v>
      </c>
      <c r="E11" s="149">
        <v>10</v>
      </c>
      <c r="F11" s="149" t="s">
        <v>170</v>
      </c>
      <c r="G11" s="142">
        <v>53.05</v>
      </c>
      <c r="H11" s="142">
        <f t="shared" si="0"/>
        <v>530.5</v>
      </c>
      <c r="I11" s="150">
        <f t="shared" si="1"/>
        <v>53.050000000000004</v>
      </c>
      <c r="J11" s="142">
        <f t="shared" si="2"/>
        <v>477.45</v>
      </c>
      <c r="K11" s="148">
        <v>5</v>
      </c>
      <c r="L11" s="142">
        <f t="shared" si="3"/>
        <v>95.49</v>
      </c>
      <c r="M11" s="133"/>
      <c r="N11" s="133"/>
      <c r="O11" s="133"/>
      <c r="P11" s="133"/>
      <c r="Q11" s="133"/>
      <c r="R11" s="133"/>
    </row>
    <row r="12" spans="1:18" s="146" customFormat="1" ht="59.65" customHeight="1" x14ac:dyDescent="0.2">
      <c r="A12" s="139">
        <v>10</v>
      </c>
      <c r="B12" s="148">
        <v>432054</v>
      </c>
      <c r="C12" s="148" t="s">
        <v>187</v>
      </c>
      <c r="D12" s="149" t="s">
        <v>178</v>
      </c>
      <c r="E12" s="149">
        <v>30</v>
      </c>
      <c r="F12" s="149" t="s">
        <v>170</v>
      </c>
      <c r="G12" s="142">
        <v>32.159999999999997</v>
      </c>
      <c r="H12" s="142">
        <f t="shared" si="0"/>
        <v>964.8</v>
      </c>
      <c r="I12" s="150">
        <f t="shared" si="1"/>
        <v>96.48</v>
      </c>
      <c r="J12" s="142">
        <f t="shared" si="2"/>
        <v>868.31999999999994</v>
      </c>
      <c r="K12" s="148">
        <v>5</v>
      </c>
      <c r="L12" s="142">
        <f t="shared" si="3"/>
        <v>173.66399999999999</v>
      </c>
      <c r="M12" s="133"/>
      <c r="N12" s="133"/>
      <c r="O12" s="133"/>
      <c r="P12" s="133"/>
      <c r="Q12" s="133"/>
      <c r="R12" s="133"/>
    </row>
    <row r="13" spans="1:18" s="146" customFormat="1" ht="61.9" customHeight="1" x14ac:dyDescent="0.2">
      <c r="A13" s="139">
        <v>11</v>
      </c>
      <c r="B13" s="148">
        <v>296445</v>
      </c>
      <c r="C13" s="148" t="s">
        <v>188</v>
      </c>
      <c r="D13" s="149" t="s">
        <v>178</v>
      </c>
      <c r="E13" s="149">
        <v>2</v>
      </c>
      <c r="F13" s="149" t="s">
        <v>170</v>
      </c>
      <c r="G13" s="142">
        <v>74.47</v>
      </c>
      <c r="H13" s="142">
        <f t="shared" si="0"/>
        <v>148.94</v>
      </c>
      <c r="I13" s="150">
        <f t="shared" si="1"/>
        <v>14.894</v>
      </c>
      <c r="J13" s="142">
        <f t="shared" si="2"/>
        <v>134.04599999999999</v>
      </c>
      <c r="K13" s="148">
        <v>5</v>
      </c>
      <c r="L13" s="142">
        <f t="shared" si="3"/>
        <v>26.809199999999997</v>
      </c>
      <c r="M13" s="133"/>
      <c r="N13" s="133"/>
      <c r="O13" s="133"/>
      <c r="P13" s="133"/>
      <c r="Q13" s="133"/>
      <c r="R13" s="133"/>
    </row>
    <row r="14" spans="1:18" ht="15.75" customHeight="1" x14ac:dyDescent="0.25">
      <c r="A14" s="263" t="s">
        <v>189</v>
      </c>
      <c r="B14" s="263"/>
      <c r="C14" s="263"/>
      <c r="D14" s="263"/>
      <c r="E14" s="263"/>
      <c r="F14" s="263"/>
      <c r="G14" s="263"/>
      <c r="H14" s="151">
        <f>SUM(H3:H13)</f>
        <v>7358.4699999999993</v>
      </c>
      <c r="I14" s="151">
        <f>SUM(I3:I13)</f>
        <v>735.84700000000009</v>
      </c>
      <c r="J14" s="151">
        <f>SUM(J3:J13)</f>
        <v>6622.6229999999987</v>
      </c>
      <c r="K14" s="151"/>
      <c r="L14" s="151">
        <f>SUM(L3:L13)</f>
        <v>967.09949999999992</v>
      </c>
    </row>
    <row r="16" spans="1:18" ht="15" customHeight="1" x14ac:dyDescent="0.25">
      <c r="I16" s="264" t="s">
        <v>190</v>
      </c>
      <c r="J16" s="264"/>
      <c r="K16" s="264"/>
      <c r="L16" s="152">
        <f>L14</f>
        <v>967.09949999999992</v>
      </c>
    </row>
    <row r="17" spans="1:1024" x14ac:dyDescent="0.25">
      <c r="I17" s="264" t="s">
        <v>191</v>
      </c>
      <c r="J17" s="264"/>
      <c r="K17" s="264"/>
      <c r="L17" s="152">
        <f>L16/12</f>
        <v>80.591624999999993</v>
      </c>
    </row>
    <row r="18" spans="1:1024" x14ac:dyDescent="0.25">
      <c r="I18" s="264" t="s">
        <v>192</v>
      </c>
      <c r="J18" s="264"/>
      <c r="K18" s="264"/>
      <c r="L18" s="153">
        <v>4</v>
      </c>
    </row>
    <row r="19" spans="1:1024" ht="25.35" customHeight="1" x14ac:dyDescent="0.25">
      <c r="I19" s="259" t="s">
        <v>193</v>
      </c>
      <c r="J19" s="259"/>
      <c r="K19" s="259"/>
      <c r="L19" s="152">
        <f>L17/L18</f>
        <v>20.147906249999998</v>
      </c>
    </row>
    <row r="20" spans="1:1024" s="154" customFormat="1" ht="38.25" customHeight="1" x14ac:dyDescent="0.2">
      <c r="A20" s="260" t="s">
        <v>194</v>
      </c>
      <c r="B20" s="260"/>
      <c r="C20" s="260"/>
      <c r="D20" s="260"/>
      <c r="E20" s="260"/>
      <c r="F20" s="260"/>
      <c r="G20" s="260"/>
      <c r="H20" s="260"/>
      <c r="I20" s="260"/>
      <c r="J20" s="260"/>
      <c r="K20" s="260"/>
      <c r="L20" s="260"/>
      <c r="M20" s="260"/>
      <c r="AMJ20" s="133"/>
    </row>
    <row r="21" spans="1:1024" s="154" customFormat="1" ht="12" customHeight="1" x14ac:dyDescent="0.2">
      <c r="A21" s="155"/>
      <c r="B21" s="156"/>
      <c r="C21" s="156"/>
      <c r="D21" s="156"/>
      <c r="E21" s="156"/>
      <c r="F21" s="156"/>
      <c r="G21" s="157"/>
      <c r="H21" s="156"/>
      <c r="I21" s="156"/>
      <c r="J21" s="156"/>
      <c r="K21" s="156"/>
      <c r="L21" s="156"/>
      <c r="M21" s="158"/>
      <c r="AMJ21" s="133"/>
    </row>
    <row r="22" spans="1:1024" ht="23.85" customHeight="1" x14ac:dyDescent="0.25">
      <c r="A22" s="261" t="s">
        <v>195</v>
      </c>
      <c r="B22" s="261"/>
      <c r="C22" s="261"/>
      <c r="D22" s="261"/>
      <c r="E22" s="261"/>
      <c r="F22" s="261"/>
      <c r="G22" s="261"/>
      <c r="H22" s="261"/>
      <c r="I22" s="261"/>
      <c r="J22" s="261"/>
      <c r="K22" s="261"/>
      <c r="L22" s="261"/>
      <c r="M22" s="261"/>
    </row>
    <row r="23" spans="1:1024" ht="24" customHeight="1" x14ac:dyDescent="0.25">
      <c r="A23" s="261" t="s">
        <v>196</v>
      </c>
      <c r="B23" s="261"/>
      <c r="C23" s="261"/>
      <c r="D23" s="261"/>
      <c r="E23" s="261"/>
      <c r="F23" s="261"/>
      <c r="G23" s="261"/>
      <c r="H23" s="261"/>
      <c r="I23" s="261"/>
      <c r="J23" s="261"/>
      <c r="K23" s="261"/>
      <c r="L23" s="261"/>
      <c r="M23" s="261"/>
    </row>
  </sheetData>
  <mergeCells count="9">
    <mergeCell ref="I19:K19"/>
    <mergeCell ref="A20:M20"/>
    <mergeCell ref="A22:M22"/>
    <mergeCell ref="A23:M23"/>
    <mergeCell ref="A1:L1"/>
    <mergeCell ref="A14:G14"/>
    <mergeCell ref="I16:K16"/>
    <mergeCell ref="I17:K17"/>
    <mergeCell ref="I18:K18"/>
  </mergeCells>
  <pageMargins left="0.39374999999999999" right="0.196527777777778" top="0.27777777777777801" bottom="0.19791666666666699" header="0.78749999999999998" footer="0.78749999999999998"/>
  <pageSetup paperSize="9" scale="60" firstPageNumber="0" orientation="landscape" horizontalDpi="300" verticalDpi="300"/>
  <headerFooter>
    <oddHeader>&amp;C&amp;"Times New Roman,Normal"&amp;A</oddHeader>
    <oddFooter>&amp;C&amp;"Times New Roman,Normal"Página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I46"/>
  <sheetViews>
    <sheetView topLeftCell="A37" zoomScale="155" zoomScaleNormal="155" workbookViewId="0">
      <selection activeCell="G23" sqref="G23"/>
    </sheetView>
  </sheetViews>
  <sheetFormatPr defaultColWidth="8.7109375" defaultRowHeight="15.75" x14ac:dyDescent="0.25"/>
  <cols>
    <col min="1" max="1" width="8.7109375" style="154"/>
    <col min="2" max="2" width="11.5703125" style="154" customWidth="1"/>
    <col min="3" max="3" width="83.140625" style="154" hidden="1" customWidth="1"/>
    <col min="4" max="4" width="42" style="154" customWidth="1"/>
    <col min="5" max="5" width="15.28515625" style="154" customWidth="1"/>
    <col min="6" max="6" width="13.42578125" style="159" customWidth="1"/>
    <col min="7" max="7" width="16.42578125" style="159" customWidth="1"/>
    <col min="8" max="8" width="11.5703125" style="159" customWidth="1"/>
    <col min="9" max="9" width="16.28515625" style="154" customWidth="1"/>
    <col min="10" max="10" width="18" style="154" customWidth="1"/>
    <col min="11" max="11" width="18.140625" style="154" customWidth="1"/>
    <col min="12" max="12" width="16.42578125" style="154" customWidth="1"/>
    <col min="13" max="13" width="16.7109375" style="154" customWidth="1"/>
    <col min="14" max="1023" width="8.7109375" style="154"/>
    <col min="1024" max="1024" width="9.140625" customWidth="1"/>
  </cols>
  <sheetData>
    <row r="1" spans="1:256" ht="30" customHeight="1" x14ac:dyDescent="0.25">
      <c r="A1" s="269" t="s">
        <v>197</v>
      </c>
      <c r="B1" s="269"/>
      <c r="C1" s="269"/>
      <c r="D1" s="269"/>
      <c r="E1" s="269"/>
      <c r="F1" s="269"/>
      <c r="G1" s="269"/>
      <c r="H1" s="269"/>
      <c r="I1" s="269"/>
      <c r="J1" s="269"/>
      <c r="K1" s="269"/>
      <c r="L1" s="269"/>
      <c r="M1" s="269"/>
    </row>
    <row r="2" spans="1:256" s="154" customFormat="1" ht="52.9" customHeight="1" x14ac:dyDescent="0.2">
      <c r="A2" s="270" t="s">
        <v>165</v>
      </c>
      <c r="B2" s="270" t="s">
        <v>166</v>
      </c>
      <c r="C2" s="270" t="s">
        <v>167</v>
      </c>
      <c r="D2" s="270" t="s">
        <v>167</v>
      </c>
      <c r="E2" s="271" t="s">
        <v>198</v>
      </c>
      <c r="F2" s="272" t="s">
        <v>199</v>
      </c>
      <c r="G2" s="273" t="s">
        <v>200</v>
      </c>
      <c r="H2" s="273" t="s">
        <v>201</v>
      </c>
      <c r="I2" s="274" t="s">
        <v>202</v>
      </c>
      <c r="J2" s="274"/>
      <c r="K2" s="273" t="s">
        <v>203</v>
      </c>
      <c r="L2" s="273"/>
      <c r="M2" s="273"/>
      <c r="N2" s="162"/>
      <c r="O2" s="162"/>
      <c r="P2" s="162"/>
      <c r="Q2" s="162"/>
      <c r="R2" s="162"/>
      <c r="S2" s="162"/>
      <c r="T2" s="162"/>
      <c r="U2" s="162"/>
      <c r="V2" s="162"/>
      <c r="W2" s="162"/>
      <c r="X2" s="162"/>
      <c r="Y2" s="162"/>
      <c r="Z2" s="162"/>
      <c r="AA2" s="162"/>
      <c r="AB2" s="162"/>
      <c r="AC2" s="162"/>
      <c r="AD2" s="162"/>
      <c r="AE2" s="162"/>
      <c r="AF2" s="162"/>
      <c r="AG2" s="162"/>
      <c r="AH2" s="162"/>
      <c r="AI2" s="162"/>
      <c r="AJ2" s="162"/>
      <c r="AK2" s="162"/>
      <c r="AL2" s="162"/>
      <c r="AM2" s="162"/>
      <c r="AN2" s="162"/>
      <c r="AO2" s="162"/>
      <c r="AP2" s="162"/>
      <c r="AQ2" s="162"/>
      <c r="AR2" s="162"/>
      <c r="AS2" s="162"/>
      <c r="AT2" s="162"/>
      <c r="AU2" s="162"/>
      <c r="AV2" s="162"/>
      <c r="AW2" s="162"/>
      <c r="AX2" s="162"/>
      <c r="AY2" s="162"/>
      <c r="AZ2" s="162"/>
      <c r="BA2" s="162"/>
      <c r="BB2" s="162"/>
      <c r="BC2" s="162"/>
      <c r="BD2" s="162"/>
      <c r="BE2" s="162"/>
      <c r="BF2" s="162"/>
      <c r="BG2" s="162"/>
      <c r="BH2" s="162"/>
      <c r="BI2" s="162"/>
      <c r="BJ2" s="162"/>
      <c r="BK2" s="162"/>
      <c r="BL2" s="162"/>
      <c r="BM2" s="162"/>
      <c r="BN2" s="162"/>
      <c r="BO2" s="162"/>
      <c r="BP2" s="162"/>
      <c r="BQ2" s="162"/>
      <c r="BR2" s="162"/>
      <c r="BS2" s="162"/>
      <c r="BT2" s="162"/>
      <c r="BU2" s="162"/>
      <c r="BV2" s="162"/>
      <c r="BW2" s="162"/>
      <c r="BX2" s="162"/>
      <c r="BY2" s="162"/>
      <c r="BZ2" s="162"/>
      <c r="CA2" s="162"/>
      <c r="CB2" s="162"/>
      <c r="CC2" s="162"/>
      <c r="CD2" s="162"/>
      <c r="CE2" s="162"/>
      <c r="CF2" s="162"/>
      <c r="CG2" s="162"/>
      <c r="CH2" s="162"/>
      <c r="CI2" s="162"/>
      <c r="CJ2" s="162"/>
      <c r="CK2" s="162"/>
      <c r="CL2" s="162"/>
      <c r="CM2" s="162"/>
      <c r="CN2" s="162"/>
      <c r="CO2" s="162"/>
      <c r="CP2" s="162"/>
      <c r="CQ2" s="162"/>
      <c r="CR2" s="162"/>
      <c r="CS2" s="162"/>
      <c r="CT2" s="162"/>
      <c r="CU2" s="162"/>
      <c r="CV2" s="162"/>
      <c r="CW2" s="162"/>
      <c r="CX2" s="162"/>
      <c r="CY2" s="162"/>
      <c r="CZ2" s="162"/>
      <c r="DA2" s="162"/>
      <c r="DB2" s="162"/>
      <c r="DC2" s="162"/>
      <c r="DD2" s="162"/>
      <c r="DE2" s="162"/>
      <c r="DF2" s="162"/>
      <c r="DG2" s="162"/>
      <c r="DH2" s="162"/>
      <c r="DI2" s="162"/>
      <c r="DJ2" s="162"/>
      <c r="DK2" s="162"/>
      <c r="DL2" s="162"/>
      <c r="DM2" s="162"/>
      <c r="DN2" s="162"/>
      <c r="DO2" s="162"/>
      <c r="DP2" s="162"/>
      <c r="DQ2" s="162"/>
      <c r="DR2" s="162"/>
      <c r="DS2" s="162"/>
      <c r="DT2" s="162"/>
      <c r="DU2" s="162"/>
      <c r="DV2" s="162"/>
      <c r="DW2" s="162"/>
      <c r="DX2" s="162"/>
      <c r="DY2" s="162"/>
      <c r="DZ2" s="162"/>
      <c r="EA2" s="162"/>
      <c r="EB2" s="162"/>
      <c r="EC2" s="162"/>
      <c r="ED2" s="162"/>
      <c r="EE2" s="162"/>
      <c r="EF2" s="162"/>
      <c r="EG2" s="162"/>
      <c r="EH2" s="162"/>
      <c r="EI2" s="162"/>
      <c r="EJ2" s="162"/>
      <c r="EK2" s="162"/>
      <c r="EL2" s="162"/>
      <c r="EM2" s="162"/>
      <c r="EN2" s="162"/>
      <c r="EO2" s="162"/>
      <c r="EP2" s="162"/>
      <c r="EQ2" s="162"/>
      <c r="ER2" s="162"/>
      <c r="ES2" s="162"/>
      <c r="ET2" s="162"/>
      <c r="EU2" s="162"/>
      <c r="EV2" s="162"/>
      <c r="EW2" s="162"/>
      <c r="EX2" s="162"/>
      <c r="EY2" s="162"/>
      <c r="EZ2" s="162"/>
      <c r="FA2" s="162"/>
      <c r="FB2" s="162"/>
      <c r="FC2" s="162"/>
      <c r="FD2" s="162"/>
      <c r="FE2" s="162"/>
      <c r="FF2" s="162"/>
      <c r="FG2" s="162"/>
      <c r="FH2" s="162"/>
      <c r="FI2" s="162"/>
      <c r="FJ2" s="162"/>
      <c r="FK2" s="162"/>
      <c r="FL2" s="162"/>
      <c r="FM2" s="162"/>
      <c r="FN2" s="162"/>
      <c r="FO2" s="162"/>
      <c r="FP2" s="162"/>
      <c r="FQ2" s="162"/>
      <c r="FR2" s="162"/>
      <c r="FS2" s="162"/>
      <c r="FT2" s="162"/>
      <c r="FU2" s="162"/>
      <c r="FV2" s="162"/>
      <c r="FW2" s="162"/>
      <c r="FX2" s="162"/>
      <c r="FY2" s="162"/>
      <c r="FZ2" s="162"/>
      <c r="GA2" s="162"/>
      <c r="GB2" s="162"/>
      <c r="GC2" s="162"/>
      <c r="GD2" s="162"/>
      <c r="GE2" s="162"/>
      <c r="GF2" s="162"/>
      <c r="GG2" s="162"/>
      <c r="GH2" s="162"/>
      <c r="GI2" s="162"/>
      <c r="GJ2" s="162"/>
      <c r="GK2" s="162"/>
      <c r="GL2" s="162"/>
      <c r="GM2" s="162"/>
      <c r="GN2" s="162"/>
      <c r="GO2" s="162"/>
      <c r="GP2" s="162"/>
      <c r="GQ2" s="162"/>
      <c r="GR2" s="162"/>
      <c r="GS2" s="162"/>
      <c r="GT2" s="162"/>
      <c r="GU2" s="162"/>
      <c r="GV2" s="162"/>
      <c r="GW2" s="162"/>
      <c r="GX2" s="162"/>
      <c r="GY2" s="162"/>
      <c r="GZ2" s="162"/>
      <c r="HA2" s="162"/>
      <c r="HB2" s="162"/>
      <c r="HC2" s="162"/>
      <c r="HD2" s="162"/>
      <c r="HE2" s="162"/>
      <c r="HF2" s="162"/>
      <c r="HG2" s="162"/>
      <c r="HH2" s="162"/>
      <c r="HI2" s="162"/>
      <c r="HJ2" s="162"/>
      <c r="HK2" s="162"/>
      <c r="HL2" s="162"/>
      <c r="HM2" s="162"/>
      <c r="HN2" s="162"/>
      <c r="HO2" s="162"/>
      <c r="HP2" s="162"/>
      <c r="HQ2" s="162"/>
      <c r="HR2" s="162"/>
      <c r="HS2" s="162"/>
      <c r="HT2" s="162"/>
      <c r="HU2" s="162"/>
      <c r="HV2" s="162"/>
      <c r="HW2" s="162"/>
      <c r="HX2" s="162"/>
      <c r="HY2" s="162"/>
      <c r="HZ2" s="162"/>
      <c r="IA2" s="162"/>
      <c r="IB2" s="162"/>
      <c r="IC2" s="162"/>
      <c r="ID2" s="162"/>
      <c r="IE2" s="162"/>
      <c r="IF2" s="162"/>
      <c r="IG2" s="162"/>
      <c r="IH2" s="162"/>
      <c r="II2" s="162"/>
      <c r="IJ2" s="162"/>
      <c r="IK2" s="162"/>
      <c r="IL2" s="162"/>
      <c r="IM2" s="162"/>
      <c r="IN2" s="162"/>
      <c r="IO2" s="162"/>
      <c r="IP2" s="162"/>
      <c r="IQ2" s="162"/>
      <c r="IR2" s="162"/>
      <c r="IS2" s="162"/>
      <c r="IT2" s="162"/>
      <c r="IU2" s="162"/>
      <c r="IV2" s="162"/>
    </row>
    <row r="3" spans="1:256" s="154" customFormat="1" ht="29.25" customHeight="1" x14ac:dyDescent="0.2">
      <c r="A3" s="270"/>
      <c r="B3" s="270"/>
      <c r="C3" s="270"/>
      <c r="D3" s="270"/>
      <c r="E3" s="271"/>
      <c r="F3" s="272"/>
      <c r="G3" s="273"/>
      <c r="H3" s="273"/>
      <c r="I3" s="163" t="s">
        <v>204</v>
      </c>
      <c r="J3" s="161" t="s">
        <v>205</v>
      </c>
      <c r="K3" s="160" t="s">
        <v>204</v>
      </c>
      <c r="L3" s="160" t="s">
        <v>206</v>
      </c>
      <c r="M3" s="160" t="s">
        <v>207</v>
      </c>
      <c r="N3" s="162"/>
      <c r="O3" s="162"/>
      <c r="P3" s="162"/>
      <c r="Q3" s="162"/>
      <c r="R3" s="162"/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62"/>
      <c r="AD3" s="162"/>
      <c r="AE3" s="162"/>
      <c r="AF3" s="162"/>
      <c r="AG3" s="162"/>
      <c r="AH3" s="162"/>
      <c r="AI3" s="162"/>
      <c r="AJ3" s="162"/>
      <c r="AK3" s="162"/>
      <c r="AL3" s="162"/>
      <c r="AM3" s="162"/>
      <c r="AN3" s="162"/>
      <c r="AO3" s="162"/>
      <c r="AP3" s="162"/>
      <c r="AQ3" s="162"/>
      <c r="AR3" s="162"/>
      <c r="AS3" s="162"/>
      <c r="AT3" s="162"/>
      <c r="AU3" s="162"/>
      <c r="AV3" s="162"/>
      <c r="AW3" s="162"/>
      <c r="AX3" s="162"/>
      <c r="AY3" s="162"/>
      <c r="AZ3" s="162"/>
      <c r="BA3" s="162"/>
      <c r="BB3" s="162"/>
      <c r="BC3" s="162"/>
      <c r="BD3" s="162"/>
      <c r="BE3" s="162"/>
      <c r="BF3" s="162"/>
      <c r="BG3" s="162"/>
      <c r="BH3" s="162"/>
      <c r="BI3" s="162"/>
      <c r="BJ3" s="162"/>
      <c r="BK3" s="162"/>
      <c r="BL3" s="162"/>
      <c r="BM3" s="162"/>
      <c r="BN3" s="162"/>
      <c r="BO3" s="162"/>
      <c r="BP3" s="162"/>
      <c r="BQ3" s="162"/>
      <c r="BR3" s="162"/>
      <c r="BS3" s="162"/>
      <c r="BT3" s="162"/>
      <c r="BU3" s="162"/>
      <c r="BV3" s="162"/>
      <c r="BW3" s="162"/>
      <c r="BX3" s="162"/>
      <c r="BY3" s="162"/>
      <c r="BZ3" s="162"/>
      <c r="CA3" s="162"/>
      <c r="CB3" s="162"/>
      <c r="CC3" s="162"/>
      <c r="CD3" s="162"/>
      <c r="CE3" s="162"/>
      <c r="CF3" s="162"/>
      <c r="CG3" s="162"/>
      <c r="CH3" s="162"/>
      <c r="CI3" s="162"/>
      <c r="CJ3" s="162"/>
      <c r="CK3" s="162"/>
      <c r="CL3" s="162"/>
      <c r="CM3" s="162"/>
      <c r="CN3" s="162"/>
      <c r="CO3" s="162"/>
      <c r="CP3" s="162"/>
      <c r="CQ3" s="162"/>
      <c r="CR3" s="162"/>
      <c r="CS3" s="162"/>
      <c r="CT3" s="162"/>
      <c r="CU3" s="162"/>
      <c r="CV3" s="162"/>
      <c r="CW3" s="162"/>
      <c r="CX3" s="162"/>
      <c r="CY3" s="162"/>
      <c r="CZ3" s="162"/>
      <c r="DA3" s="162"/>
      <c r="DB3" s="162"/>
      <c r="DC3" s="162"/>
      <c r="DD3" s="162"/>
      <c r="DE3" s="162"/>
      <c r="DF3" s="162"/>
      <c r="DG3" s="162"/>
      <c r="DH3" s="162"/>
      <c r="DI3" s="162"/>
      <c r="DJ3" s="162"/>
      <c r="DK3" s="162"/>
      <c r="DL3" s="162"/>
      <c r="DM3" s="162"/>
      <c r="DN3" s="162"/>
      <c r="DO3" s="162"/>
      <c r="DP3" s="162"/>
      <c r="DQ3" s="162"/>
      <c r="DR3" s="162"/>
      <c r="DS3" s="162"/>
      <c r="DT3" s="162"/>
      <c r="DU3" s="162"/>
      <c r="DV3" s="162"/>
      <c r="DW3" s="162"/>
      <c r="DX3" s="162"/>
      <c r="DY3" s="162"/>
      <c r="DZ3" s="162"/>
      <c r="EA3" s="162"/>
      <c r="EB3" s="162"/>
      <c r="EC3" s="162"/>
      <c r="ED3" s="162"/>
      <c r="EE3" s="162"/>
      <c r="EF3" s="162"/>
      <c r="EG3" s="162"/>
      <c r="EH3" s="162"/>
      <c r="EI3" s="162"/>
      <c r="EJ3" s="162"/>
      <c r="EK3" s="162"/>
      <c r="EL3" s="162"/>
      <c r="EM3" s="162"/>
      <c r="EN3" s="162"/>
      <c r="EO3" s="162"/>
      <c r="EP3" s="162"/>
      <c r="EQ3" s="162"/>
      <c r="ER3" s="162"/>
      <c r="ES3" s="162"/>
      <c r="ET3" s="162"/>
      <c r="EU3" s="162"/>
      <c r="EV3" s="162"/>
      <c r="EW3" s="162"/>
      <c r="EX3" s="162"/>
      <c r="EY3" s="162"/>
      <c r="EZ3" s="162"/>
      <c r="FA3" s="162"/>
      <c r="FB3" s="162"/>
      <c r="FC3" s="162"/>
      <c r="FD3" s="162"/>
      <c r="FE3" s="162"/>
      <c r="FF3" s="162"/>
      <c r="FG3" s="162"/>
      <c r="FH3" s="162"/>
      <c r="FI3" s="162"/>
      <c r="FJ3" s="162"/>
      <c r="FK3" s="162"/>
      <c r="FL3" s="162"/>
      <c r="FM3" s="162"/>
      <c r="FN3" s="162"/>
      <c r="FO3" s="162"/>
      <c r="FP3" s="162"/>
      <c r="FQ3" s="162"/>
      <c r="FR3" s="162"/>
      <c r="FS3" s="162"/>
      <c r="FT3" s="162"/>
      <c r="FU3" s="162"/>
      <c r="FV3" s="162"/>
      <c r="FW3" s="162"/>
      <c r="FX3" s="162"/>
      <c r="FY3" s="162"/>
      <c r="FZ3" s="162"/>
      <c r="GA3" s="162"/>
      <c r="GB3" s="162"/>
      <c r="GC3" s="162"/>
      <c r="GD3" s="162"/>
      <c r="GE3" s="162"/>
      <c r="GF3" s="162"/>
      <c r="GG3" s="162"/>
      <c r="GH3" s="162"/>
      <c r="GI3" s="162"/>
      <c r="GJ3" s="162"/>
      <c r="GK3" s="162"/>
      <c r="GL3" s="162"/>
      <c r="GM3" s="162"/>
      <c r="GN3" s="162"/>
      <c r="GO3" s="162"/>
      <c r="GP3" s="162"/>
      <c r="GQ3" s="162"/>
      <c r="GR3" s="162"/>
      <c r="GS3" s="162"/>
      <c r="GT3" s="162"/>
      <c r="GU3" s="162"/>
      <c r="GV3" s="162"/>
      <c r="GW3" s="162"/>
      <c r="GX3" s="162"/>
      <c r="GY3" s="162"/>
      <c r="GZ3" s="162"/>
      <c r="HA3" s="162"/>
      <c r="HB3" s="162"/>
      <c r="HC3" s="162"/>
      <c r="HD3" s="162"/>
      <c r="HE3" s="162"/>
      <c r="HF3" s="162"/>
      <c r="HG3" s="162"/>
      <c r="HH3" s="162"/>
      <c r="HI3" s="162"/>
      <c r="HJ3" s="162"/>
      <c r="HK3" s="162"/>
      <c r="HL3" s="162"/>
      <c r="HM3" s="162"/>
      <c r="HN3" s="162"/>
      <c r="HO3" s="162"/>
      <c r="HP3" s="162"/>
      <c r="HQ3" s="162"/>
      <c r="HR3" s="162"/>
      <c r="HS3" s="162"/>
      <c r="HT3" s="162"/>
      <c r="HU3" s="162"/>
      <c r="HV3" s="162"/>
      <c r="HW3" s="162"/>
      <c r="HX3" s="162"/>
      <c r="HY3" s="162"/>
      <c r="HZ3" s="162"/>
      <c r="IA3" s="162"/>
      <c r="IB3" s="162"/>
      <c r="IC3" s="162"/>
      <c r="ID3" s="162"/>
      <c r="IE3" s="162"/>
      <c r="IF3" s="162"/>
      <c r="IG3" s="162"/>
      <c r="IH3" s="162"/>
      <c r="II3" s="162"/>
      <c r="IJ3" s="162"/>
      <c r="IK3" s="162"/>
      <c r="IL3" s="162"/>
      <c r="IM3" s="162"/>
      <c r="IN3" s="162"/>
      <c r="IO3" s="162"/>
      <c r="IP3" s="162"/>
      <c r="IQ3" s="162"/>
      <c r="IR3" s="162"/>
      <c r="IS3" s="162"/>
      <c r="IT3" s="162"/>
      <c r="IU3" s="162"/>
      <c r="IV3" s="162"/>
    </row>
    <row r="4" spans="1:256" s="154" customFormat="1" ht="89.65" customHeight="1" x14ac:dyDescent="0.2">
      <c r="A4" s="164">
        <v>1</v>
      </c>
      <c r="B4" s="164">
        <v>310507</v>
      </c>
      <c r="C4" s="164" t="s">
        <v>208</v>
      </c>
      <c r="D4" s="165" t="str">
        <f>(UPPER(C4:C38))</f>
        <v>ÁGUA SANITÁRIA, COMPOSIÇÃO QUÍMICA: HIPOCLORITO DE SÓDIO, HIDRÓXIDO DE SÓDIO, CLORETO, COR: INCOLOR, TIPO: COMUM, COM DADOS DE IDENTIFICAÇÃO DO PRODUTO, MARCA DO FABRICANTE, DATA DE FABRICAÇÃO, PRAZO DE VALIDADE E REGISTRO NO MINISTÉRIO DA SAÚDE. UNIDADES CONTENDO 01 LITRO</v>
      </c>
      <c r="E4" s="165" t="s">
        <v>209</v>
      </c>
      <c r="F4" s="165">
        <f t="shared" ref="F4:F15" si="0">G4/12</f>
        <v>30</v>
      </c>
      <c r="G4" s="164">
        <v>360</v>
      </c>
      <c r="H4" s="164" t="s">
        <v>210</v>
      </c>
      <c r="I4" s="166">
        <v>2.06</v>
      </c>
      <c r="J4" s="167">
        <f t="shared" ref="J4:J40" si="1">I4*G4</f>
        <v>741.6</v>
      </c>
      <c r="K4" s="168">
        <f t="shared" ref="K4:K40" si="2">AVERAGE(I4)</f>
        <v>2.06</v>
      </c>
      <c r="L4" s="168">
        <f t="shared" ref="L4:L15" si="3">K4*F4</f>
        <v>61.800000000000004</v>
      </c>
      <c r="M4" s="168">
        <f t="shared" ref="M4:M15" si="4">L4*12</f>
        <v>741.6</v>
      </c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F4" s="162"/>
      <c r="AG4" s="162"/>
      <c r="AH4" s="162"/>
      <c r="AI4" s="162"/>
      <c r="AJ4" s="162"/>
      <c r="AK4" s="162"/>
      <c r="AL4" s="162"/>
      <c r="AM4" s="162"/>
      <c r="AN4" s="162"/>
      <c r="AO4" s="162"/>
      <c r="AP4" s="162"/>
      <c r="AQ4" s="162"/>
      <c r="AR4" s="162"/>
      <c r="AS4" s="162"/>
      <c r="AT4" s="162"/>
      <c r="AU4" s="162"/>
      <c r="AV4" s="162"/>
      <c r="AW4" s="162"/>
      <c r="AX4" s="162"/>
      <c r="AY4" s="162"/>
      <c r="AZ4" s="162"/>
      <c r="BA4" s="162"/>
      <c r="BB4" s="162"/>
      <c r="BC4" s="162"/>
      <c r="BD4" s="162"/>
      <c r="BE4" s="162"/>
      <c r="BF4" s="162"/>
      <c r="BG4" s="162"/>
      <c r="BH4" s="162"/>
      <c r="BI4" s="162"/>
      <c r="BJ4" s="162"/>
      <c r="BK4" s="162"/>
      <c r="BL4" s="162"/>
      <c r="BM4" s="162"/>
      <c r="BN4" s="162"/>
      <c r="BO4" s="162"/>
      <c r="BP4" s="162"/>
      <c r="BQ4" s="162"/>
      <c r="BR4" s="162"/>
      <c r="BS4" s="162"/>
      <c r="BT4" s="162"/>
      <c r="BU4" s="162"/>
      <c r="BV4" s="162"/>
      <c r="BW4" s="162"/>
      <c r="BX4" s="162"/>
      <c r="BY4" s="162"/>
      <c r="BZ4" s="162"/>
      <c r="CA4" s="162"/>
      <c r="CB4" s="162"/>
      <c r="CC4" s="162"/>
      <c r="CD4" s="162"/>
      <c r="CE4" s="162"/>
      <c r="CF4" s="162"/>
      <c r="CG4" s="162"/>
      <c r="CH4" s="162"/>
      <c r="CI4" s="162"/>
      <c r="CJ4" s="162"/>
      <c r="CK4" s="162"/>
      <c r="CL4" s="162"/>
      <c r="CM4" s="162"/>
      <c r="CN4" s="162"/>
      <c r="CO4" s="162"/>
      <c r="CP4" s="162"/>
      <c r="CQ4" s="162"/>
      <c r="CR4" s="162"/>
      <c r="CS4" s="162"/>
      <c r="CT4" s="162"/>
      <c r="CU4" s="162"/>
      <c r="CV4" s="162"/>
      <c r="CW4" s="162"/>
      <c r="CX4" s="162"/>
      <c r="CY4" s="162"/>
      <c r="CZ4" s="162"/>
      <c r="DA4" s="162"/>
      <c r="DB4" s="162"/>
      <c r="DC4" s="162"/>
      <c r="DD4" s="162"/>
      <c r="DE4" s="162"/>
      <c r="DF4" s="162"/>
      <c r="DG4" s="162"/>
      <c r="DH4" s="162"/>
      <c r="DI4" s="162"/>
      <c r="DJ4" s="162"/>
      <c r="DK4" s="162"/>
      <c r="DL4" s="162"/>
      <c r="DM4" s="162"/>
      <c r="DN4" s="162"/>
      <c r="DO4" s="162"/>
      <c r="DP4" s="162"/>
      <c r="DQ4" s="162"/>
      <c r="DR4" s="162"/>
      <c r="DS4" s="162"/>
      <c r="DT4" s="162"/>
      <c r="DU4" s="162"/>
      <c r="DV4" s="162"/>
      <c r="DW4" s="162"/>
      <c r="DX4" s="162"/>
      <c r="DY4" s="162"/>
      <c r="DZ4" s="162"/>
      <c r="EA4" s="162"/>
      <c r="EB4" s="162"/>
      <c r="EC4" s="162"/>
      <c r="ED4" s="162"/>
      <c r="EE4" s="162"/>
      <c r="EF4" s="162"/>
      <c r="EG4" s="162"/>
      <c r="EH4" s="162"/>
      <c r="EI4" s="162"/>
      <c r="EJ4" s="162"/>
      <c r="EK4" s="162"/>
      <c r="EL4" s="162"/>
      <c r="EM4" s="162"/>
      <c r="EN4" s="162"/>
      <c r="EO4" s="162"/>
      <c r="EP4" s="162"/>
      <c r="EQ4" s="162"/>
      <c r="ER4" s="162"/>
      <c r="ES4" s="162"/>
      <c r="ET4" s="162"/>
      <c r="EU4" s="162"/>
      <c r="EV4" s="162"/>
      <c r="EW4" s="162"/>
      <c r="EX4" s="162"/>
      <c r="EY4" s="162"/>
      <c r="EZ4" s="162"/>
      <c r="FA4" s="162"/>
      <c r="FB4" s="162"/>
      <c r="FC4" s="162"/>
      <c r="FD4" s="162"/>
      <c r="FE4" s="162"/>
      <c r="FF4" s="162"/>
      <c r="FG4" s="162"/>
      <c r="FH4" s="162"/>
      <c r="FI4" s="162"/>
      <c r="FJ4" s="162"/>
      <c r="FK4" s="162"/>
      <c r="FL4" s="162"/>
      <c r="FM4" s="162"/>
      <c r="FN4" s="162"/>
      <c r="FO4" s="162"/>
      <c r="FP4" s="162"/>
      <c r="FQ4" s="162"/>
      <c r="FR4" s="162"/>
      <c r="FS4" s="162"/>
      <c r="FT4" s="162"/>
      <c r="FU4" s="162"/>
      <c r="FV4" s="162"/>
      <c r="FW4" s="162"/>
      <c r="FX4" s="162"/>
      <c r="FY4" s="162"/>
      <c r="FZ4" s="162"/>
      <c r="GA4" s="162"/>
      <c r="GB4" s="162"/>
      <c r="GC4" s="162"/>
      <c r="GD4" s="162"/>
      <c r="GE4" s="162"/>
      <c r="GF4" s="162"/>
      <c r="GG4" s="162"/>
      <c r="GH4" s="162"/>
      <c r="GI4" s="162"/>
      <c r="GJ4" s="162"/>
      <c r="GK4" s="162"/>
      <c r="GL4" s="162"/>
      <c r="GM4" s="162"/>
      <c r="GN4" s="162"/>
      <c r="GO4" s="162"/>
      <c r="GP4" s="162"/>
      <c r="GQ4" s="162"/>
      <c r="GR4" s="162"/>
      <c r="GS4" s="162"/>
      <c r="GT4" s="162"/>
      <c r="GU4" s="162"/>
      <c r="GV4" s="162"/>
      <c r="GW4" s="162"/>
      <c r="GX4" s="162"/>
      <c r="GY4" s="162"/>
      <c r="GZ4" s="162"/>
      <c r="HA4" s="162"/>
      <c r="HB4" s="162"/>
      <c r="HC4" s="162"/>
      <c r="HD4" s="162"/>
      <c r="HE4" s="162"/>
      <c r="HF4" s="162"/>
      <c r="HG4" s="162"/>
      <c r="HH4" s="162"/>
      <c r="HI4" s="162"/>
      <c r="HJ4" s="162"/>
      <c r="HK4" s="162"/>
      <c r="HL4" s="162"/>
      <c r="HM4" s="162"/>
      <c r="HN4" s="162"/>
      <c r="HO4" s="162"/>
      <c r="HP4" s="162"/>
      <c r="HQ4" s="162"/>
      <c r="HR4" s="162"/>
      <c r="HS4" s="162"/>
      <c r="HT4" s="162"/>
      <c r="HU4" s="162"/>
      <c r="HV4" s="162"/>
      <c r="HW4" s="162"/>
      <c r="HX4" s="162"/>
      <c r="HY4" s="162"/>
      <c r="HZ4" s="162"/>
      <c r="IA4" s="162"/>
      <c r="IB4" s="162"/>
      <c r="IC4" s="162"/>
      <c r="ID4" s="162"/>
      <c r="IE4" s="162"/>
      <c r="IF4" s="162"/>
      <c r="IG4" s="162"/>
      <c r="IH4" s="162"/>
      <c r="II4" s="162"/>
      <c r="IJ4" s="162"/>
      <c r="IK4" s="162"/>
      <c r="IL4" s="162"/>
      <c r="IM4" s="162"/>
      <c r="IN4" s="162"/>
      <c r="IO4" s="162"/>
      <c r="IP4" s="162"/>
      <c r="IQ4" s="162"/>
      <c r="IR4" s="162"/>
      <c r="IS4" s="162"/>
      <c r="IT4" s="162"/>
      <c r="IU4" s="162"/>
      <c r="IV4" s="162"/>
    </row>
    <row r="5" spans="1:256" ht="42.75" customHeight="1" x14ac:dyDescent="0.25">
      <c r="A5" s="169">
        <v>2</v>
      </c>
      <c r="B5" s="169">
        <v>269941</v>
      </c>
      <c r="C5" s="169" t="s">
        <v>211</v>
      </c>
      <c r="D5" s="170" t="str">
        <f>(UPPER(C5:C41))</f>
        <v>ÁLCOOL ETÍLICO, TIPO: HIDRATADO, TEOR ALCOÓLICO: 70%, APRESENTAÇÃO: GEL. UNIDADES CONTENDO  01 LITRO</v>
      </c>
      <c r="E5" s="171" t="s">
        <v>209</v>
      </c>
      <c r="F5" s="171">
        <f t="shared" si="0"/>
        <v>15</v>
      </c>
      <c r="G5" s="169">
        <v>180</v>
      </c>
      <c r="H5" s="169" t="s">
        <v>212</v>
      </c>
      <c r="I5" s="166">
        <v>5.76</v>
      </c>
      <c r="J5" s="172">
        <f t="shared" si="1"/>
        <v>1036.8</v>
      </c>
      <c r="K5" s="173">
        <f t="shared" si="2"/>
        <v>5.76</v>
      </c>
      <c r="L5" s="173">
        <f t="shared" si="3"/>
        <v>86.399999999999991</v>
      </c>
      <c r="M5" s="173">
        <f t="shared" si="4"/>
        <v>1036.8</v>
      </c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62"/>
      <c r="AD5" s="162"/>
      <c r="AE5" s="162"/>
      <c r="AF5" s="162"/>
      <c r="AG5" s="162"/>
      <c r="AH5" s="162"/>
      <c r="AI5" s="162"/>
      <c r="AJ5" s="162"/>
      <c r="AK5" s="162"/>
      <c r="AL5" s="162"/>
      <c r="AM5" s="162"/>
      <c r="AN5" s="162"/>
      <c r="AO5" s="162"/>
      <c r="AP5" s="162"/>
      <c r="AQ5" s="162"/>
      <c r="AR5" s="162"/>
      <c r="AS5" s="162"/>
      <c r="AT5" s="162"/>
      <c r="AU5" s="162"/>
      <c r="AV5" s="162"/>
      <c r="AW5" s="162"/>
      <c r="AX5" s="162"/>
      <c r="AY5" s="162"/>
      <c r="AZ5" s="162"/>
      <c r="BA5" s="162"/>
      <c r="BB5" s="162"/>
      <c r="BC5" s="162"/>
      <c r="BD5" s="162"/>
      <c r="BE5" s="162"/>
      <c r="BF5" s="162"/>
      <c r="BG5" s="162"/>
      <c r="BH5" s="162"/>
      <c r="BI5" s="162"/>
      <c r="BJ5" s="162"/>
      <c r="BK5" s="162"/>
      <c r="BL5" s="162"/>
      <c r="BM5" s="162"/>
      <c r="BN5" s="162"/>
      <c r="BO5" s="162"/>
      <c r="BP5" s="162"/>
      <c r="BQ5" s="162"/>
      <c r="BR5" s="162"/>
      <c r="BS5" s="162"/>
      <c r="BT5" s="162"/>
      <c r="BU5" s="162"/>
      <c r="BV5" s="162"/>
      <c r="BW5" s="162"/>
      <c r="BX5" s="162"/>
      <c r="BY5" s="162"/>
      <c r="BZ5" s="162"/>
      <c r="CA5" s="162"/>
      <c r="CB5" s="162"/>
      <c r="CC5" s="162"/>
      <c r="CD5" s="162"/>
      <c r="CE5" s="162"/>
      <c r="CF5" s="162"/>
      <c r="CG5" s="162"/>
      <c r="CH5" s="162"/>
      <c r="CI5" s="162"/>
      <c r="CJ5" s="162"/>
      <c r="CK5" s="162"/>
      <c r="CL5" s="162"/>
      <c r="CM5" s="162"/>
      <c r="CN5" s="162"/>
      <c r="CO5" s="162"/>
      <c r="CP5" s="162"/>
      <c r="CQ5" s="162"/>
      <c r="CR5" s="162"/>
      <c r="CS5" s="162"/>
      <c r="CT5" s="162"/>
      <c r="CU5" s="162"/>
      <c r="CV5" s="162"/>
      <c r="CW5" s="162"/>
      <c r="CX5" s="162"/>
      <c r="CY5" s="162"/>
      <c r="CZ5" s="162"/>
      <c r="DA5" s="162"/>
      <c r="DB5" s="162"/>
      <c r="DC5" s="162"/>
      <c r="DD5" s="162"/>
      <c r="DE5" s="162"/>
      <c r="DF5" s="162"/>
      <c r="DG5" s="162"/>
      <c r="DH5" s="162"/>
      <c r="DI5" s="162"/>
      <c r="DJ5" s="162"/>
      <c r="DK5" s="162"/>
      <c r="DL5" s="162"/>
      <c r="DM5" s="162"/>
      <c r="DN5" s="162"/>
      <c r="DO5" s="162"/>
      <c r="DP5" s="162"/>
      <c r="DQ5" s="162"/>
      <c r="DR5" s="162"/>
      <c r="DS5" s="162"/>
      <c r="DT5" s="162"/>
      <c r="DU5" s="162"/>
      <c r="DV5" s="162"/>
      <c r="DW5" s="162"/>
      <c r="DX5" s="162"/>
      <c r="DY5" s="162"/>
      <c r="DZ5" s="162"/>
      <c r="EA5" s="162"/>
      <c r="EB5" s="162"/>
      <c r="EC5" s="162"/>
      <c r="ED5" s="162"/>
      <c r="EE5" s="162"/>
      <c r="EF5" s="162"/>
      <c r="EG5" s="162"/>
      <c r="EH5" s="162"/>
      <c r="EI5" s="162"/>
      <c r="EJ5" s="162"/>
      <c r="EK5" s="162"/>
      <c r="EL5" s="162"/>
      <c r="EM5" s="162"/>
      <c r="EN5" s="162"/>
      <c r="EO5" s="162"/>
      <c r="EP5" s="162"/>
      <c r="EQ5" s="162"/>
      <c r="ER5" s="162"/>
      <c r="ES5" s="162"/>
      <c r="ET5" s="162"/>
      <c r="EU5" s="162"/>
      <c r="EV5" s="162"/>
      <c r="EW5" s="162"/>
      <c r="EX5" s="162"/>
      <c r="EY5" s="162"/>
      <c r="EZ5" s="162"/>
      <c r="FA5" s="162"/>
      <c r="FB5" s="162"/>
      <c r="FC5" s="162"/>
      <c r="FD5" s="162"/>
      <c r="FE5" s="162"/>
      <c r="FF5" s="162"/>
      <c r="FG5" s="162"/>
      <c r="FH5" s="162"/>
      <c r="FI5" s="162"/>
      <c r="FJ5" s="162"/>
      <c r="FK5" s="162"/>
      <c r="FL5" s="162"/>
      <c r="FM5" s="162"/>
      <c r="FN5" s="162"/>
      <c r="FO5" s="162"/>
      <c r="FP5" s="162"/>
      <c r="FQ5" s="162"/>
      <c r="FR5" s="162"/>
      <c r="FS5" s="162"/>
      <c r="FT5" s="162"/>
      <c r="FU5" s="162"/>
      <c r="FV5" s="162"/>
      <c r="FW5" s="162"/>
      <c r="FX5" s="162"/>
      <c r="FY5" s="162"/>
      <c r="FZ5" s="162"/>
      <c r="GA5" s="162"/>
      <c r="GB5" s="162"/>
      <c r="GC5" s="162"/>
      <c r="GD5" s="162"/>
      <c r="GE5" s="162"/>
      <c r="GF5" s="162"/>
      <c r="GG5" s="162"/>
      <c r="GH5" s="162"/>
      <c r="GI5" s="162"/>
      <c r="GJ5" s="162"/>
      <c r="GK5" s="162"/>
      <c r="GL5" s="162"/>
      <c r="GM5" s="162"/>
      <c r="GN5" s="162"/>
      <c r="GO5" s="162"/>
      <c r="GP5" s="162"/>
      <c r="GQ5" s="162"/>
      <c r="GR5" s="162"/>
      <c r="GS5" s="162"/>
      <c r="GT5" s="162"/>
      <c r="GU5" s="162"/>
      <c r="GV5" s="162"/>
      <c r="GW5" s="162"/>
      <c r="GX5" s="162"/>
      <c r="GY5" s="162"/>
      <c r="GZ5" s="162"/>
      <c r="HA5" s="162"/>
      <c r="HB5" s="162"/>
      <c r="HC5" s="162"/>
      <c r="HD5" s="162"/>
      <c r="HE5" s="162"/>
      <c r="HF5" s="162"/>
      <c r="HG5" s="162"/>
      <c r="HH5" s="162"/>
      <c r="HI5" s="162"/>
      <c r="HJ5" s="162"/>
      <c r="HK5" s="162"/>
      <c r="HL5" s="162"/>
      <c r="HM5" s="162"/>
      <c r="HN5" s="162"/>
      <c r="HO5" s="162"/>
      <c r="HP5" s="162"/>
      <c r="HQ5" s="162"/>
      <c r="HR5" s="162"/>
      <c r="HS5" s="162"/>
      <c r="HT5" s="162"/>
      <c r="HU5" s="162"/>
      <c r="HV5" s="162"/>
      <c r="HW5" s="162"/>
      <c r="HX5" s="162"/>
      <c r="HY5" s="162"/>
      <c r="HZ5" s="162"/>
      <c r="IA5" s="162"/>
      <c r="IB5" s="162"/>
      <c r="IC5" s="162"/>
      <c r="ID5" s="162"/>
      <c r="IE5" s="162"/>
      <c r="IF5" s="162"/>
      <c r="IG5" s="162"/>
      <c r="IH5" s="162"/>
      <c r="II5" s="162"/>
      <c r="IJ5" s="162"/>
      <c r="IK5" s="162"/>
      <c r="IL5" s="162"/>
      <c r="IM5" s="162"/>
      <c r="IN5" s="162"/>
      <c r="IO5" s="162"/>
      <c r="IP5" s="162"/>
      <c r="IQ5" s="162"/>
      <c r="IR5" s="162"/>
      <c r="IS5" s="162"/>
      <c r="IT5" s="162"/>
      <c r="IU5" s="162"/>
      <c r="IV5" s="162"/>
    </row>
    <row r="6" spans="1:256" s="154" customFormat="1" ht="41.25" customHeight="1" x14ac:dyDescent="0.2">
      <c r="A6" s="169">
        <v>3</v>
      </c>
      <c r="B6" s="169">
        <v>269941</v>
      </c>
      <c r="C6" s="169" t="s">
        <v>213</v>
      </c>
      <c r="D6" s="170" t="str">
        <f>(UPPER(C6:C41))</f>
        <v>ÁLCOOL ETÍLICO, TIPO: HIDRATADO, TEOR ALCOÓLICO: 70%, APRESENTAÇÃO: LÍQUIDO.UNIDADES CONTENDO  01 LITRO</v>
      </c>
      <c r="E6" s="171" t="s">
        <v>209</v>
      </c>
      <c r="F6" s="171">
        <f t="shared" si="0"/>
        <v>15</v>
      </c>
      <c r="G6" s="169">
        <v>180</v>
      </c>
      <c r="H6" s="169" t="s">
        <v>212</v>
      </c>
      <c r="I6" s="166">
        <v>5.76</v>
      </c>
      <c r="J6" s="172">
        <f t="shared" si="1"/>
        <v>1036.8</v>
      </c>
      <c r="K6" s="173">
        <f t="shared" si="2"/>
        <v>5.76</v>
      </c>
      <c r="L6" s="173">
        <f t="shared" si="3"/>
        <v>86.399999999999991</v>
      </c>
      <c r="M6" s="173">
        <f t="shared" si="4"/>
        <v>1036.8</v>
      </c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62"/>
      <c r="AD6" s="162"/>
      <c r="AE6" s="162"/>
      <c r="AF6" s="162"/>
      <c r="AG6" s="162"/>
      <c r="AH6" s="162"/>
      <c r="AI6" s="162"/>
      <c r="AJ6" s="162"/>
      <c r="AK6" s="162"/>
      <c r="AL6" s="162"/>
      <c r="AM6" s="162"/>
      <c r="AN6" s="162"/>
      <c r="AO6" s="162"/>
      <c r="AP6" s="162"/>
      <c r="AQ6" s="162"/>
      <c r="AR6" s="162"/>
      <c r="AS6" s="162"/>
      <c r="AT6" s="162"/>
      <c r="AU6" s="162"/>
      <c r="AV6" s="162"/>
      <c r="AW6" s="162"/>
      <c r="AX6" s="162"/>
      <c r="AY6" s="162"/>
      <c r="AZ6" s="162"/>
      <c r="BA6" s="162"/>
      <c r="BB6" s="162"/>
      <c r="BC6" s="162"/>
      <c r="BD6" s="162"/>
      <c r="BE6" s="162"/>
      <c r="BF6" s="162"/>
      <c r="BG6" s="162"/>
      <c r="BH6" s="162"/>
      <c r="BI6" s="162"/>
      <c r="BJ6" s="162"/>
      <c r="BK6" s="162"/>
      <c r="BL6" s="162"/>
      <c r="BM6" s="162"/>
      <c r="BN6" s="162"/>
      <c r="BO6" s="162"/>
      <c r="BP6" s="162"/>
      <c r="BQ6" s="162"/>
      <c r="BR6" s="162"/>
      <c r="BS6" s="162"/>
      <c r="BT6" s="162"/>
      <c r="BU6" s="162"/>
      <c r="BV6" s="162"/>
      <c r="BW6" s="162"/>
      <c r="BX6" s="162"/>
      <c r="BY6" s="162"/>
      <c r="BZ6" s="162"/>
      <c r="CA6" s="162"/>
      <c r="CB6" s="162"/>
      <c r="CC6" s="162"/>
      <c r="CD6" s="162"/>
      <c r="CE6" s="162"/>
      <c r="CF6" s="162"/>
      <c r="CG6" s="162"/>
      <c r="CH6" s="162"/>
      <c r="CI6" s="162"/>
      <c r="CJ6" s="162"/>
      <c r="CK6" s="162"/>
      <c r="CL6" s="162"/>
      <c r="CM6" s="162"/>
      <c r="CN6" s="162"/>
      <c r="CO6" s="162"/>
      <c r="CP6" s="162"/>
      <c r="CQ6" s="162"/>
      <c r="CR6" s="162"/>
      <c r="CS6" s="162"/>
      <c r="CT6" s="162"/>
      <c r="CU6" s="162"/>
      <c r="CV6" s="162"/>
      <c r="CW6" s="162"/>
      <c r="CX6" s="162"/>
      <c r="CY6" s="162"/>
      <c r="CZ6" s="162"/>
      <c r="DA6" s="162"/>
      <c r="DB6" s="162"/>
      <c r="DC6" s="162"/>
      <c r="DD6" s="162"/>
      <c r="DE6" s="162"/>
      <c r="DF6" s="162"/>
      <c r="DG6" s="162"/>
      <c r="DH6" s="162"/>
      <c r="DI6" s="162"/>
      <c r="DJ6" s="162"/>
      <c r="DK6" s="162"/>
      <c r="DL6" s="162"/>
      <c r="DM6" s="162"/>
      <c r="DN6" s="162"/>
      <c r="DO6" s="162"/>
      <c r="DP6" s="162"/>
      <c r="DQ6" s="162"/>
      <c r="DR6" s="162"/>
      <c r="DS6" s="162"/>
      <c r="DT6" s="162"/>
      <c r="DU6" s="162"/>
      <c r="DV6" s="162"/>
      <c r="DW6" s="162"/>
      <c r="DX6" s="162"/>
      <c r="DY6" s="162"/>
      <c r="DZ6" s="162"/>
      <c r="EA6" s="162"/>
      <c r="EB6" s="162"/>
      <c r="EC6" s="162"/>
      <c r="ED6" s="162"/>
      <c r="EE6" s="162"/>
      <c r="EF6" s="162"/>
      <c r="EG6" s="162"/>
      <c r="EH6" s="162"/>
      <c r="EI6" s="162"/>
      <c r="EJ6" s="162"/>
      <c r="EK6" s="162"/>
      <c r="EL6" s="162"/>
      <c r="EM6" s="162"/>
      <c r="EN6" s="162"/>
      <c r="EO6" s="162"/>
      <c r="EP6" s="162"/>
      <c r="EQ6" s="162"/>
      <c r="ER6" s="162"/>
      <c r="ES6" s="162"/>
      <c r="ET6" s="162"/>
      <c r="EU6" s="162"/>
      <c r="EV6" s="162"/>
      <c r="EW6" s="162"/>
      <c r="EX6" s="162"/>
      <c r="EY6" s="162"/>
      <c r="EZ6" s="162"/>
      <c r="FA6" s="162"/>
      <c r="FB6" s="162"/>
      <c r="FC6" s="162"/>
      <c r="FD6" s="162"/>
      <c r="FE6" s="162"/>
      <c r="FF6" s="162"/>
      <c r="FG6" s="162"/>
      <c r="FH6" s="162"/>
      <c r="FI6" s="162"/>
      <c r="FJ6" s="162"/>
      <c r="FK6" s="162"/>
      <c r="FL6" s="162"/>
      <c r="FM6" s="162"/>
      <c r="FN6" s="162"/>
      <c r="FO6" s="162"/>
      <c r="FP6" s="162"/>
      <c r="FQ6" s="162"/>
      <c r="FR6" s="162"/>
      <c r="FS6" s="162"/>
      <c r="FT6" s="162"/>
      <c r="FU6" s="162"/>
      <c r="FV6" s="162"/>
      <c r="FW6" s="162"/>
      <c r="FX6" s="162"/>
      <c r="FY6" s="162"/>
      <c r="FZ6" s="162"/>
      <c r="GA6" s="162"/>
      <c r="GB6" s="162"/>
      <c r="GC6" s="162"/>
      <c r="GD6" s="162"/>
      <c r="GE6" s="162"/>
      <c r="GF6" s="162"/>
      <c r="GG6" s="162"/>
      <c r="GH6" s="162"/>
      <c r="GI6" s="162"/>
      <c r="GJ6" s="162"/>
      <c r="GK6" s="162"/>
      <c r="GL6" s="162"/>
      <c r="GM6" s="162"/>
      <c r="GN6" s="162"/>
      <c r="GO6" s="162"/>
      <c r="GP6" s="162"/>
      <c r="GQ6" s="162"/>
      <c r="GR6" s="162"/>
      <c r="GS6" s="162"/>
      <c r="GT6" s="162"/>
      <c r="GU6" s="162"/>
      <c r="GV6" s="162"/>
      <c r="GW6" s="162"/>
      <c r="GX6" s="162"/>
      <c r="GY6" s="162"/>
      <c r="GZ6" s="162"/>
      <c r="HA6" s="162"/>
      <c r="HB6" s="162"/>
      <c r="HC6" s="162"/>
      <c r="HD6" s="162"/>
      <c r="HE6" s="162"/>
      <c r="HF6" s="162"/>
      <c r="HG6" s="162"/>
      <c r="HH6" s="162"/>
      <c r="HI6" s="162"/>
      <c r="HJ6" s="162"/>
      <c r="HK6" s="162"/>
      <c r="HL6" s="162"/>
      <c r="HM6" s="162"/>
      <c r="HN6" s="162"/>
      <c r="HO6" s="162"/>
      <c r="HP6" s="162"/>
      <c r="HQ6" s="162"/>
      <c r="HR6" s="162"/>
      <c r="HS6" s="162"/>
      <c r="HT6" s="162"/>
      <c r="HU6" s="162"/>
      <c r="HV6" s="162"/>
      <c r="HW6" s="162"/>
      <c r="HX6" s="162"/>
      <c r="HY6" s="162"/>
      <c r="HZ6" s="162"/>
      <c r="IA6" s="162"/>
      <c r="IB6" s="162"/>
      <c r="IC6" s="162"/>
      <c r="ID6" s="162"/>
      <c r="IE6" s="162"/>
      <c r="IF6" s="162"/>
      <c r="IG6" s="162"/>
      <c r="IH6" s="162"/>
      <c r="II6" s="162"/>
      <c r="IJ6" s="162"/>
      <c r="IK6" s="162"/>
      <c r="IL6" s="162"/>
      <c r="IM6" s="162"/>
      <c r="IN6" s="162"/>
      <c r="IO6" s="162"/>
      <c r="IP6" s="162"/>
      <c r="IQ6" s="162"/>
      <c r="IR6" s="162"/>
      <c r="IS6" s="162"/>
      <c r="IT6" s="162"/>
      <c r="IU6" s="162"/>
      <c r="IV6" s="162"/>
    </row>
    <row r="7" spans="1:256" ht="51.75" customHeight="1" x14ac:dyDescent="0.25">
      <c r="A7" s="169">
        <v>4</v>
      </c>
      <c r="B7" s="169">
        <v>234431</v>
      </c>
      <c r="C7" s="169" t="s">
        <v>214</v>
      </c>
      <c r="D7" s="170" t="str">
        <f>(UPPER(C7:C43))</f>
        <v>DESODORANTE / AROMATIZANTE DE AMBIENTE, TIPO AEROSOL, AROMA LAVANDA, USO GERAL, CARACTERÍSTICAS ADICIONAIS: BIODEGRADÁVEL. UNIDADES CONTENDO  360 ML</v>
      </c>
      <c r="E7" s="171" t="s">
        <v>209</v>
      </c>
      <c r="F7" s="171">
        <f t="shared" si="0"/>
        <v>10</v>
      </c>
      <c r="G7" s="169">
        <v>120</v>
      </c>
      <c r="H7" s="169" t="s">
        <v>215</v>
      </c>
      <c r="I7" s="166">
        <v>7.01</v>
      </c>
      <c r="J7" s="172">
        <f t="shared" si="1"/>
        <v>841.19999999999993</v>
      </c>
      <c r="K7" s="173">
        <f t="shared" si="2"/>
        <v>7.01</v>
      </c>
      <c r="L7" s="173">
        <f t="shared" si="3"/>
        <v>70.099999999999994</v>
      </c>
      <c r="M7" s="173">
        <f t="shared" si="4"/>
        <v>841.19999999999993</v>
      </c>
      <c r="N7" s="162"/>
      <c r="O7" s="162"/>
      <c r="P7" s="162"/>
      <c r="Q7" s="162"/>
      <c r="R7" s="162"/>
      <c r="S7" s="162"/>
      <c r="T7" s="162"/>
      <c r="U7" s="162"/>
      <c r="V7" s="162"/>
      <c r="W7" s="162"/>
      <c r="X7" s="162"/>
      <c r="Y7" s="162"/>
      <c r="Z7" s="162"/>
      <c r="AA7" s="162"/>
      <c r="AB7" s="162"/>
      <c r="AC7" s="162"/>
      <c r="AD7" s="162"/>
      <c r="AE7" s="162"/>
      <c r="AF7" s="162"/>
      <c r="AG7" s="162"/>
      <c r="AH7" s="162"/>
      <c r="AI7" s="162"/>
      <c r="AJ7" s="162"/>
      <c r="AK7" s="162"/>
      <c r="AL7" s="162"/>
      <c r="AM7" s="162"/>
      <c r="AN7" s="162"/>
      <c r="AO7" s="162"/>
      <c r="AP7" s="162"/>
      <c r="AQ7" s="162"/>
      <c r="AR7" s="162"/>
      <c r="AS7" s="162"/>
      <c r="AT7" s="162"/>
      <c r="AU7" s="162"/>
      <c r="AV7" s="162"/>
      <c r="AW7" s="162"/>
      <c r="AX7" s="162"/>
      <c r="AY7" s="162"/>
      <c r="AZ7" s="162"/>
      <c r="BA7" s="162"/>
      <c r="BB7" s="162"/>
      <c r="BC7" s="162"/>
      <c r="BD7" s="162"/>
      <c r="BE7" s="162"/>
      <c r="BF7" s="162"/>
      <c r="BG7" s="162"/>
      <c r="BH7" s="162"/>
      <c r="BI7" s="162"/>
      <c r="BJ7" s="162"/>
      <c r="BK7" s="162"/>
      <c r="BL7" s="162"/>
      <c r="BM7" s="162"/>
      <c r="BN7" s="162"/>
      <c r="BO7" s="162"/>
      <c r="BP7" s="162"/>
      <c r="BQ7" s="162"/>
      <c r="BR7" s="162"/>
      <c r="BS7" s="162"/>
      <c r="BT7" s="162"/>
      <c r="BU7" s="162"/>
      <c r="BV7" s="162"/>
      <c r="BW7" s="162"/>
      <c r="BX7" s="162"/>
      <c r="BY7" s="162"/>
      <c r="BZ7" s="162"/>
      <c r="CA7" s="162"/>
      <c r="CB7" s="162"/>
      <c r="CC7" s="162"/>
      <c r="CD7" s="162"/>
      <c r="CE7" s="162"/>
      <c r="CF7" s="162"/>
      <c r="CG7" s="162"/>
      <c r="CH7" s="162"/>
      <c r="CI7" s="162"/>
      <c r="CJ7" s="162"/>
      <c r="CK7" s="162"/>
      <c r="CL7" s="162"/>
      <c r="CM7" s="162"/>
      <c r="CN7" s="162"/>
      <c r="CO7" s="162"/>
      <c r="CP7" s="162"/>
      <c r="CQ7" s="162"/>
      <c r="CR7" s="162"/>
      <c r="CS7" s="162"/>
      <c r="CT7" s="162"/>
      <c r="CU7" s="162"/>
      <c r="CV7" s="162"/>
      <c r="CW7" s="162"/>
      <c r="CX7" s="162"/>
      <c r="CY7" s="162"/>
      <c r="CZ7" s="162"/>
      <c r="DA7" s="162"/>
      <c r="DB7" s="162"/>
      <c r="DC7" s="162"/>
      <c r="DD7" s="162"/>
      <c r="DE7" s="162"/>
      <c r="DF7" s="162"/>
      <c r="DG7" s="162"/>
      <c r="DH7" s="162"/>
      <c r="DI7" s="162"/>
      <c r="DJ7" s="162"/>
      <c r="DK7" s="162"/>
      <c r="DL7" s="162"/>
      <c r="DM7" s="162"/>
      <c r="DN7" s="162"/>
      <c r="DO7" s="162"/>
      <c r="DP7" s="162"/>
      <c r="DQ7" s="162"/>
      <c r="DR7" s="162"/>
      <c r="DS7" s="162"/>
      <c r="DT7" s="162"/>
      <c r="DU7" s="162"/>
      <c r="DV7" s="162"/>
      <c r="DW7" s="162"/>
      <c r="DX7" s="162"/>
      <c r="DY7" s="162"/>
      <c r="DZ7" s="162"/>
      <c r="EA7" s="162"/>
      <c r="EB7" s="162"/>
      <c r="EC7" s="162"/>
      <c r="ED7" s="162"/>
      <c r="EE7" s="162"/>
      <c r="EF7" s="162"/>
      <c r="EG7" s="162"/>
      <c r="EH7" s="162"/>
      <c r="EI7" s="162"/>
      <c r="EJ7" s="162"/>
      <c r="EK7" s="162"/>
      <c r="EL7" s="162"/>
      <c r="EM7" s="162"/>
      <c r="EN7" s="162"/>
      <c r="EO7" s="162"/>
      <c r="EP7" s="162"/>
      <c r="EQ7" s="162"/>
      <c r="ER7" s="162"/>
      <c r="ES7" s="162"/>
      <c r="ET7" s="162"/>
      <c r="EU7" s="162"/>
      <c r="EV7" s="162"/>
      <c r="EW7" s="162"/>
      <c r="EX7" s="162"/>
      <c r="EY7" s="162"/>
      <c r="EZ7" s="162"/>
      <c r="FA7" s="162"/>
      <c r="FB7" s="162"/>
      <c r="FC7" s="162"/>
      <c r="FD7" s="162"/>
      <c r="FE7" s="162"/>
      <c r="FF7" s="162"/>
      <c r="FG7" s="162"/>
      <c r="FH7" s="162"/>
      <c r="FI7" s="162"/>
      <c r="FJ7" s="162"/>
      <c r="FK7" s="162"/>
      <c r="FL7" s="162"/>
      <c r="FM7" s="162"/>
      <c r="FN7" s="162"/>
      <c r="FO7" s="162"/>
      <c r="FP7" s="162"/>
      <c r="FQ7" s="162"/>
      <c r="FR7" s="162"/>
      <c r="FS7" s="162"/>
      <c r="FT7" s="162"/>
      <c r="FU7" s="162"/>
      <c r="FV7" s="162"/>
      <c r="FW7" s="162"/>
      <c r="FX7" s="162"/>
      <c r="FY7" s="162"/>
      <c r="FZ7" s="162"/>
      <c r="GA7" s="162"/>
      <c r="GB7" s="162"/>
      <c r="GC7" s="162"/>
      <c r="GD7" s="162"/>
      <c r="GE7" s="162"/>
      <c r="GF7" s="162"/>
      <c r="GG7" s="162"/>
      <c r="GH7" s="162"/>
      <c r="GI7" s="162"/>
      <c r="GJ7" s="162"/>
      <c r="GK7" s="162"/>
      <c r="GL7" s="162"/>
      <c r="GM7" s="162"/>
      <c r="GN7" s="162"/>
      <c r="GO7" s="162"/>
      <c r="GP7" s="162"/>
      <c r="GQ7" s="162"/>
      <c r="GR7" s="162"/>
      <c r="GS7" s="162"/>
      <c r="GT7" s="162"/>
      <c r="GU7" s="162"/>
      <c r="GV7" s="162"/>
      <c r="GW7" s="162"/>
      <c r="GX7" s="162"/>
      <c r="GY7" s="162"/>
      <c r="GZ7" s="162"/>
      <c r="HA7" s="162"/>
      <c r="HB7" s="162"/>
      <c r="HC7" s="162"/>
      <c r="HD7" s="162"/>
      <c r="HE7" s="162"/>
      <c r="HF7" s="162"/>
      <c r="HG7" s="162"/>
      <c r="HH7" s="162"/>
      <c r="HI7" s="162"/>
      <c r="HJ7" s="162"/>
      <c r="HK7" s="162"/>
      <c r="HL7" s="162"/>
      <c r="HM7" s="162"/>
      <c r="HN7" s="162"/>
      <c r="HO7" s="162"/>
      <c r="HP7" s="162"/>
      <c r="HQ7" s="162"/>
      <c r="HR7" s="162"/>
      <c r="HS7" s="162"/>
      <c r="HT7" s="162"/>
      <c r="HU7" s="162"/>
      <c r="HV7" s="162"/>
      <c r="HW7" s="162"/>
      <c r="HX7" s="162"/>
      <c r="HY7" s="162"/>
      <c r="HZ7" s="162"/>
      <c r="IA7" s="162"/>
      <c r="IB7" s="162"/>
      <c r="IC7" s="162"/>
      <c r="ID7" s="162"/>
      <c r="IE7" s="162"/>
      <c r="IF7" s="162"/>
      <c r="IG7" s="162"/>
      <c r="IH7" s="162"/>
      <c r="II7" s="162"/>
      <c r="IJ7" s="162"/>
      <c r="IK7" s="162"/>
      <c r="IL7" s="162"/>
      <c r="IM7" s="162"/>
      <c r="IN7" s="162"/>
      <c r="IO7" s="162"/>
      <c r="IP7" s="162"/>
      <c r="IQ7" s="162"/>
      <c r="IR7" s="162"/>
      <c r="IS7" s="162"/>
      <c r="IT7" s="162"/>
      <c r="IU7" s="162"/>
      <c r="IV7" s="162"/>
    </row>
    <row r="8" spans="1:256" s="154" customFormat="1" ht="76.5" x14ac:dyDescent="0.2">
      <c r="A8" s="169">
        <v>5</v>
      </c>
      <c r="B8" s="169">
        <v>293351</v>
      </c>
      <c r="C8" s="169" t="s">
        <v>216</v>
      </c>
      <c r="D8" s="170" t="str">
        <f>(UPPER(C8:C45))</f>
        <v>MULTIUSO SOLUÇÃO DE LIMPEZA , COMPOSIÇÃO BÁSICA: ÁGUA SANITÁRIA, ALVEJANTE E DESINFETANTE, ASPECTO FÍSICO: LÍQUIDO, APLICAÇÃO: LIMPEZA GERAL, CARACTERÍSTÍCAS ADICIONAIS: TAMPA DOSADORA DE FLUXO. UNIDADES CONTENDO 500 ML</v>
      </c>
      <c r="E8" s="171" t="s">
        <v>209</v>
      </c>
      <c r="F8" s="171">
        <f t="shared" si="0"/>
        <v>20</v>
      </c>
      <c r="G8" s="169">
        <v>240</v>
      </c>
      <c r="H8" s="169" t="s">
        <v>217</v>
      </c>
      <c r="I8" s="166">
        <v>1.94</v>
      </c>
      <c r="J8" s="172">
        <f t="shared" si="1"/>
        <v>465.59999999999997</v>
      </c>
      <c r="K8" s="173">
        <f t="shared" si="2"/>
        <v>1.94</v>
      </c>
      <c r="L8" s="173">
        <f t="shared" si="3"/>
        <v>38.799999999999997</v>
      </c>
      <c r="M8" s="173">
        <f t="shared" si="4"/>
        <v>465.59999999999997</v>
      </c>
      <c r="N8" s="162"/>
      <c r="O8" s="162"/>
      <c r="P8" s="162"/>
      <c r="Q8" s="162"/>
      <c r="R8" s="162"/>
      <c r="S8" s="162"/>
      <c r="T8" s="162"/>
      <c r="U8" s="162"/>
      <c r="V8" s="162"/>
      <c r="W8" s="162"/>
      <c r="X8" s="162"/>
      <c r="Y8" s="162"/>
      <c r="Z8" s="162"/>
      <c r="AA8" s="162"/>
      <c r="AB8" s="162"/>
      <c r="AC8" s="162"/>
      <c r="AD8" s="162"/>
      <c r="AE8" s="162"/>
      <c r="AF8" s="162"/>
      <c r="AG8" s="162"/>
      <c r="AH8" s="162"/>
      <c r="AI8" s="162"/>
      <c r="AJ8" s="162"/>
      <c r="AK8" s="162"/>
      <c r="AL8" s="162"/>
      <c r="AM8" s="162"/>
      <c r="AN8" s="162"/>
      <c r="AO8" s="162"/>
      <c r="AP8" s="162"/>
      <c r="AQ8" s="162"/>
      <c r="AR8" s="162"/>
      <c r="AS8" s="162"/>
      <c r="AT8" s="162"/>
      <c r="AU8" s="162"/>
      <c r="AV8" s="162"/>
      <c r="AW8" s="162"/>
      <c r="AX8" s="162"/>
      <c r="AY8" s="162"/>
      <c r="AZ8" s="162"/>
      <c r="BA8" s="162"/>
      <c r="BB8" s="162"/>
      <c r="BC8" s="162"/>
      <c r="BD8" s="162"/>
      <c r="BE8" s="162"/>
      <c r="BF8" s="162"/>
      <c r="BG8" s="162"/>
      <c r="BH8" s="162"/>
      <c r="BI8" s="162"/>
      <c r="BJ8" s="162"/>
      <c r="BK8" s="162"/>
      <c r="BL8" s="162"/>
      <c r="BM8" s="162"/>
      <c r="BN8" s="162"/>
      <c r="BO8" s="162"/>
      <c r="BP8" s="162"/>
      <c r="BQ8" s="162"/>
      <c r="BR8" s="162"/>
      <c r="BS8" s="162"/>
      <c r="BT8" s="162"/>
      <c r="BU8" s="162"/>
      <c r="BV8" s="162"/>
      <c r="BW8" s="162"/>
      <c r="BX8" s="162"/>
      <c r="BY8" s="162"/>
      <c r="BZ8" s="162"/>
      <c r="CA8" s="162"/>
      <c r="CB8" s="162"/>
      <c r="CC8" s="162"/>
      <c r="CD8" s="162"/>
      <c r="CE8" s="162"/>
      <c r="CF8" s="162"/>
      <c r="CG8" s="162"/>
      <c r="CH8" s="162"/>
      <c r="CI8" s="162"/>
      <c r="CJ8" s="162"/>
      <c r="CK8" s="162"/>
      <c r="CL8" s="162"/>
      <c r="CM8" s="162"/>
      <c r="CN8" s="162"/>
      <c r="CO8" s="162"/>
      <c r="CP8" s="162"/>
      <c r="CQ8" s="162"/>
      <c r="CR8" s="162"/>
      <c r="CS8" s="162"/>
      <c r="CT8" s="162"/>
      <c r="CU8" s="162"/>
      <c r="CV8" s="162"/>
      <c r="CW8" s="162"/>
      <c r="CX8" s="162"/>
      <c r="CY8" s="162"/>
      <c r="CZ8" s="162"/>
      <c r="DA8" s="162"/>
      <c r="DB8" s="162"/>
      <c r="DC8" s="162"/>
      <c r="DD8" s="162"/>
      <c r="DE8" s="162"/>
      <c r="DF8" s="162"/>
      <c r="DG8" s="162"/>
      <c r="DH8" s="162"/>
      <c r="DI8" s="162"/>
      <c r="DJ8" s="162"/>
      <c r="DK8" s="162"/>
      <c r="DL8" s="162"/>
      <c r="DM8" s="162"/>
      <c r="DN8" s="162"/>
      <c r="DO8" s="162"/>
      <c r="DP8" s="162"/>
      <c r="DQ8" s="162"/>
      <c r="DR8" s="162"/>
      <c r="DS8" s="162"/>
      <c r="DT8" s="162"/>
      <c r="DU8" s="162"/>
      <c r="DV8" s="162"/>
      <c r="DW8" s="162"/>
      <c r="DX8" s="162"/>
      <c r="DY8" s="162"/>
      <c r="DZ8" s="162"/>
      <c r="EA8" s="162"/>
      <c r="EB8" s="162"/>
      <c r="EC8" s="162"/>
      <c r="ED8" s="162"/>
      <c r="EE8" s="162"/>
      <c r="EF8" s="162"/>
      <c r="EG8" s="162"/>
      <c r="EH8" s="162"/>
      <c r="EI8" s="162"/>
      <c r="EJ8" s="162"/>
      <c r="EK8" s="162"/>
      <c r="EL8" s="162"/>
      <c r="EM8" s="162"/>
      <c r="EN8" s="162"/>
      <c r="EO8" s="162"/>
      <c r="EP8" s="162"/>
      <c r="EQ8" s="162"/>
      <c r="ER8" s="162"/>
      <c r="ES8" s="162"/>
      <c r="ET8" s="162"/>
      <c r="EU8" s="162"/>
      <c r="EV8" s="162"/>
      <c r="EW8" s="162"/>
      <c r="EX8" s="162"/>
      <c r="EY8" s="162"/>
      <c r="EZ8" s="162"/>
      <c r="FA8" s="162"/>
      <c r="FB8" s="162"/>
      <c r="FC8" s="162"/>
      <c r="FD8" s="162"/>
      <c r="FE8" s="162"/>
      <c r="FF8" s="162"/>
      <c r="FG8" s="162"/>
      <c r="FH8" s="162"/>
      <c r="FI8" s="162"/>
      <c r="FJ8" s="162"/>
      <c r="FK8" s="162"/>
      <c r="FL8" s="162"/>
      <c r="FM8" s="162"/>
      <c r="FN8" s="162"/>
      <c r="FO8" s="162"/>
      <c r="FP8" s="162"/>
      <c r="FQ8" s="162"/>
      <c r="FR8" s="162"/>
      <c r="FS8" s="162"/>
      <c r="FT8" s="162"/>
      <c r="FU8" s="162"/>
      <c r="FV8" s="162"/>
      <c r="FW8" s="162"/>
      <c r="FX8" s="162"/>
      <c r="FY8" s="162"/>
      <c r="FZ8" s="162"/>
      <c r="GA8" s="162"/>
      <c r="GB8" s="162"/>
      <c r="GC8" s="162"/>
      <c r="GD8" s="162"/>
      <c r="GE8" s="162"/>
      <c r="GF8" s="162"/>
      <c r="GG8" s="162"/>
      <c r="GH8" s="162"/>
      <c r="GI8" s="162"/>
      <c r="GJ8" s="162"/>
      <c r="GK8" s="162"/>
      <c r="GL8" s="162"/>
      <c r="GM8" s="162"/>
      <c r="GN8" s="162"/>
      <c r="GO8" s="162"/>
      <c r="GP8" s="162"/>
      <c r="GQ8" s="162"/>
      <c r="GR8" s="162"/>
      <c r="GS8" s="162"/>
      <c r="GT8" s="162"/>
      <c r="GU8" s="162"/>
      <c r="GV8" s="162"/>
      <c r="GW8" s="162"/>
      <c r="GX8" s="162"/>
      <c r="GY8" s="162"/>
      <c r="GZ8" s="162"/>
      <c r="HA8" s="162"/>
      <c r="HB8" s="162"/>
      <c r="HC8" s="162"/>
      <c r="HD8" s="162"/>
      <c r="HE8" s="162"/>
      <c r="HF8" s="162"/>
      <c r="HG8" s="162"/>
      <c r="HH8" s="162"/>
      <c r="HI8" s="162"/>
      <c r="HJ8" s="162"/>
      <c r="HK8" s="162"/>
      <c r="HL8" s="162"/>
      <c r="HM8" s="162"/>
      <c r="HN8" s="162"/>
      <c r="HO8" s="162"/>
      <c r="HP8" s="162"/>
      <c r="HQ8" s="162"/>
      <c r="HR8" s="162"/>
      <c r="HS8" s="162"/>
      <c r="HT8" s="162"/>
      <c r="HU8" s="162"/>
      <c r="HV8" s="162"/>
      <c r="HW8" s="162"/>
      <c r="HX8" s="162"/>
      <c r="HY8" s="162"/>
      <c r="HZ8" s="162"/>
      <c r="IA8" s="162"/>
      <c r="IB8" s="162"/>
      <c r="IC8" s="162"/>
      <c r="ID8" s="162"/>
      <c r="IE8" s="162"/>
      <c r="IF8" s="162"/>
      <c r="IG8" s="162"/>
      <c r="IH8" s="162"/>
      <c r="II8" s="162"/>
      <c r="IJ8" s="162"/>
      <c r="IK8" s="162"/>
      <c r="IL8" s="162"/>
      <c r="IM8" s="162"/>
      <c r="IN8" s="162"/>
      <c r="IO8" s="162"/>
      <c r="IP8" s="162"/>
      <c r="IQ8" s="162"/>
      <c r="IR8" s="162"/>
      <c r="IS8" s="162"/>
      <c r="IT8" s="162"/>
      <c r="IU8" s="162"/>
      <c r="IV8" s="162"/>
    </row>
    <row r="9" spans="1:256" ht="108.75" customHeight="1" x14ac:dyDescent="0.25">
      <c r="A9" s="169">
        <v>6</v>
      </c>
      <c r="B9" s="169">
        <v>396196</v>
      </c>
      <c r="C9" s="174" t="s">
        <v>218</v>
      </c>
      <c r="D9" s="170" t="str">
        <f>(UPPER(C9:C45))</f>
        <v>DESINFETANTE, COMPOSIÇÃO: À BASE DE QUATERNÁRIO DE AMÔNIO, PRINCÍPIO ATIVO: CLORETO ALQUIL DIMETIL BENZIL AMÔNIO + TENSIOATIVOS, TEOR ATIVO: SOLUÇÃO CONCENTRADA, TEOR ATIVO EM TORNO DE 50%, FORMA FÍSICA: SOLUÇÃO AQUOSA, CARACTERÍSTICA
ADICIONAL: COM AROMA. UNIDADES CONTENDO  01 LITRO</v>
      </c>
      <c r="E9" s="171" t="s">
        <v>209</v>
      </c>
      <c r="F9" s="171">
        <f t="shared" si="0"/>
        <v>15</v>
      </c>
      <c r="G9" s="169">
        <v>180</v>
      </c>
      <c r="H9" s="169" t="s">
        <v>210</v>
      </c>
      <c r="I9" s="166">
        <v>2.41</v>
      </c>
      <c r="J9" s="172">
        <f t="shared" si="1"/>
        <v>433.8</v>
      </c>
      <c r="K9" s="173">
        <f t="shared" si="2"/>
        <v>2.41</v>
      </c>
      <c r="L9" s="173">
        <f t="shared" si="3"/>
        <v>36.150000000000006</v>
      </c>
      <c r="M9" s="173">
        <f t="shared" si="4"/>
        <v>433.80000000000007</v>
      </c>
      <c r="N9" s="162"/>
      <c r="O9" s="162"/>
      <c r="P9" s="162"/>
      <c r="Q9" s="162"/>
      <c r="R9" s="162"/>
      <c r="S9" s="162"/>
      <c r="T9" s="162"/>
      <c r="U9" s="162"/>
      <c r="V9" s="162"/>
      <c r="W9" s="162"/>
      <c r="X9" s="162"/>
      <c r="Y9" s="162"/>
      <c r="Z9" s="162"/>
      <c r="AA9" s="162"/>
      <c r="AB9" s="162"/>
      <c r="AC9" s="162"/>
      <c r="AD9" s="162"/>
      <c r="AE9" s="162"/>
      <c r="AF9" s="162"/>
      <c r="AG9" s="162"/>
      <c r="AH9" s="162"/>
      <c r="AI9" s="162"/>
      <c r="AJ9" s="162"/>
      <c r="AK9" s="162"/>
      <c r="AL9" s="162"/>
      <c r="AM9" s="162"/>
      <c r="AN9" s="162"/>
      <c r="AO9" s="162"/>
      <c r="AP9" s="162"/>
      <c r="AQ9" s="162"/>
      <c r="AR9" s="162"/>
      <c r="AS9" s="162"/>
      <c r="AT9" s="162"/>
      <c r="AU9" s="162"/>
      <c r="AV9" s="162"/>
      <c r="AW9" s="162"/>
      <c r="AX9" s="162"/>
      <c r="AY9" s="162"/>
      <c r="AZ9" s="162"/>
      <c r="BA9" s="162"/>
      <c r="BB9" s="162"/>
      <c r="BC9" s="162"/>
      <c r="BD9" s="162"/>
      <c r="BE9" s="162"/>
      <c r="BF9" s="162"/>
      <c r="BG9" s="162"/>
      <c r="BH9" s="162"/>
      <c r="BI9" s="162"/>
      <c r="BJ9" s="162"/>
      <c r="BK9" s="162"/>
      <c r="BL9" s="162"/>
      <c r="BM9" s="162"/>
      <c r="BN9" s="162"/>
      <c r="BO9" s="162"/>
      <c r="BP9" s="162"/>
      <c r="BQ9" s="162"/>
      <c r="BR9" s="162"/>
      <c r="BS9" s="162"/>
      <c r="BT9" s="162"/>
      <c r="BU9" s="162"/>
      <c r="BV9" s="162"/>
      <c r="BW9" s="162"/>
      <c r="BX9" s="162"/>
      <c r="BY9" s="162"/>
      <c r="BZ9" s="162"/>
      <c r="CA9" s="162"/>
      <c r="CB9" s="162"/>
      <c r="CC9" s="162"/>
      <c r="CD9" s="162"/>
      <c r="CE9" s="162"/>
      <c r="CF9" s="162"/>
      <c r="CG9" s="162"/>
      <c r="CH9" s="162"/>
      <c r="CI9" s="162"/>
      <c r="CJ9" s="162"/>
      <c r="CK9" s="162"/>
      <c r="CL9" s="162"/>
      <c r="CM9" s="162"/>
      <c r="CN9" s="162"/>
      <c r="CO9" s="162"/>
      <c r="CP9" s="162"/>
      <c r="CQ9" s="162"/>
      <c r="CR9" s="162"/>
      <c r="CS9" s="162"/>
      <c r="CT9" s="162"/>
      <c r="CU9" s="162"/>
      <c r="CV9" s="162"/>
      <c r="CW9" s="162"/>
      <c r="CX9" s="162"/>
      <c r="CY9" s="162"/>
      <c r="CZ9" s="162"/>
      <c r="DA9" s="162"/>
      <c r="DB9" s="162"/>
      <c r="DC9" s="162"/>
      <c r="DD9" s="162"/>
      <c r="DE9" s="162"/>
      <c r="DF9" s="162"/>
      <c r="DG9" s="162"/>
      <c r="DH9" s="162"/>
      <c r="DI9" s="162"/>
      <c r="DJ9" s="162"/>
      <c r="DK9" s="162"/>
      <c r="DL9" s="162"/>
      <c r="DM9" s="162"/>
      <c r="DN9" s="162"/>
      <c r="DO9" s="162"/>
      <c r="DP9" s="162"/>
      <c r="DQ9" s="162"/>
      <c r="DR9" s="162"/>
      <c r="DS9" s="162"/>
      <c r="DT9" s="162"/>
      <c r="DU9" s="162"/>
      <c r="DV9" s="162"/>
      <c r="DW9" s="162"/>
      <c r="DX9" s="162"/>
      <c r="DY9" s="162"/>
      <c r="DZ9" s="162"/>
      <c r="EA9" s="162"/>
      <c r="EB9" s="162"/>
      <c r="EC9" s="162"/>
      <c r="ED9" s="162"/>
      <c r="EE9" s="162"/>
      <c r="EF9" s="162"/>
      <c r="EG9" s="162"/>
      <c r="EH9" s="162"/>
      <c r="EI9" s="162"/>
      <c r="EJ9" s="162"/>
      <c r="EK9" s="162"/>
      <c r="EL9" s="162"/>
      <c r="EM9" s="162"/>
      <c r="EN9" s="162"/>
      <c r="EO9" s="162"/>
      <c r="EP9" s="162"/>
      <c r="EQ9" s="162"/>
      <c r="ER9" s="162"/>
      <c r="ES9" s="162"/>
      <c r="ET9" s="162"/>
      <c r="EU9" s="162"/>
      <c r="EV9" s="162"/>
      <c r="EW9" s="162"/>
      <c r="EX9" s="162"/>
      <c r="EY9" s="162"/>
      <c r="EZ9" s="162"/>
      <c r="FA9" s="162"/>
      <c r="FB9" s="162"/>
      <c r="FC9" s="162"/>
      <c r="FD9" s="162"/>
      <c r="FE9" s="162"/>
      <c r="FF9" s="162"/>
      <c r="FG9" s="162"/>
      <c r="FH9" s="162"/>
      <c r="FI9" s="162"/>
      <c r="FJ9" s="162"/>
      <c r="FK9" s="162"/>
      <c r="FL9" s="162"/>
      <c r="FM9" s="162"/>
      <c r="FN9" s="162"/>
      <c r="FO9" s="162"/>
      <c r="FP9" s="162"/>
      <c r="FQ9" s="162"/>
      <c r="FR9" s="162"/>
      <c r="FS9" s="162"/>
      <c r="FT9" s="162"/>
      <c r="FU9" s="162"/>
      <c r="FV9" s="162"/>
      <c r="FW9" s="162"/>
      <c r="FX9" s="162"/>
      <c r="FY9" s="162"/>
      <c r="FZ9" s="162"/>
      <c r="GA9" s="162"/>
      <c r="GB9" s="162"/>
      <c r="GC9" s="162"/>
      <c r="GD9" s="162"/>
      <c r="GE9" s="162"/>
      <c r="GF9" s="162"/>
      <c r="GG9" s="162"/>
      <c r="GH9" s="162"/>
      <c r="GI9" s="162"/>
      <c r="GJ9" s="162"/>
      <c r="GK9" s="162"/>
      <c r="GL9" s="162"/>
      <c r="GM9" s="162"/>
      <c r="GN9" s="162"/>
      <c r="GO9" s="162"/>
      <c r="GP9" s="162"/>
      <c r="GQ9" s="162"/>
      <c r="GR9" s="162"/>
      <c r="GS9" s="162"/>
      <c r="GT9" s="162"/>
      <c r="GU9" s="162"/>
      <c r="GV9" s="162"/>
      <c r="GW9" s="162"/>
      <c r="GX9" s="162"/>
      <c r="GY9" s="162"/>
      <c r="GZ9" s="162"/>
      <c r="HA9" s="162"/>
      <c r="HB9" s="162"/>
      <c r="HC9" s="162"/>
      <c r="HD9" s="162"/>
      <c r="HE9" s="162"/>
      <c r="HF9" s="162"/>
      <c r="HG9" s="162"/>
      <c r="HH9" s="162"/>
      <c r="HI9" s="162"/>
      <c r="HJ9" s="162"/>
      <c r="HK9" s="162"/>
      <c r="HL9" s="162"/>
      <c r="HM9" s="162"/>
      <c r="HN9" s="162"/>
      <c r="HO9" s="162"/>
      <c r="HP9" s="162"/>
      <c r="HQ9" s="162"/>
      <c r="HR9" s="162"/>
      <c r="HS9" s="162"/>
      <c r="HT9" s="162"/>
      <c r="HU9" s="162"/>
      <c r="HV9" s="162"/>
      <c r="HW9" s="162"/>
      <c r="HX9" s="162"/>
      <c r="HY9" s="162"/>
      <c r="HZ9" s="162"/>
      <c r="IA9" s="162"/>
      <c r="IB9" s="162"/>
      <c r="IC9" s="162"/>
      <c r="ID9" s="162"/>
      <c r="IE9" s="162"/>
      <c r="IF9" s="162"/>
      <c r="IG9" s="162"/>
      <c r="IH9" s="162"/>
      <c r="II9" s="162"/>
      <c r="IJ9" s="162"/>
      <c r="IK9" s="162"/>
      <c r="IL9" s="162"/>
      <c r="IM9" s="162"/>
      <c r="IN9" s="162"/>
      <c r="IO9" s="162"/>
      <c r="IP9" s="162"/>
      <c r="IQ9" s="162"/>
      <c r="IR9" s="162"/>
      <c r="IS9" s="162"/>
      <c r="IT9" s="162"/>
      <c r="IU9" s="162"/>
      <c r="IV9" s="162"/>
    </row>
    <row r="10" spans="1:256" s="154" customFormat="1" ht="76.5" x14ac:dyDescent="0.2">
      <c r="A10" s="169">
        <v>7</v>
      </c>
      <c r="B10" s="169">
        <v>234737</v>
      </c>
      <c r="C10" s="169" t="s">
        <v>219</v>
      </c>
      <c r="D10" s="170" t="str">
        <f>(UPPER(C10:C45))</f>
        <v>DESODORIZADOR SANITÁRIO, COMPOSIÇÃO:PARADICLORO BENZENO,ESSÊNCIA E CORANTE, PESO LÍQUIDO:35 G, ASPECTO FÍSICO:TABLETE SÓLIDO, CARACTERÍSTICAS ADICIONAIS:SUPORTE PLÁSTICO PARA VASO SANITÁRIO</v>
      </c>
      <c r="E10" s="171" t="s">
        <v>209</v>
      </c>
      <c r="F10" s="171">
        <f t="shared" si="0"/>
        <v>30</v>
      </c>
      <c r="G10" s="169">
        <v>360</v>
      </c>
      <c r="H10" s="169" t="s">
        <v>220</v>
      </c>
      <c r="I10" s="166">
        <v>1.03</v>
      </c>
      <c r="J10" s="172">
        <f t="shared" si="1"/>
        <v>370.8</v>
      </c>
      <c r="K10" s="173">
        <f t="shared" si="2"/>
        <v>1.03</v>
      </c>
      <c r="L10" s="173">
        <f t="shared" si="3"/>
        <v>30.900000000000002</v>
      </c>
      <c r="M10" s="173">
        <f t="shared" si="4"/>
        <v>370.8</v>
      </c>
      <c r="N10" s="162"/>
      <c r="O10" s="162"/>
      <c r="P10" s="162"/>
      <c r="Q10" s="162"/>
      <c r="R10" s="162"/>
      <c r="S10" s="162"/>
      <c r="T10" s="162"/>
      <c r="U10" s="162"/>
      <c r="V10" s="162"/>
      <c r="W10" s="162"/>
      <c r="X10" s="162"/>
      <c r="Y10" s="162"/>
      <c r="Z10" s="162"/>
      <c r="AA10" s="162"/>
      <c r="AB10" s="162"/>
      <c r="AC10" s="162"/>
      <c r="AD10" s="162"/>
      <c r="AE10" s="162"/>
      <c r="AF10" s="162"/>
      <c r="AG10" s="162"/>
      <c r="AH10" s="162"/>
      <c r="AI10" s="162"/>
      <c r="AJ10" s="162"/>
      <c r="AK10" s="162"/>
      <c r="AL10" s="162"/>
      <c r="AM10" s="162"/>
      <c r="AN10" s="162"/>
      <c r="AO10" s="162"/>
      <c r="AP10" s="162"/>
      <c r="AQ10" s="162"/>
      <c r="AR10" s="162"/>
      <c r="AS10" s="162"/>
      <c r="AT10" s="162"/>
      <c r="AU10" s="162"/>
      <c r="AV10" s="162"/>
      <c r="AW10" s="162"/>
      <c r="AX10" s="162"/>
      <c r="AY10" s="162"/>
      <c r="AZ10" s="162"/>
      <c r="BA10" s="162"/>
      <c r="BB10" s="162"/>
      <c r="BC10" s="162"/>
      <c r="BD10" s="162"/>
      <c r="BE10" s="162"/>
      <c r="BF10" s="162"/>
      <c r="BG10" s="162"/>
      <c r="BH10" s="162"/>
      <c r="BI10" s="162"/>
      <c r="BJ10" s="162"/>
      <c r="BK10" s="162"/>
      <c r="BL10" s="162"/>
      <c r="BM10" s="162"/>
      <c r="BN10" s="162"/>
      <c r="BO10" s="162"/>
      <c r="BP10" s="162"/>
      <c r="BQ10" s="162"/>
      <c r="BR10" s="162"/>
      <c r="BS10" s="162"/>
      <c r="BT10" s="162"/>
      <c r="BU10" s="162"/>
      <c r="BV10" s="162"/>
      <c r="BW10" s="162"/>
      <c r="BX10" s="162"/>
      <c r="BY10" s="162"/>
      <c r="BZ10" s="162"/>
      <c r="CA10" s="162"/>
      <c r="CB10" s="162"/>
      <c r="CC10" s="162"/>
      <c r="CD10" s="162"/>
      <c r="CE10" s="162"/>
      <c r="CF10" s="162"/>
      <c r="CG10" s="162"/>
      <c r="CH10" s="162"/>
      <c r="CI10" s="162"/>
      <c r="CJ10" s="162"/>
      <c r="CK10" s="162"/>
      <c r="CL10" s="162"/>
      <c r="CM10" s="162"/>
      <c r="CN10" s="162"/>
      <c r="CO10" s="162"/>
      <c r="CP10" s="162"/>
      <c r="CQ10" s="162"/>
      <c r="CR10" s="162"/>
      <c r="CS10" s="162"/>
      <c r="CT10" s="162"/>
      <c r="CU10" s="162"/>
      <c r="CV10" s="162"/>
      <c r="CW10" s="162"/>
      <c r="CX10" s="162"/>
      <c r="CY10" s="162"/>
      <c r="CZ10" s="162"/>
      <c r="DA10" s="162"/>
      <c r="DB10" s="162"/>
      <c r="DC10" s="162"/>
      <c r="DD10" s="162"/>
      <c r="DE10" s="162"/>
      <c r="DF10" s="162"/>
      <c r="DG10" s="162"/>
      <c r="DH10" s="162"/>
      <c r="DI10" s="162"/>
      <c r="DJ10" s="162"/>
      <c r="DK10" s="162"/>
      <c r="DL10" s="162"/>
      <c r="DM10" s="162"/>
      <c r="DN10" s="162"/>
      <c r="DO10" s="162"/>
      <c r="DP10" s="162"/>
      <c r="DQ10" s="162"/>
      <c r="DR10" s="162"/>
      <c r="DS10" s="162"/>
      <c r="DT10" s="162"/>
      <c r="DU10" s="162"/>
      <c r="DV10" s="162"/>
      <c r="DW10" s="162"/>
      <c r="DX10" s="162"/>
      <c r="DY10" s="162"/>
      <c r="DZ10" s="162"/>
      <c r="EA10" s="162"/>
      <c r="EB10" s="162"/>
      <c r="EC10" s="162"/>
      <c r="ED10" s="162"/>
      <c r="EE10" s="162"/>
      <c r="EF10" s="162"/>
      <c r="EG10" s="162"/>
      <c r="EH10" s="162"/>
      <c r="EI10" s="162"/>
      <c r="EJ10" s="162"/>
      <c r="EK10" s="162"/>
      <c r="EL10" s="162"/>
      <c r="EM10" s="162"/>
      <c r="EN10" s="162"/>
      <c r="EO10" s="162"/>
      <c r="EP10" s="162"/>
      <c r="EQ10" s="162"/>
      <c r="ER10" s="162"/>
      <c r="ES10" s="162"/>
      <c r="ET10" s="162"/>
      <c r="EU10" s="162"/>
      <c r="EV10" s="162"/>
      <c r="EW10" s="162"/>
      <c r="EX10" s="162"/>
      <c r="EY10" s="162"/>
      <c r="EZ10" s="162"/>
      <c r="FA10" s="162"/>
      <c r="FB10" s="162"/>
      <c r="FC10" s="162"/>
      <c r="FD10" s="162"/>
      <c r="FE10" s="162"/>
      <c r="FF10" s="162"/>
      <c r="FG10" s="162"/>
      <c r="FH10" s="162"/>
      <c r="FI10" s="162"/>
      <c r="FJ10" s="162"/>
      <c r="FK10" s="162"/>
      <c r="FL10" s="162"/>
      <c r="FM10" s="162"/>
      <c r="FN10" s="162"/>
      <c r="FO10" s="162"/>
      <c r="FP10" s="162"/>
      <c r="FQ10" s="162"/>
      <c r="FR10" s="162"/>
      <c r="FS10" s="162"/>
      <c r="FT10" s="162"/>
      <c r="FU10" s="162"/>
      <c r="FV10" s="162"/>
      <c r="FW10" s="162"/>
      <c r="FX10" s="162"/>
      <c r="FY10" s="162"/>
      <c r="FZ10" s="162"/>
      <c r="GA10" s="162"/>
      <c r="GB10" s="162"/>
      <c r="GC10" s="162"/>
      <c r="GD10" s="162"/>
      <c r="GE10" s="162"/>
      <c r="GF10" s="162"/>
      <c r="GG10" s="162"/>
      <c r="GH10" s="162"/>
      <c r="GI10" s="162"/>
      <c r="GJ10" s="162"/>
      <c r="GK10" s="162"/>
      <c r="GL10" s="162"/>
      <c r="GM10" s="162"/>
      <c r="GN10" s="162"/>
      <c r="GO10" s="162"/>
      <c r="GP10" s="162"/>
      <c r="GQ10" s="162"/>
      <c r="GR10" s="162"/>
      <c r="GS10" s="162"/>
      <c r="GT10" s="162"/>
      <c r="GU10" s="162"/>
      <c r="GV10" s="162"/>
      <c r="GW10" s="162"/>
      <c r="GX10" s="162"/>
      <c r="GY10" s="162"/>
      <c r="GZ10" s="162"/>
      <c r="HA10" s="162"/>
      <c r="HB10" s="162"/>
      <c r="HC10" s="162"/>
      <c r="HD10" s="162"/>
      <c r="HE10" s="162"/>
      <c r="HF10" s="162"/>
      <c r="HG10" s="162"/>
      <c r="HH10" s="162"/>
      <c r="HI10" s="162"/>
      <c r="HJ10" s="162"/>
      <c r="HK10" s="162"/>
      <c r="HL10" s="162"/>
      <c r="HM10" s="162"/>
      <c r="HN10" s="162"/>
      <c r="HO10" s="162"/>
      <c r="HP10" s="162"/>
      <c r="HQ10" s="162"/>
      <c r="HR10" s="162"/>
      <c r="HS10" s="162"/>
      <c r="HT10" s="162"/>
      <c r="HU10" s="162"/>
      <c r="HV10" s="162"/>
      <c r="HW10" s="162"/>
      <c r="HX10" s="162"/>
      <c r="HY10" s="162"/>
      <c r="HZ10" s="162"/>
      <c r="IA10" s="162"/>
      <c r="IB10" s="162"/>
      <c r="IC10" s="162"/>
      <c r="ID10" s="162"/>
      <c r="IE10" s="162"/>
      <c r="IF10" s="162"/>
      <c r="IG10" s="162"/>
      <c r="IH10" s="162"/>
      <c r="II10" s="162"/>
      <c r="IJ10" s="162"/>
      <c r="IK10" s="162"/>
      <c r="IL10" s="162"/>
      <c r="IM10" s="162"/>
      <c r="IN10" s="162"/>
      <c r="IO10" s="162"/>
      <c r="IP10" s="162"/>
      <c r="IQ10" s="162"/>
      <c r="IR10" s="162"/>
      <c r="IS10" s="162"/>
      <c r="IT10" s="162"/>
      <c r="IU10" s="162"/>
      <c r="IV10" s="162"/>
    </row>
    <row r="11" spans="1:256" s="154" customFormat="1" ht="72.75" customHeight="1" x14ac:dyDescent="0.2">
      <c r="A11" s="169">
        <v>8</v>
      </c>
      <c r="B11" s="175">
        <v>318923</v>
      </c>
      <c r="C11" s="175" t="s">
        <v>221</v>
      </c>
      <c r="D11" s="176" t="str">
        <f>(UPPER(C11:C45))</f>
        <v>ESPONJA LIMPEZA, MATERIAL:ESPUMA / FIBRA SINTÉTICA, FORMATO:RETANGULAR,ABRASIVIDADE:MÉDIA, APLICAÇÃO:LIMPEZA GERAL, CARACTERÍSTICAS ADICIONAIS:DUPLA FACE, COMPRIMENTO
MÍNIMO:110 MM, LARGURA MÍNIMA:75 MM, ESPESSURA MÍNIMA:20 MM</v>
      </c>
      <c r="E11" s="177" t="s">
        <v>209</v>
      </c>
      <c r="F11" s="177">
        <f t="shared" si="0"/>
        <v>20</v>
      </c>
      <c r="G11" s="175">
        <v>240</v>
      </c>
      <c r="H11" s="175" t="s">
        <v>220</v>
      </c>
      <c r="I11" s="166">
        <v>0.54</v>
      </c>
      <c r="J11" s="166">
        <f t="shared" si="1"/>
        <v>129.60000000000002</v>
      </c>
      <c r="K11" s="178">
        <f t="shared" si="2"/>
        <v>0.54</v>
      </c>
      <c r="L11" s="178">
        <f t="shared" si="3"/>
        <v>10.8</v>
      </c>
      <c r="M11" s="178">
        <f t="shared" si="4"/>
        <v>129.60000000000002</v>
      </c>
      <c r="N11" s="162"/>
      <c r="O11" s="162"/>
      <c r="P11" s="162"/>
      <c r="Q11" s="162"/>
      <c r="R11" s="162"/>
      <c r="S11" s="162"/>
      <c r="T11" s="162"/>
      <c r="U11" s="162"/>
      <c r="V11" s="162"/>
      <c r="W11" s="162"/>
      <c r="X11" s="162"/>
      <c r="Y11" s="162"/>
      <c r="Z11" s="162"/>
      <c r="AA11" s="162"/>
      <c r="AB11" s="162"/>
      <c r="AC11" s="162"/>
      <c r="AD11" s="162"/>
      <c r="AE11" s="162"/>
      <c r="AF11" s="162"/>
      <c r="AG11" s="162"/>
      <c r="AH11" s="162"/>
      <c r="AI11" s="162"/>
      <c r="AJ11" s="162"/>
      <c r="AK11" s="162"/>
      <c r="AL11" s="162"/>
      <c r="AM11" s="162"/>
      <c r="AN11" s="162"/>
      <c r="AO11" s="162"/>
      <c r="AP11" s="162"/>
      <c r="AQ11" s="162"/>
      <c r="AR11" s="162"/>
      <c r="AS11" s="162"/>
      <c r="AT11" s="162"/>
      <c r="AU11" s="162"/>
      <c r="AV11" s="162"/>
      <c r="AW11" s="162"/>
      <c r="AX11" s="162"/>
      <c r="AY11" s="162"/>
      <c r="AZ11" s="162"/>
      <c r="BA11" s="162"/>
      <c r="BB11" s="162"/>
      <c r="BC11" s="162"/>
      <c r="BD11" s="162"/>
      <c r="BE11" s="162"/>
      <c r="BF11" s="162"/>
      <c r="BG11" s="162"/>
      <c r="BH11" s="162"/>
      <c r="BI11" s="162"/>
      <c r="BJ11" s="162"/>
      <c r="BK11" s="162"/>
      <c r="BL11" s="162"/>
      <c r="BM11" s="162"/>
      <c r="BN11" s="162"/>
      <c r="BO11" s="162"/>
      <c r="BP11" s="162"/>
      <c r="BQ11" s="162"/>
      <c r="BR11" s="162"/>
      <c r="BS11" s="162"/>
      <c r="BT11" s="162"/>
      <c r="BU11" s="162"/>
      <c r="BV11" s="162"/>
      <c r="BW11" s="162"/>
      <c r="BX11" s="162"/>
      <c r="BY11" s="162"/>
      <c r="BZ11" s="162"/>
      <c r="CA11" s="162"/>
      <c r="CB11" s="162"/>
      <c r="CC11" s="162"/>
      <c r="CD11" s="162"/>
      <c r="CE11" s="162"/>
      <c r="CF11" s="162"/>
      <c r="CG11" s="162"/>
      <c r="CH11" s="162"/>
      <c r="CI11" s="162"/>
      <c r="CJ11" s="162"/>
      <c r="CK11" s="162"/>
      <c r="CL11" s="162"/>
      <c r="CM11" s="162"/>
      <c r="CN11" s="162"/>
      <c r="CO11" s="162"/>
      <c r="CP11" s="162"/>
      <c r="CQ11" s="162"/>
      <c r="CR11" s="162"/>
      <c r="CS11" s="162"/>
      <c r="CT11" s="162"/>
      <c r="CU11" s="162"/>
      <c r="CV11" s="162"/>
      <c r="CW11" s="162"/>
      <c r="CX11" s="162"/>
      <c r="CY11" s="162"/>
      <c r="CZ11" s="162"/>
      <c r="DA11" s="162"/>
      <c r="DB11" s="162"/>
      <c r="DC11" s="162"/>
      <c r="DD11" s="162"/>
      <c r="DE11" s="162"/>
      <c r="DF11" s="162"/>
      <c r="DG11" s="162"/>
      <c r="DH11" s="162"/>
      <c r="DI11" s="162"/>
      <c r="DJ11" s="162"/>
      <c r="DK11" s="162"/>
      <c r="DL11" s="162"/>
      <c r="DM11" s="162"/>
      <c r="DN11" s="162"/>
      <c r="DO11" s="162"/>
      <c r="DP11" s="162"/>
      <c r="DQ11" s="162"/>
      <c r="DR11" s="162"/>
      <c r="DS11" s="162"/>
      <c r="DT11" s="162"/>
      <c r="DU11" s="162"/>
      <c r="DV11" s="162"/>
      <c r="DW11" s="162"/>
      <c r="DX11" s="162"/>
      <c r="DY11" s="162"/>
      <c r="DZ11" s="162"/>
      <c r="EA11" s="162"/>
      <c r="EB11" s="162"/>
      <c r="EC11" s="162"/>
      <c r="ED11" s="162"/>
      <c r="EE11" s="162"/>
      <c r="EF11" s="162"/>
      <c r="EG11" s="162"/>
      <c r="EH11" s="162"/>
      <c r="EI11" s="162"/>
      <c r="EJ11" s="162"/>
      <c r="EK11" s="162"/>
      <c r="EL11" s="162"/>
      <c r="EM11" s="162"/>
      <c r="EN11" s="162"/>
      <c r="EO11" s="162"/>
      <c r="EP11" s="162"/>
      <c r="EQ11" s="162"/>
      <c r="ER11" s="162"/>
      <c r="ES11" s="162"/>
      <c r="ET11" s="162"/>
      <c r="EU11" s="162"/>
      <c r="EV11" s="162"/>
      <c r="EW11" s="162"/>
      <c r="EX11" s="162"/>
      <c r="EY11" s="162"/>
      <c r="EZ11" s="162"/>
      <c r="FA11" s="162"/>
      <c r="FB11" s="162"/>
      <c r="FC11" s="162"/>
      <c r="FD11" s="162"/>
      <c r="FE11" s="162"/>
      <c r="FF11" s="162"/>
      <c r="FG11" s="162"/>
      <c r="FH11" s="162"/>
      <c r="FI11" s="162"/>
      <c r="FJ11" s="162"/>
      <c r="FK11" s="162"/>
      <c r="FL11" s="162"/>
      <c r="FM11" s="162"/>
      <c r="FN11" s="162"/>
      <c r="FO11" s="162"/>
      <c r="FP11" s="162"/>
      <c r="FQ11" s="162"/>
      <c r="FR11" s="162"/>
      <c r="FS11" s="162"/>
      <c r="FT11" s="162"/>
      <c r="FU11" s="162"/>
      <c r="FV11" s="162"/>
      <c r="FW11" s="162"/>
      <c r="FX11" s="162"/>
      <c r="FY11" s="162"/>
      <c r="FZ11" s="162"/>
      <c r="GA11" s="162"/>
      <c r="GB11" s="162"/>
      <c r="GC11" s="162"/>
      <c r="GD11" s="162"/>
      <c r="GE11" s="162"/>
      <c r="GF11" s="162"/>
      <c r="GG11" s="162"/>
      <c r="GH11" s="162"/>
      <c r="GI11" s="162"/>
      <c r="GJ11" s="162"/>
      <c r="GK11" s="162"/>
      <c r="GL11" s="162"/>
      <c r="GM11" s="162"/>
      <c r="GN11" s="162"/>
      <c r="GO11" s="162"/>
      <c r="GP11" s="162"/>
      <c r="GQ11" s="162"/>
      <c r="GR11" s="162"/>
      <c r="GS11" s="162"/>
      <c r="GT11" s="162"/>
      <c r="GU11" s="162"/>
      <c r="GV11" s="162"/>
      <c r="GW11" s="162"/>
      <c r="GX11" s="162"/>
      <c r="GY11" s="162"/>
      <c r="GZ11" s="162"/>
      <c r="HA11" s="162"/>
      <c r="HB11" s="162"/>
      <c r="HC11" s="162"/>
      <c r="HD11" s="162"/>
      <c r="HE11" s="162"/>
      <c r="HF11" s="162"/>
      <c r="HG11" s="162"/>
      <c r="HH11" s="162"/>
      <c r="HI11" s="162"/>
      <c r="HJ11" s="162"/>
      <c r="HK11" s="162"/>
      <c r="HL11" s="162"/>
      <c r="HM11" s="162"/>
      <c r="HN11" s="162"/>
      <c r="HO11" s="162"/>
      <c r="HP11" s="162"/>
      <c r="HQ11" s="162"/>
      <c r="HR11" s="162"/>
      <c r="HS11" s="162"/>
      <c r="HT11" s="162"/>
      <c r="HU11" s="162"/>
      <c r="HV11" s="162"/>
      <c r="HW11" s="162"/>
      <c r="HX11" s="162"/>
      <c r="HY11" s="162"/>
      <c r="HZ11" s="162"/>
      <c r="IA11" s="162"/>
      <c r="IB11" s="162"/>
      <c r="IC11" s="162"/>
      <c r="ID11" s="162"/>
      <c r="IE11" s="162"/>
      <c r="IF11" s="162"/>
      <c r="IG11" s="162"/>
      <c r="IH11" s="162"/>
      <c r="II11" s="162"/>
      <c r="IJ11" s="162"/>
      <c r="IK11" s="162"/>
      <c r="IL11" s="162"/>
      <c r="IM11" s="162"/>
      <c r="IN11" s="162"/>
      <c r="IO11" s="162"/>
      <c r="IP11" s="162"/>
      <c r="IQ11" s="162"/>
      <c r="IR11" s="162"/>
      <c r="IS11" s="162"/>
      <c r="IT11" s="162"/>
      <c r="IU11" s="162"/>
      <c r="IV11" s="162"/>
    </row>
    <row r="12" spans="1:256" s="154" customFormat="1" ht="46.5" customHeight="1" x14ac:dyDescent="0.2">
      <c r="A12" s="169">
        <v>9</v>
      </c>
      <c r="B12" s="169">
        <v>244021</v>
      </c>
      <c r="C12" s="169" t="s">
        <v>222</v>
      </c>
      <c r="D12" s="170" t="str">
        <f>(UPPER(C12:C45))</f>
        <v>FLANELA, COMPRIMENTO:40 CM, LARGURA:60 CM, COR:BRANCA, 100% ALGODÃO.</v>
      </c>
      <c r="E12" s="171" t="s">
        <v>209</v>
      </c>
      <c r="F12" s="171">
        <f t="shared" si="0"/>
        <v>10</v>
      </c>
      <c r="G12" s="169">
        <v>120</v>
      </c>
      <c r="H12" s="169" t="s">
        <v>220</v>
      </c>
      <c r="I12" s="166">
        <v>1.4</v>
      </c>
      <c r="J12" s="172">
        <f t="shared" si="1"/>
        <v>168</v>
      </c>
      <c r="K12" s="173">
        <f t="shared" si="2"/>
        <v>1.4</v>
      </c>
      <c r="L12" s="173">
        <f t="shared" si="3"/>
        <v>14</v>
      </c>
      <c r="M12" s="173">
        <f t="shared" si="4"/>
        <v>168</v>
      </c>
      <c r="N12" s="162"/>
      <c r="O12" s="162"/>
      <c r="P12" s="162"/>
      <c r="Q12" s="162"/>
      <c r="R12" s="162"/>
      <c r="S12" s="162"/>
      <c r="T12" s="162"/>
      <c r="U12" s="162"/>
      <c r="V12" s="162"/>
      <c r="W12" s="162"/>
      <c r="X12" s="162"/>
      <c r="Y12" s="162"/>
      <c r="Z12" s="162"/>
      <c r="AA12" s="162"/>
      <c r="AB12" s="162"/>
      <c r="AC12" s="162"/>
      <c r="AD12" s="162"/>
      <c r="AE12" s="162"/>
      <c r="AF12" s="162"/>
      <c r="AG12" s="162"/>
      <c r="AH12" s="162"/>
      <c r="AI12" s="162"/>
      <c r="AJ12" s="162"/>
      <c r="AK12" s="162"/>
      <c r="AL12" s="162"/>
      <c r="AM12" s="162"/>
      <c r="AN12" s="162"/>
      <c r="AO12" s="162"/>
      <c r="AP12" s="162"/>
      <c r="AQ12" s="162"/>
      <c r="AR12" s="162"/>
      <c r="AS12" s="162"/>
      <c r="AT12" s="162"/>
      <c r="AU12" s="162"/>
      <c r="AV12" s="162"/>
      <c r="AW12" s="162"/>
      <c r="AX12" s="162"/>
      <c r="AY12" s="162"/>
      <c r="AZ12" s="162"/>
      <c r="BA12" s="162"/>
      <c r="BB12" s="162"/>
      <c r="BC12" s="162"/>
      <c r="BD12" s="162"/>
      <c r="BE12" s="162"/>
      <c r="BF12" s="162"/>
      <c r="BG12" s="162"/>
      <c r="BH12" s="162"/>
      <c r="BI12" s="162"/>
      <c r="BJ12" s="162"/>
      <c r="BK12" s="162"/>
      <c r="BL12" s="162"/>
      <c r="BM12" s="162"/>
      <c r="BN12" s="162"/>
      <c r="BO12" s="162"/>
      <c r="BP12" s="162"/>
      <c r="BQ12" s="162"/>
      <c r="BR12" s="162"/>
      <c r="BS12" s="162"/>
      <c r="BT12" s="162"/>
      <c r="BU12" s="162"/>
      <c r="BV12" s="162"/>
      <c r="BW12" s="162"/>
      <c r="BX12" s="162"/>
      <c r="BY12" s="162"/>
      <c r="BZ12" s="162"/>
      <c r="CA12" s="162"/>
      <c r="CB12" s="162"/>
      <c r="CC12" s="162"/>
      <c r="CD12" s="162"/>
      <c r="CE12" s="162"/>
      <c r="CF12" s="162"/>
      <c r="CG12" s="162"/>
      <c r="CH12" s="162"/>
      <c r="CI12" s="162"/>
      <c r="CJ12" s="162"/>
      <c r="CK12" s="162"/>
      <c r="CL12" s="162"/>
      <c r="CM12" s="162"/>
      <c r="CN12" s="162"/>
      <c r="CO12" s="162"/>
      <c r="CP12" s="162"/>
      <c r="CQ12" s="162"/>
      <c r="CR12" s="162"/>
      <c r="CS12" s="162"/>
      <c r="CT12" s="162"/>
      <c r="CU12" s="162"/>
      <c r="CV12" s="162"/>
      <c r="CW12" s="162"/>
      <c r="CX12" s="162"/>
      <c r="CY12" s="162"/>
      <c r="CZ12" s="162"/>
      <c r="DA12" s="162"/>
      <c r="DB12" s="162"/>
      <c r="DC12" s="162"/>
      <c r="DD12" s="162"/>
      <c r="DE12" s="162"/>
      <c r="DF12" s="162"/>
      <c r="DG12" s="162"/>
      <c r="DH12" s="162"/>
      <c r="DI12" s="162"/>
      <c r="DJ12" s="162"/>
      <c r="DK12" s="162"/>
      <c r="DL12" s="162"/>
      <c r="DM12" s="162"/>
      <c r="DN12" s="162"/>
      <c r="DO12" s="162"/>
      <c r="DP12" s="162"/>
      <c r="DQ12" s="162"/>
      <c r="DR12" s="162"/>
      <c r="DS12" s="162"/>
      <c r="DT12" s="162"/>
      <c r="DU12" s="162"/>
      <c r="DV12" s="162"/>
      <c r="DW12" s="162"/>
      <c r="DX12" s="162"/>
      <c r="DY12" s="162"/>
      <c r="DZ12" s="162"/>
      <c r="EA12" s="162"/>
      <c r="EB12" s="162"/>
      <c r="EC12" s="162"/>
      <c r="ED12" s="162"/>
      <c r="EE12" s="162"/>
      <c r="EF12" s="162"/>
      <c r="EG12" s="162"/>
      <c r="EH12" s="162"/>
      <c r="EI12" s="162"/>
      <c r="EJ12" s="162"/>
      <c r="EK12" s="162"/>
      <c r="EL12" s="162"/>
      <c r="EM12" s="162"/>
      <c r="EN12" s="162"/>
      <c r="EO12" s="162"/>
      <c r="EP12" s="162"/>
      <c r="EQ12" s="162"/>
      <c r="ER12" s="162"/>
      <c r="ES12" s="162"/>
      <c r="ET12" s="162"/>
      <c r="EU12" s="162"/>
      <c r="EV12" s="162"/>
      <c r="EW12" s="162"/>
      <c r="EX12" s="162"/>
      <c r="EY12" s="162"/>
      <c r="EZ12" s="162"/>
      <c r="FA12" s="162"/>
      <c r="FB12" s="162"/>
      <c r="FC12" s="162"/>
      <c r="FD12" s="162"/>
      <c r="FE12" s="162"/>
      <c r="FF12" s="162"/>
      <c r="FG12" s="162"/>
      <c r="FH12" s="162"/>
      <c r="FI12" s="162"/>
      <c r="FJ12" s="162"/>
      <c r="FK12" s="162"/>
      <c r="FL12" s="162"/>
      <c r="FM12" s="162"/>
      <c r="FN12" s="162"/>
      <c r="FO12" s="162"/>
      <c r="FP12" s="162"/>
      <c r="FQ12" s="162"/>
      <c r="FR12" s="162"/>
      <c r="FS12" s="162"/>
      <c r="FT12" s="162"/>
      <c r="FU12" s="162"/>
      <c r="FV12" s="162"/>
      <c r="FW12" s="162"/>
      <c r="FX12" s="162"/>
      <c r="FY12" s="162"/>
      <c r="FZ12" s="162"/>
      <c r="GA12" s="162"/>
      <c r="GB12" s="162"/>
      <c r="GC12" s="162"/>
      <c r="GD12" s="162"/>
      <c r="GE12" s="162"/>
      <c r="GF12" s="162"/>
      <c r="GG12" s="162"/>
      <c r="GH12" s="162"/>
      <c r="GI12" s="162"/>
      <c r="GJ12" s="162"/>
      <c r="GK12" s="162"/>
      <c r="GL12" s="162"/>
      <c r="GM12" s="162"/>
      <c r="GN12" s="162"/>
      <c r="GO12" s="162"/>
      <c r="GP12" s="162"/>
      <c r="GQ12" s="162"/>
      <c r="GR12" s="162"/>
      <c r="GS12" s="162"/>
      <c r="GT12" s="162"/>
      <c r="GU12" s="162"/>
      <c r="GV12" s="162"/>
      <c r="GW12" s="162"/>
      <c r="GX12" s="162"/>
      <c r="GY12" s="162"/>
      <c r="GZ12" s="162"/>
      <c r="HA12" s="162"/>
      <c r="HB12" s="162"/>
      <c r="HC12" s="162"/>
      <c r="HD12" s="162"/>
      <c r="HE12" s="162"/>
      <c r="HF12" s="162"/>
      <c r="HG12" s="162"/>
      <c r="HH12" s="162"/>
      <c r="HI12" s="162"/>
      <c r="HJ12" s="162"/>
      <c r="HK12" s="162"/>
      <c r="HL12" s="162"/>
      <c r="HM12" s="162"/>
      <c r="HN12" s="162"/>
      <c r="HO12" s="162"/>
      <c r="HP12" s="162"/>
      <c r="HQ12" s="162"/>
      <c r="HR12" s="162"/>
      <c r="HS12" s="162"/>
      <c r="HT12" s="162"/>
      <c r="HU12" s="162"/>
      <c r="HV12" s="162"/>
      <c r="HW12" s="162"/>
      <c r="HX12" s="162"/>
      <c r="HY12" s="162"/>
      <c r="HZ12" s="162"/>
      <c r="IA12" s="162"/>
      <c r="IB12" s="162"/>
      <c r="IC12" s="162"/>
      <c r="ID12" s="162"/>
      <c r="IE12" s="162"/>
      <c r="IF12" s="162"/>
      <c r="IG12" s="162"/>
      <c r="IH12" s="162"/>
      <c r="II12" s="162"/>
      <c r="IJ12" s="162"/>
      <c r="IK12" s="162"/>
      <c r="IL12" s="162"/>
      <c r="IM12" s="162"/>
      <c r="IN12" s="162"/>
      <c r="IO12" s="162"/>
      <c r="IP12" s="162"/>
      <c r="IQ12" s="162"/>
      <c r="IR12" s="162"/>
      <c r="IS12" s="162"/>
      <c r="IT12" s="162"/>
      <c r="IU12" s="162"/>
      <c r="IV12" s="162"/>
    </row>
    <row r="13" spans="1:256" s="154" customFormat="1" ht="39" customHeight="1" x14ac:dyDescent="0.25">
      <c r="A13" s="169">
        <v>10</v>
      </c>
      <c r="B13" s="169">
        <v>226795</v>
      </c>
      <c r="C13" s="169" t="s">
        <v>223</v>
      </c>
      <c r="D13" s="170" t="str">
        <f>(UPPER(C13:C45))</f>
        <v>SABÃO PÓ, APLICAÇÃO:LIMPEZA GERAL, ADITIVOS:NÃO APLICÁVEL, ODOR:NÃO APLICÁVEL</v>
      </c>
      <c r="E13" s="171" t="s">
        <v>209</v>
      </c>
      <c r="F13" s="171">
        <f t="shared" si="0"/>
        <v>4</v>
      </c>
      <c r="G13" s="169">
        <v>48</v>
      </c>
      <c r="H13" s="169" t="s">
        <v>224</v>
      </c>
      <c r="I13" s="166">
        <v>3.31</v>
      </c>
      <c r="J13" s="172">
        <f t="shared" si="1"/>
        <v>158.88</v>
      </c>
      <c r="K13" s="173">
        <f t="shared" si="2"/>
        <v>3.31</v>
      </c>
      <c r="L13" s="173">
        <f t="shared" si="3"/>
        <v>13.24</v>
      </c>
      <c r="M13" s="173">
        <f t="shared" si="4"/>
        <v>158.88</v>
      </c>
    </row>
    <row r="14" spans="1:256" s="154" customFormat="1" ht="60.75" customHeight="1" x14ac:dyDescent="0.25">
      <c r="A14" s="169">
        <v>11</v>
      </c>
      <c r="B14" s="169">
        <v>242252</v>
      </c>
      <c r="C14" s="169" t="s">
        <v>225</v>
      </c>
      <c r="D14" s="170" t="str">
        <f>(UPPER(C14:C45))</f>
        <v xml:space="preserve"> LIMPA-VIDRO, ASPECTO FÍSICO:LÍQUIDO, COMPOSIÇÃO: TENSOATIVOS ANIÔNICOS/SEQUESTRANTES / HIDRÓXIDO</v>
      </c>
      <c r="E14" s="171" t="s">
        <v>209</v>
      </c>
      <c r="F14" s="171">
        <f t="shared" si="0"/>
        <v>10</v>
      </c>
      <c r="G14" s="169">
        <v>120</v>
      </c>
      <c r="H14" s="169" t="s">
        <v>217</v>
      </c>
      <c r="I14" s="166">
        <v>3.01</v>
      </c>
      <c r="J14" s="172">
        <f t="shared" si="1"/>
        <v>361.2</v>
      </c>
      <c r="K14" s="173">
        <f t="shared" si="2"/>
        <v>3.01</v>
      </c>
      <c r="L14" s="173">
        <f t="shared" si="3"/>
        <v>30.099999999999998</v>
      </c>
      <c r="M14" s="173">
        <f t="shared" si="4"/>
        <v>361.2</v>
      </c>
    </row>
    <row r="15" spans="1:256" s="154" customFormat="1" ht="51" x14ac:dyDescent="0.25">
      <c r="A15" s="169">
        <v>12</v>
      </c>
      <c r="B15" s="169">
        <v>260569</v>
      </c>
      <c r="C15" s="169" t="s">
        <v>226</v>
      </c>
      <c r="D15" s="170" t="str">
        <f>(UPPER(C15:C45))</f>
        <v xml:space="preserve"> PANO LIMPEZA, MATERIAL:100% ALGODÃO, COMPRIMENTO:60 CM, LARGURA:45 CM, CARACTERÍSTICAS ADICIONAIS:ALVEJADO, APLICAÇÃO:LIMPEZA GERAL</v>
      </c>
      <c r="E15" s="171" t="s">
        <v>209</v>
      </c>
      <c r="F15" s="171">
        <f t="shared" si="0"/>
        <v>10</v>
      </c>
      <c r="G15" s="169">
        <v>120</v>
      </c>
      <c r="H15" s="169" t="s">
        <v>220</v>
      </c>
      <c r="I15" s="166">
        <v>1.87</v>
      </c>
      <c r="J15" s="172">
        <f t="shared" si="1"/>
        <v>224.4</v>
      </c>
      <c r="K15" s="173">
        <f t="shared" si="2"/>
        <v>1.87</v>
      </c>
      <c r="L15" s="173">
        <f t="shared" si="3"/>
        <v>18.700000000000003</v>
      </c>
      <c r="M15" s="173">
        <f t="shared" si="4"/>
        <v>224.40000000000003</v>
      </c>
    </row>
    <row r="16" spans="1:256" ht="96" customHeight="1" x14ac:dyDescent="0.25">
      <c r="A16" s="169">
        <v>13</v>
      </c>
      <c r="B16" s="169">
        <v>449773</v>
      </c>
      <c r="C16" s="169" t="s">
        <v>227</v>
      </c>
      <c r="D16" s="170" t="str">
        <f>(UPPER(C16:C45))</f>
        <v>BALDE, MATERIAL:POLIPROPILENO, CAPACIDADE:14 L, COR:AZUL</v>
      </c>
      <c r="E16" s="171" t="s">
        <v>228</v>
      </c>
      <c r="F16" s="171">
        <v>0</v>
      </c>
      <c r="G16" s="169">
        <v>6</v>
      </c>
      <c r="H16" s="169" t="s">
        <v>220</v>
      </c>
      <c r="I16" s="166">
        <v>9.1300000000000008</v>
      </c>
      <c r="J16" s="172">
        <f t="shared" si="1"/>
        <v>54.78</v>
      </c>
      <c r="K16" s="173">
        <f t="shared" si="2"/>
        <v>9.1300000000000008</v>
      </c>
      <c r="L16" s="173">
        <f>M16/12</f>
        <v>4.5650000000000004</v>
      </c>
      <c r="M16" s="173">
        <f t="shared" ref="M16:M40" si="5">K16*G16</f>
        <v>54.78</v>
      </c>
    </row>
    <row r="17" spans="1:15" ht="97.5" customHeight="1" x14ac:dyDescent="0.25">
      <c r="A17" s="169">
        <v>14</v>
      </c>
      <c r="B17" s="169">
        <v>72656</v>
      </c>
      <c r="C17" s="169" t="s">
        <v>229</v>
      </c>
      <c r="D17" s="170" t="str">
        <f>(UPPER(C17:C45))</f>
        <v>DESENTUPIDOR PAR A PIA, USO DOMÉSTICO, EM PLÁSTICO, CABO CURTO</v>
      </c>
      <c r="E17" s="171" t="s">
        <v>228</v>
      </c>
      <c r="F17" s="171">
        <v>0</v>
      </c>
      <c r="G17" s="169">
        <v>2</v>
      </c>
      <c r="H17" s="169" t="s">
        <v>220</v>
      </c>
      <c r="I17" s="166">
        <v>5.34</v>
      </c>
      <c r="J17" s="172">
        <f t="shared" si="1"/>
        <v>10.68</v>
      </c>
      <c r="K17" s="173">
        <f t="shared" si="2"/>
        <v>5.34</v>
      </c>
      <c r="L17" s="173">
        <f>M17/12</f>
        <v>0.89</v>
      </c>
      <c r="M17" s="173">
        <f t="shared" si="5"/>
        <v>10.68</v>
      </c>
    </row>
    <row r="18" spans="1:15" ht="93.75" customHeight="1" x14ac:dyDescent="0.25">
      <c r="A18" s="169">
        <v>15</v>
      </c>
      <c r="B18" s="169">
        <v>241711</v>
      </c>
      <c r="C18" s="169" t="s">
        <v>230</v>
      </c>
      <c r="D18" s="170" t="str">
        <f>(UPPER(C18:C45))</f>
        <v xml:space="preserve"> DESENTUPIDOR VASO SANITÁRIO, MATERIAL:BORRACHA FLEXÍVEL, COR:PRETA, ALTURA:10 CM, DIÂMETRO:16 CM, MATERIAL CABO:MADEIRA, COMPRIMENTO CABO:50 CM</v>
      </c>
      <c r="E18" s="171" t="s">
        <v>228</v>
      </c>
      <c r="F18" s="171">
        <v>0</v>
      </c>
      <c r="G18" s="169">
        <v>2</v>
      </c>
      <c r="H18" s="169" t="s">
        <v>220</v>
      </c>
      <c r="I18" s="166">
        <v>12.44</v>
      </c>
      <c r="J18" s="172">
        <f t="shared" si="1"/>
        <v>24.88</v>
      </c>
      <c r="K18" s="173">
        <f t="shared" si="2"/>
        <v>12.44</v>
      </c>
      <c r="L18" s="173">
        <v>0.48</v>
      </c>
      <c r="M18" s="173">
        <f t="shared" si="5"/>
        <v>24.88</v>
      </c>
    </row>
    <row r="19" spans="1:15" s="154" customFormat="1" ht="107.25" customHeight="1" x14ac:dyDescent="0.25">
      <c r="A19" s="169">
        <v>16</v>
      </c>
      <c r="B19" s="169">
        <v>253196</v>
      </c>
      <c r="C19" s="169" t="s">
        <v>231</v>
      </c>
      <c r="D19" s="170" t="str">
        <f>(UPPER(C19:C45))</f>
        <v xml:space="preserve"> DETERGENTE, COMPOSIÇÃO:TENSOATIVOS ANIÔNICOS/COADJUVANTES/PRESERVANTES,
COMPONENTE ATIVO:LINEAR ALQUIBENZENO SULFONATO DE SÓDIO, APLICAÇÃO:LAVAGEM TALHERES, LOUÇAS,
PISOS, AZULEJOS, CARACTERÍSTICAS ADICIONAIS:CONTÉM TENSOATIVO BIODEGRADÁVEL</v>
      </c>
      <c r="E19" s="171" t="s">
        <v>209</v>
      </c>
      <c r="F19" s="171">
        <f>G19/12</f>
        <v>20</v>
      </c>
      <c r="G19" s="169">
        <v>240</v>
      </c>
      <c r="H19" s="169" t="s">
        <v>217</v>
      </c>
      <c r="I19" s="166">
        <v>1.31</v>
      </c>
      <c r="J19" s="172">
        <f t="shared" si="1"/>
        <v>314.40000000000003</v>
      </c>
      <c r="K19" s="173">
        <f t="shared" si="2"/>
        <v>1.31</v>
      </c>
      <c r="L19" s="173">
        <f>K19*F19</f>
        <v>26.200000000000003</v>
      </c>
      <c r="M19" s="173">
        <f t="shared" si="5"/>
        <v>314.40000000000003</v>
      </c>
      <c r="N19" s="179"/>
      <c r="O19" s="179"/>
    </row>
    <row r="20" spans="1:15" ht="76.5" x14ac:dyDescent="0.25">
      <c r="A20" s="169">
        <v>17</v>
      </c>
      <c r="B20" s="169">
        <v>307885</v>
      </c>
      <c r="C20" s="169" t="s">
        <v>232</v>
      </c>
      <c r="D20" s="170" t="str">
        <f>(UPPER(C20:C45))</f>
        <v xml:space="preserve"> BORRIFADOR, MATERIAL:PLÁSTICO, TIPO:SPRAY, CONTENDO BICO BORRIFADOR, APLICAÇÃO:MATERIAL DE LIMPEZA</v>
      </c>
      <c r="E20" s="171" t="s">
        <v>228</v>
      </c>
      <c r="F20" s="171">
        <v>0</v>
      </c>
      <c r="G20" s="169">
        <v>6</v>
      </c>
      <c r="H20" s="169" t="s">
        <v>217</v>
      </c>
      <c r="I20" s="180">
        <v>7.73</v>
      </c>
      <c r="J20" s="172">
        <f t="shared" si="1"/>
        <v>46.38</v>
      </c>
      <c r="K20" s="173">
        <f t="shared" si="2"/>
        <v>7.73</v>
      </c>
      <c r="L20" s="173">
        <f>M20/12</f>
        <v>3.8650000000000002</v>
      </c>
      <c r="M20" s="173">
        <f t="shared" si="5"/>
        <v>46.38</v>
      </c>
      <c r="N20" s="179"/>
    </row>
    <row r="21" spans="1:15" s="154" customFormat="1" ht="76.5" x14ac:dyDescent="0.25">
      <c r="A21" s="169">
        <v>18</v>
      </c>
      <c r="B21" s="169">
        <v>227903</v>
      </c>
      <c r="C21" s="169" t="s">
        <v>233</v>
      </c>
      <c r="D21" s="170" t="str">
        <f>(UPPER(C21:C45))</f>
        <v>ESCOVA ROUPA, MATERIAL CORPO MADEIRA, TRATAMENTO SUPERFICIAL ENVERNIZADO, MATERIAL CERDAS NÁILON</v>
      </c>
      <c r="E21" s="171" t="s">
        <v>228</v>
      </c>
      <c r="F21" s="171">
        <v>0</v>
      </c>
      <c r="G21" s="169">
        <v>8</v>
      </c>
      <c r="H21" s="169" t="s">
        <v>220</v>
      </c>
      <c r="I21" s="166">
        <v>1.61</v>
      </c>
      <c r="J21" s="172">
        <f t="shared" si="1"/>
        <v>12.88</v>
      </c>
      <c r="K21" s="173">
        <f t="shared" si="2"/>
        <v>1.61</v>
      </c>
      <c r="L21" s="173">
        <f>M21/12</f>
        <v>1.0733333333333335</v>
      </c>
      <c r="M21" s="173">
        <f t="shared" si="5"/>
        <v>12.88</v>
      </c>
      <c r="N21" s="179"/>
    </row>
    <row r="22" spans="1:15" s="154" customFormat="1" ht="50.25" customHeight="1" x14ac:dyDescent="0.25">
      <c r="A22" s="169">
        <v>19</v>
      </c>
      <c r="B22" s="169">
        <v>298406</v>
      </c>
      <c r="C22" s="169" t="s">
        <v>234</v>
      </c>
      <c r="D22" s="170" t="str">
        <f>(UPPER(C22:C45))</f>
        <v>SABÃO BARRA, COMPOSIÇÃO BÁSICA:SABÃO GLICERINADO, TIPO:NEUTRO, CARACTERÍSTICAS
ADICIONAIS:1ª QUALIDADE</v>
      </c>
      <c r="E22" s="171" t="s">
        <v>209</v>
      </c>
      <c r="F22" s="171">
        <f>G22/12</f>
        <v>15</v>
      </c>
      <c r="G22" s="169">
        <v>180</v>
      </c>
      <c r="H22" s="169" t="s">
        <v>235</v>
      </c>
      <c r="I22" s="166">
        <v>2.56</v>
      </c>
      <c r="J22" s="172">
        <f t="shared" si="1"/>
        <v>460.8</v>
      </c>
      <c r="K22" s="173">
        <f t="shared" si="2"/>
        <v>2.56</v>
      </c>
      <c r="L22" s="173">
        <f>K22*F22</f>
        <v>38.4</v>
      </c>
      <c r="M22" s="173">
        <f t="shared" si="5"/>
        <v>460.8</v>
      </c>
      <c r="N22" s="179"/>
    </row>
    <row r="23" spans="1:15" ht="80.650000000000006" customHeight="1" x14ac:dyDescent="0.25">
      <c r="A23" s="169">
        <v>20</v>
      </c>
      <c r="B23" s="169">
        <v>349489</v>
      </c>
      <c r="C23" s="169" t="s">
        <v>236</v>
      </c>
      <c r="D23" s="170" t="str">
        <f>(UPPER(C23:C45))</f>
        <v>LUVA SEGURANÇA, MATERIAL: BORRACHA NITRÍLICA, TAMANHO: G, APLICAÇÃO: SEGURANÇA, PROTEÇÃO INDIVIDUAL E LIMPEZA, CARACTERÍSTICAS ADICIONAIS: FLOCADA, PALMA ANTIDERRAPANTE, ALTO RELEVO, ESPESSURA: 0,51 MM, COMPRIMENTO: 32CM, MODELO: CANO MÉDIO. PACOTE CONTENDO UM PAR DE LUVAS</v>
      </c>
      <c r="E23" s="171" t="s">
        <v>209</v>
      </c>
      <c r="F23" s="171">
        <v>6</v>
      </c>
      <c r="G23" s="169">
        <v>60</v>
      </c>
      <c r="H23" s="169" t="s">
        <v>237</v>
      </c>
      <c r="I23" s="166">
        <v>5.98</v>
      </c>
      <c r="J23" s="172">
        <f t="shared" si="1"/>
        <v>358.8</v>
      </c>
      <c r="K23" s="173">
        <f t="shared" si="2"/>
        <v>5.98</v>
      </c>
      <c r="L23" s="173">
        <f>K23*F23</f>
        <v>35.880000000000003</v>
      </c>
      <c r="M23" s="173">
        <f t="shared" si="5"/>
        <v>358.8</v>
      </c>
      <c r="N23" s="179"/>
    </row>
    <row r="24" spans="1:15" ht="76.5" x14ac:dyDescent="0.25">
      <c r="A24" s="169">
        <v>21</v>
      </c>
      <c r="B24" s="169">
        <v>224141</v>
      </c>
      <c r="C24" s="169" t="s">
        <v>238</v>
      </c>
      <c r="D24" s="170" t="str">
        <f>(UPPER(C24:C45))</f>
        <v>TRINCHA, MATERIAL CABO:MADEIRA, MATERIAL CERDAS:PELO ORELHA DE BOI, TAMANHO:1/2 POL, TIPO CABO:CURTO</v>
      </c>
      <c r="E24" s="171" t="s">
        <v>228</v>
      </c>
      <c r="F24" s="171">
        <v>0</v>
      </c>
      <c r="G24" s="169">
        <v>5</v>
      </c>
      <c r="H24" s="169" t="s">
        <v>220</v>
      </c>
      <c r="I24" s="166">
        <v>2.31</v>
      </c>
      <c r="J24" s="172">
        <f t="shared" si="1"/>
        <v>11.55</v>
      </c>
      <c r="K24" s="173">
        <f t="shared" si="2"/>
        <v>2.31</v>
      </c>
      <c r="L24" s="173">
        <f>M24/12</f>
        <v>0.96250000000000002</v>
      </c>
      <c r="M24" s="173">
        <f t="shared" si="5"/>
        <v>11.55</v>
      </c>
      <c r="N24" s="179"/>
    </row>
    <row r="25" spans="1:15" ht="90" customHeight="1" x14ac:dyDescent="0.25">
      <c r="A25" s="169">
        <v>22</v>
      </c>
      <c r="B25" s="169">
        <v>238644</v>
      </c>
      <c r="C25" s="169" t="s">
        <v>239</v>
      </c>
      <c r="D25" s="170" t="str">
        <f>(UPPER(C25:C45))</f>
        <v xml:space="preserve"> RODO, MATERIAL CABO:MADEIRA, MATERIAL SUPORTE:MADEIRA, COMPRIMENTO SUPORTE:40
CM, COR:SUPORTE E CABO NATURAL, QUANTIDADE BORRACHAS:2 UN</v>
      </c>
      <c r="E25" s="171" t="s">
        <v>228</v>
      </c>
      <c r="F25" s="171">
        <v>0</v>
      </c>
      <c r="G25" s="169">
        <v>6</v>
      </c>
      <c r="H25" s="169" t="s">
        <v>220</v>
      </c>
      <c r="I25" s="166">
        <v>4.76</v>
      </c>
      <c r="J25" s="172">
        <f t="shared" si="1"/>
        <v>28.56</v>
      </c>
      <c r="K25" s="173">
        <f t="shared" si="2"/>
        <v>4.76</v>
      </c>
      <c r="L25" s="173">
        <f>M25/12</f>
        <v>2.38</v>
      </c>
      <c r="M25" s="173">
        <f t="shared" si="5"/>
        <v>28.56</v>
      </c>
      <c r="N25" s="179"/>
    </row>
    <row r="26" spans="1:15" ht="76.5" x14ac:dyDescent="0.25">
      <c r="A26" s="169">
        <v>23</v>
      </c>
      <c r="B26" s="169">
        <v>253025</v>
      </c>
      <c r="C26" s="169" t="s">
        <v>240</v>
      </c>
      <c r="D26" s="170" t="str">
        <f>(UPPER(C26:C45))</f>
        <v xml:space="preserve"> RODO, MATERIAL CABO:MADEIRA, MATERIAL SUPORTE:PLÁSTICO, COMPRIMENTO
SUPORTE:60 CM, QUANTIDADE BORRACHAS:2 UN</v>
      </c>
      <c r="E26" s="171" t="s">
        <v>228</v>
      </c>
      <c r="F26" s="171">
        <v>0</v>
      </c>
      <c r="G26" s="169">
        <v>6</v>
      </c>
      <c r="H26" s="169" t="s">
        <v>220</v>
      </c>
      <c r="I26" s="166">
        <v>5.76</v>
      </c>
      <c r="J26" s="172">
        <f t="shared" si="1"/>
        <v>34.56</v>
      </c>
      <c r="K26" s="173">
        <f t="shared" si="2"/>
        <v>5.76</v>
      </c>
      <c r="L26" s="173">
        <f>M26/12</f>
        <v>2.8800000000000003</v>
      </c>
      <c r="M26" s="173">
        <f t="shared" si="5"/>
        <v>34.56</v>
      </c>
      <c r="N26" s="179"/>
    </row>
    <row r="27" spans="1:15" ht="40.5" customHeight="1" x14ac:dyDescent="0.25">
      <c r="A27" s="169">
        <v>24</v>
      </c>
      <c r="B27" s="169">
        <v>308595</v>
      </c>
      <c r="C27" s="169" t="s">
        <v>241</v>
      </c>
      <c r="D27" s="170" t="str">
        <f>(UPPER(C27:C45))</f>
        <v xml:space="preserve">SACO PARA ASPIRADOR PÓ, MATERIAL:PAPEL, CAPACIDADE:12 L, APLICAÇÃO:ASPIRADOR ÁGUA/ PÓ
</v>
      </c>
      <c r="E27" s="171" t="s">
        <v>209</v>
      </c>
      <c r="F27" s="171">
        <f>G27/12</f>
        <v>2</v>
      </c>
      <c r="G27" s="169">
        <v>24</v>
      </c>
      <c r="H27" s="169" t="s">
        <v>220</v>
      </c>
      <c r="I27" s="166">
        <v>21.13</v>
      </c>
      <c r="J27" s="172">
        <f t="shared" si="1"/>
        <v>507.12</v>
      </c>
      <c r="K27" s="173">
        <f t="shared" si="2"/>
        <v>21.13</v>
      </c>
      <c r="L27" s="173">
        <f>K27*F27</f>
        <v>42.26</v>
      </c>
      <c r="M27" s="173">
        <f t="shared" si="5"/>
        <v>507.12</v>
      </c>
      <c r="N27" s="179"/>
    </row>
    <row r="28" spans="1:15" s="154" customFormat="1" ht="48" customHeight="1" x14ac:dyDescent="0.25">
      <c r="A28" s="169">
        <v>25</v>
      </c>
      <c r="B28" s="169">
        <v>253730</v>
      </c>
      <c r="C28" s="169" t="s">
        <v>242</v>
      </c>
      <c r="D28" s="170" t="str">
        <f>(UPPER(C28:C46))</f>
        <v>SACO PLÁSTICO LIXO, CAPACIDADE:100 L, LARGURA:75 CM, ALTURA:105 CM, NORMAS TÉCNICAS:CLASSE I - NBR 9191</v>
      </c>
      <c r="E28" s="171" t="s">
        <v>209</v>
      </c>
      <c r="F28" s="171">
        <f>G28/12</f>
        <v>3</v>
      </c>
      <c r="G28" s="169">
        <v>36</v>
      </c>
      <c r="H28" s="169" t="s">
        <v>243</v>
      </c>
      <c r="I28" s="166">
        <v>24.8</v>
      </c>
      <c r="J28" s="172">
        <f t="shared" si="1"/>
        <v>892.80000000000007</v>
      </c>
      <c r="K28" s="173">
        <f t="shared" si="2"/>
        <v>24.8</v>
      </c>
      <c r="L28" s="173">
        <f>K28*F28</f>
        <v>74.400000000000006</v>
      </c>
      <c r="M28" s="173">
        <f t="shared" si="5"/>
        <v>892.80000000000007</v>
      </c>
      <c r="N28" s="179"/>
    </row>
    <row r="29" spans="1:15" ht="73.5" customHeight="1" x14ac:dyDescent="0.25">
      <c r="A29" s="169">
        <v>26</v>
      </c>
      <c r="B29" s="169">
        <v>234552</v>
      </c>
      <c r="C29" s="169" t="s">
        <v>244</v>
      </c>
      <c r="D29" s="170" t="str">
        <f>(UPPER(C29:C46))</f>
        <v>SACO PLÁSTICO LIXO, CAPACIDADE: 20 L, COR: PRETA, APRESENTAÇÃO: PEÇA ÚNICA, LARGURA: 40 CM, ALTURA: 50 CM, ESPESSURA: 0,8 MICRA.  PACOTE CONTENDO 100 UNIDADES</v>
      </c>
      <c r="E29" s="171" t="s">
        <v>209</v>
      </c>
      <c r="F29" s="171">
        <f>G29/12</f>
        <v>6</v>
      </c>
      <c r="G29" s="169">
        <v>72</v>
      </c>
      <c r="H29" s="169" t="s">
        <v>245</v>
      </c>
      <c r="I29" s="166">
        <v>13.95</v>
      </c>
      <c r="J29" s="172">
        <f t="shared" si="1"/>
        <v>1004.4</v>
      </c>
      <c r="K29" s="173">
        <f t="shared" si="2"/>
        <v>13.95</v>
      </c>
      <c r="L29" s="173">
        <f>K29*F29</f>
        <v>83.699999999999989</v>
      </c>
      <c r="M29" s="173">
        <f t="shared" si="5"/>
        <v>1004.4</v>
      </c>
      <c r="N29" s="179"/>
    </row>
    <row r="30" spans="1:15" ht="74.25" customHeight="1" x14ac:dyDescent="0.25">
      <c r="A30" s="169">
        <v>27</v>
      </c>
      <c r="B30" s="169">
        <v>471943</v>
      </c>
      <c r="C30" s="169" t="s">
        <v>246</v>
      </c>
      <c r="D30" s="170" t="str">
        <f>(UPPER(C30:C47))</f>
        <v>SACO PLÁSTICO LIXO, CAPACIDADE: 40 L, COR: PRETA, LARGURA: 65 CM, ALTURA: 75 CM, CARACTERÍSTICAS ADICIONAIS: REFORÇADO, ESPESSURA: 4 MICRA, APLICAÇÃO: RESÍDUOS COMUNS DIVERSOS, MATERIAL: POLIETILENO.  PACOTE CONTENDO 100 UNIDADES</v>
      </c>
      <c r="E30" s="171" t="s">
        <v>209</v>
      </c>
      <c r="F30" s="171">
        <f>G30/12</f>
        <v>3</v>
      </c>
      <c r="G30" s="169">
        <v>36</v>
      </c>
      <c r="H30" s="169" t="s">
        <v>243</v>
      </c>
      <c r="I30" s="166">
        <v>11.16</v>
      </c>
      <c r="J30" s="172">
        <f t="shared" si="1"/>
        <v>401.76</v>
      </c>
      <c r="K30" s="173">
        <f t="shared" si="2"/>
        <v>11.16</v>
      </c>
      <c r="L30" s="173">
        <f>K30*F30</f>
        <v>33.480000000000004</v>
      </c>
      <c r="M30" s="173">
        <f t="shared" si="5"/>
        <v>401.76</v>
      </c>
      <c r="N30" s="179"/>
    </row>
    <row r="31" spans="1:15" ht="76.5" x14ac:dyDescent="0.25">
      <c r="A31" s="169">
        <v>28</v>
      </c>
      <c r="B31" s="169">
        <v>444427</v>
      </c>
      <c r="C31" s="169" t="s">
        <v>247</v>
      </c>
      <c r="D31" s="170" t="str">
        <f>(UPPER(C31:C46))</f>
        <v>VASSOURA, MATERIAL CERDAS:PÊLO SINTÉTICO, MATERIAL CEPA:MADEIRA, COMPRIMENTO CEPA:40 CM, CARACTERÍSTICAS ADICIONIS:CABO ROSQUEÁVEL, 1,20 M, LARGURA CEPA:4,5 CM</v>
      </c>
      <c r="E31" s="171" t="s">
        <v>228</v>
      </c>
      <c r="F31" s="171">
        <v>0</v>
      </c>
      <c r="G31" s="169">
        <v>6</v>
      </c>
      <c r="H31" s="169" t="s">
        <v>220</v>
      </c>
      <c r="I31" s="166">
        <v>12.16</v>
      </c>
      <c r="J31" s="172">
        <f t="shared" si="1"/>
        <v>72.960000000000008</v>
      </c>
      <c r="K31" s="173">
        <f t="shared" si="2"/>
        <v>12.16</v>
      </c>
      <c r="L31" s="173">
        <f>M31/12</f>
        <v>6.080000000000001</v>
      </c>
      <c r="M31" s="173">
        <f t="shared" si="5"/>
        <v>72.960000000000008</v>
      </c>
      <c r="N31" s="179"/>
    </row>
    <row r="32" spans="1:15" ht="76.5" x14ac:dyDescent="0.25">
      <c r="A32" s="169">
        <v>29</v>
      </c>
      <c r="B32" s="169">
        <v>151014</v>
      </c>
      <c r="C32" s="169" t="s">
        <v>248</v>
      </c>
      <c r="D32" s="170" t="str">
        <f>(UPPER(C32:C46))</f>
        <v xml:space="preserve">VASSOURA, MATERIAL CERDAS:PÊLO SINTÉTICO, MATERIAL CEPA:POLIPROPILENO, COMPRIMENTO CEPA:40 CM, CARACTERÍSTICAS ADICIONAIS:CABO DE MADEIRA PLASTIFICADA, DIÂMETRO CEPA:25 MM
</v>
      </c>
      <c r="E32" s="171" t="s">
        <v>228</v>
      </c>
      <c r="F32" s="171">
        <v>0</v>
      </c>
      <c r="G32" s="169">
        <v>6</v>
      </c>
      <c r="H32" s="169" t="s">
        <v>220</v>
      </c>
      <c r="I32" s="166">
        <v>14.29</v>
      </c>
      <c r="J32" s="172">
        <f t="shared" si="1"/>
        <v>85.74</v>
      </c>
      <c r="K32" s="173">
        <f t="shared" si="2"/>
        <v>14.29</v>
      </c>
      <c r="L32" s="173">
        <f>M32/12</f>
        <v>7.1449999999999996</v>
      </c>
      <c r="M32" s="173">
        <f t="shared" si="5"/>
        <v>85.74</v>
      </c>
      <c r="N32" s="179"/>
    </row>
    <row r="33" spans="1:14" ht="76.5" x14ac:dyDescent="0.25">
      <c r="A33" s="169">
        <v>30</v>
      </c>
      <c r="B33" s="169">
        <v>331870</v>
      </c>
      <c r="C33" s="169" t="s">
        <v>249</v>
      </c>
      <c r="D33" s="170" t="str">
        <f>(UPPER(C33:C46))</f>
        <v>VASSOURINHA PARA VASO SANITÁRIO, CABO PLÁSTICO, CERDAS DE NYLON, FORMATO ARREDONDADO, CERDAS FUNDIDAS AO CABO, COM SUPORTE, APLICAÇÃO: LIMPEZA SANITÁRIO</v>
      </c>
      <c r="E33" s="171" t="s">
        <v>228</v>
      </c>
      <c r="F33" s="171">
        <v>0</v>
      </c>
      <c r="G33" s="169">
        <v>17</v>
      </c>
      <c r="H33" s="169" t="s">
        <v>220</v>
      </c>
      <c r="I33" s="166">
        <v>4.38</v>
      </c>
      <c r="J33" s="172">
        <f t="shared" si="1"/>
        <v>74.459999999999994</v>
      </c>
      <c r="K33" s="173">
        <f t="shared" si="2"/>
        <v>4.38</v>
      </c>
      <c r="L33" s="173">
        <f>M33/12</f>
        <v>6.2049999999999992</v>
      </c>
      <c r="M33" s="173">
        <f t="shared" si="5"/>
        <v>74.459999999999994</v>
      </c>
      <c r="N33" s="179"/>
    </row>
    <row r="34" spans="1:14" ht="62.25" customHeight="1" x14ac:dyDescent="0.25">
      <c r="A34" s="169">
        <v>31</v>
      </c>
      <c r="B34" s="169">
        <v>301139</v>
      </c>
      <c r="C34" s="169" t="s">
        <v>250</v>
      </c>
      <c r="D34" s="170" t="str">
        <f>(UPPER(C34:C46))</f>
        <v>PAPEL HIGIÊNICO BRANCO, NÃO RECICLADO, FOLHA DUPLA DE ALTA QUALIDADE, ABSORÇÃO E  RESISTÊNCIA, 100% CELULOSE VIRGEM CERTIFICADA, TEXTURIZADO, PICOTADO  ROLO DE 30 METROS X 10 CM.</v>
      </c>
      <c r="E34" s="171" t="s">
        <v>209</v>
      </c>
      <c r="F34" s="171">
        <v>448</v>
      </c>
      <c r="G34" s="169">
        <v>5376</v>
      </c>
      <c r="H34" s="169" t="s">
        <v>251</v>
      </c>
      <c r="I34" s="166">
        <v>1.1599999999999999</v>
      </c>
      <c r="J34" s="172">
        <f t="shared" si="1"/>
        <v>6236.16</v>
      </c>
      <c r="K34" s="173">
        <f t="shared" si="2"/>
        <v>1.1599999999999999</v>
      </c>
      <c r="L34" s="173">
        <f>K34*F34</f>
        <v>519.67999999999995</v>
      </c>
      <c r="M34" s="173">
        <f t="shared" si="5"/>
        <v>6236.16</v>
      </c>
      <c r="N34" s="179"/>
    </row>
    <row r="35" spans="1:14" ht="84.75" customHeight="1" x14ac:dyDescent="0.25">
      <c r="A35" s="169">
        <v>32</v>
      </c>
      <c r="B35" s="169">
        <v>319232</v>
      </c>
      <c r="C35" s="169" t="s">
        <v>252</v>
      </c>
      <c r="D35" s="176" t="str">
        <f>(UPPER(C35:C46))</f>
        <v>TOALHA DE PAPEL INTERFOLHADA, DUAS DOBRAS, MACIA, COR BRANCA, NÃO RECICLADO, 100% CELULOSE VIRGEM CERTIFICADA, ALTA ABSORÇÃO E RESISTÊNCIA, COM MEDIDAS APROXIMADAS DE 21 X 23 CM, COM GRAMATURA APROXIMADA DE 32 A 50 G/M²; PACOTE COM 1000 FOLHAS</v>
      </c>
      <c r="E35" s="177" t="s">
        <v>209</v>
      </c>
      <c r="F35" s="177">
        <v>100</v>
      </c>
      <c r="G35" s="175">
        <v>1200</v>
      </c>
      <c r="H35" s="175" t="s">
        <v>253</v>
      </c>
      <c r="I35" s="166">
        <v>10.66</v>
      </c>
      <c r="J35" s="172">
        <f t="shared" si="1"/>
        <v>12792</v>
      </c>
      <c r="K35" s="173">
        <f t="shared" si="2"/>
        <v>10.66</v>
      </c>
      <c r="L35" s="173">
        <f>K35*F35</f>
        <v>1066</v>
      </c>
      <c r="M35" s="173">
        <f t="shared" si="5"/>
        <v>12792</v>
      </c>
      <c r="N35" s="179"/>
    </row>
    <row r="36" spans="1:14" ht="60.75" customHeight="1" x14ac:dyDescent="0.25">
      <c r="A36" s="169">
        <v>33</v>
      </c>
      <c r="B36" s="169">
        <v>356771</v>
      </c>
      <c r="C36" s="169" t="s">
        <v>254</v>
      </c>
      <c r="D36" s="176" t="str">
        <f>(UPPER(C36:C46))</f>
        <v>PAPEL PROTETOR DE ASSENTO SANITÁRIO DESCARTÁVEL, PARA DISPENSER GRANDE, COR BRANCA, MACIO, RESISTENTE, TAMANHO UNIVERSAL; REFIL COM 86 FOLHAS.</v>
      </c>
      <c r="E36" s="177" t="s">
        <v>209</v>
      </c>
      <c r="F36" s="177">
        <v>16</v>
      </c>
      <c r="G36" s="175">
        <v>192</v>
      </c>
      <c r="H36" s="175" t="s">
        <v>255</v>
      </c>
      <c r="I36" s="166">
        <v>9.23</v>
      </c>
      <c r="J36" s="172">
        <f t="shared" si="1"/>
        <v>1772.16</v>
      </c>
      <c r="K36" s="173">
        <f t="shared" si="2"/>
        <v>9.23</v>
      </c>
      <c r="L36" s="173">
        <f>K36*F36</f>
        <v>147.68</v>
      </c>
      <c r="M36" s="173">
        <f t="shared" si="5"/>
        <v>1772.16</v>
      </c>
      <c r="N36" s="179"/>
    </row>
    <row r="37" spans="1:14" ht="40.5" customHeight="1" x14ac:dyDescent="0.25">
      <c r="A37" s="169">
        <v>34</v>
      </c>
      <c r="B37" s="169">
        <v>312074</v>
      </c>
      <c r="C37" s="169" t="s">
        <v>256</v>
      </c>
      <c r="D37" s="176" t="str">
        <f>(UPPER(C37:C47))</f>
        <v>SABONETE LÍQUIDO EM GEL (ANTISSÉPTICO), REFIL DE 800 ML DO TIPO “BAG IN BOX”, FRAGÂNCIA NEUTRO. </v>
      </c>
      <c r="E37" s="177" t="s">
        <v>209</v>
      </c>
      <c r="F37" s="177">
        <v>35</v>
      </c>
      <c r="G37" s="175">
        <v>420</v>
      </c>
      <c r="H37" s="175" t="s">
        <v>255</v>
      </c>
      <c r="I37" s="166">
        <v>6.27</v>
      </c>
      <c r="J37" s="172">
        <f t="shared" si="1"/>
        <v>2633.3999999999996</v>
      </c>
      <c r="K37" s="173">
        <f t="shared" si="2"/>
        <v>6.27</v>
      </c>
      <c r="L37" s="173">
        <f>K37*F37</f>
        <v>219.45</v>
      </c>
      <c r="M37" s="173">
        <f t="shared" si="5"/>
        <v>2633.3999999999996</v>
      </c>
      <c r="N37" s="179"/>
    </row>
    <row r="38" spans="1:14" ht="42.75" customHeight="1" x14ac:dyDescent="0.25">
      <c r="A38" s="169">
        <v>35</v>
      </c>
      <c r="B38" s="169">
        <v>273231</v>
      </c>
      <c r="C38" s="169" t="s">
        <v>257</v>
      </c>
      <c r="D38" s="176" t="str">
        <f>(UPPER(C38:C48))</f>
        <v>GEL HIGIENIZANTE, A BASE DE ÁLCOOL 70%, REFIL DE 800 ML DO TIPO “BAG IN BOX”. </v>
      </c>
      <c r="E38" s="177" t="s">
        <v>209</v>
      </c>
      <c r="F38" s="177">
        <v>35</v>
      </c>
      <c r="G38" s="175">
        <v>420</v>
      </c>
      <c r="H38" s="175" t="s">
        <v>255</v>
      </c>
      <c r="I38" s="166">
        <v>9.92</v>
      </c>
      <c r="J38" s="172">
        <f t="shared" si="1"/>
        <v>4166.3999999999996</v>
      </c>
      <c r="K38" s="173">
        <f t="shared" si="2"/>
        <v>9.92</v>
      </c>
      <c r="L38" s="173">
        <f>K38*F38</f>
        <v>347.2</v>
      </c>
      <c r="M38" s="173">
        <f t="shared" si="5"/>
        <v>4166.3999999999996</v>
      </c>
      <c r="N38" s="179"/>
    </row>
    <row r="39" spans="1:14" ht="132.75" customHeight="1" x14ac:dyDescent="0.25">
      <c r="A39" s="169">
        <v>36</v>
      </c>
      <c r="B39" s="169">
        <v>273231</v>
      </c>
      <c r="C39" s="169" t="s">
        <v>257</v>
      </c>
      <c r="D39" s="181" t="s">
        <v>258</v>
      </c>
      <c r="E39" s="177" t="s">
        <v>228</v>
      </c>
      <c r="F39" s="177">
        <v>0</v>
      </c>
      <c r="G39" s="175">
        <v>6</v>
      </c>
      <c r="H39" s="175" t="s">
        <v>255</v>
      </c>
      <c r="I39" s="166">
        <v>19.5</v>
      </c>
      <c r="J39" s="172">
        <f t="shared" si="1"/>
        <v>117</v>
      </c>
      <c r="K39" s="173">
        <f t="shared" si="2"/>
        <v>19.5</v>
      </c>
      <c r="L39" s="173">
        <f>M39/12</f>
        <v>9.75</v>
      </c>
      <c r="M39" s="173">
        <f t="shared" si="5"/>
        <v>117</v>
      </c>
      <c r="N39" s="179"/>
    </row>
    <row r="40" spans="1:14" ht="91.5" customHeight="1" x14ac:dyDescent="0.25">
      <c r="A40" s="169">
        <v>37</v>
      </c>
      <c r="B40" s="169">
        <v>273231</v>
      </c>
      <c r="C40" s="169" t="s">
        <v>257</v>
      </c>
      <c r="D40" s="181" t="s">
        <v>259</v>
      </c>
      <c r="E40" s="171" t="s">
        <v>228</v>
      </c>
      <c r="F40" s="171">
        <v>0</v>
      </c>
      <c r="G40" s="169">
        <v>6</v>
      </c>
      <c r="H40" s="169" t="s">
        <v>255</v>
      </c>
      <c r="I40" s="166">
        <v>7.57</v>
      </c>
      <c r="J40" s="172">
        <f t="shared" si="1"/>
        <v>45.42</v>
      </c>
      <c r="K40" s="173">
        <f t="shared" si="2"/>
        <v>7.57</v>
      </c>
      <c r="L40" s="173">
        <f>M40/12</f>
        <v>3.7850000000000001</v>
      </c>
      <c r="M40" s="173">
        <f t="shared" si="5"/>
        <v>45.42</v>
      </c>
      <c r="N40" s="179"/>
    </row>
    <row r="41" spans="1:14" s="154" customFormat="1" ht="20.25" customHeight="1" x14ac:dyDescent="0.25">
      <c r="A41" s="182"/>
      <c r="B41" s="183"/>
      <c r="C41" s="183"/>
      <c r="D41" s="183"/>
      <c r="E41" s="183"/>
      <c r="F41" s="183"/>
      <c r="G41" s="183"/>
      <c r="H41" s="183"/>
      <c r="I41" s="265" t="s">
        <v>260</v>
      </c>
      <c r="J41" s="265"/>
      <c r="K41" s="265"/>
      <c r="L41" s="184">
        <f>SUM(L4:L40)</f>
        <v>3181.7808333333328</v>
      </c>
      <c r="M41" s="184">
        <f>SUM(M4:M40)</f>
        <v>38128.729999999996</v>
      </c>
    </row>
    <row r="42" spans="1:14" s="154" customFormat="1" ht="20.25" customHeight="1" x14ac:dyDescent="0.25">
      <c r="A42" s="182"/>
      <c r="B42" s="183"/>
      <c r="C42" s="183"/>
      <c r="D42" s="183"/>
      <c r="E42" s="183"/>
      <c r="F42" s="183"/>
      <c r="G42" s="183"/>
      <c r="H42" s="183"/>
      <c r="I42" s="183"/>
      <c r="J42" s="183" t="s">
        <v>261</v>
      </c>
      <c r="K42" s="183"/>
      <c r="L42" s="266">
        <v>4</v>
      </c>
      <c r="M42" s="266"/>
    </row>
    <row r="43" spans="1:14" s="154" customFormat="1" ht="18.75" x14ac:dyDescent="0.25">
      <c r="A43" s="267" t="s">
        <v>262</v>
      </c>
      <c r="B43" s="267"/>
      <c r="C43" s="267"/>
      <c r="D43" s="267"/>
      <c r="E43" s="267"/>
      <c r="F43" s="267"/>
      <c r="G43" s="267"/>
      <c r="H43" s="267"/>
      <c r="I43" s="267"/>
      <c r="J43" s="267"/>
      <c r="K43" s="267"/>
      <c r="L43" s="268">
        <f>L41/L42</f>
        <v>795.4452083333332</v>
      </c>
      <c r="M43" s="268"/>
    </row>
    <row r="44" spans="1:14" s="154" customFormat="1" ht="26.25" customHeight="1" x14ac:dyDescent="0.25">
      <c r="A44" s="185"/>
      <c r="B44" s="185"/>
      <c r="C44" s="185"/>
      <c r="D44" s="185"/>
      <c r="E44" s="185"/>
      <c r="F44" s="185"/>
      <c r="G44" s="185"/>
      <c r="H44" s="185"/>
      <c r="I44" s="159"/>
      <c r="J44" s="185"/>
      <c r="K44" s="185"/>
      <c r="L44" s="185"/>
      <c r="M44" s="185"/>
    </row>
    <row r="45" spans="1:14" ht="38.25" customHeight="1" x14ac:dyDescent="0.25">
      <c r="A45" s="260" t="s">
        <v>194</v>
      </c>
      <c r="B45" s="260"/>
      <c r="C45" s="260"/>
      <c r="D45" s="260"/>
      <c r="E45" s="260"/>
      <c r="F45" s="260"/>
      <c r="G45" s="260"/>
      <c r="H45" s="260"/>
      <c r="I45" s="260"/>
      <c r="J45" s="260"/>
      <c r="K45" s="260"/>
      <c r="L45" s="260"/>
      <c r="M45" s="260"/>
    </row>
    <row r="46" spans="1:14" ht="51.75" customHeight="1" x14ac:dyDescent="0.25">
      <c r="A46" s="261" t="s">
        <v>263</v>
      </c>
      <c r="B46" s="261"/>
      <c r="C46" s="261"/>
      <c r="D46" s="261"/>
      <c r="E46" s="261"/>
      <c r="F46" s="261"/>
      <c r="G46" s="261"/>
      <c r="H46" s="261"/>
      <c r="I46" s="261"/>
      <c r="J46" s="261"/>
      <c r="K46" s="261"/>
      <c r="L46" s="261"/>
      <c r="M46" s="261"/>
    </row>
  </sheetData>
  <mergeCells count="17">
    <mergeCell ref="A1:M1"/>
    <mergeCell ref="A2:A3"/>
    <mergeCell ref="B2:B3"/>
    <mergeCell ref="C2:C3"/>
    <mergeCell ref="D2:D3"/>
    <mergeCell ref="E2:E3"/>
    <mergeCell ref="F2:F3"/>
    <mergeCell ref="G2:G3"/>
    <mergeCell ref="H2:H3"/>
    <mergeCell ref="I2:J2"/>
    <mergeCell ref="K2:M2"/>
    <mergeCell ref="A46:M46"/>
    <mergeCell ref="I41:K41"/>
    <mergeCell ref="L42:M42"/>
    <mergeCell ref="A43:K43"/>
    <mergeCell ref="L43:M43"/>
    <mergeCell ref="A45:M45"/>
  </mergeCells>
  <pageMargins left="0.196527777777778" right="0.196527777777778" top="0.196527777777778" bottom="0.196527777777778" header="0.51180555555555496" footer="0.51180555555555496"/>
  <pageSetup paperSize="9" scale="50" firstPageNumber="0" orientation="landscape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12"/>
  <sheetViews>
    <sheetView topLeftCell="E5" zoomScale="155" zoomScaleNormal="155" workbookViewId="0">
      <selection activeCell="I10" sqref="I10"/>
    </sheetView>
  </sheetViews>
  <sheetFormatPr defaultColWidth="9" defaultRowHeight="15.75" x14ac:dyDescent="0.25"/>
  <cols>
    <col min="1" max="1" width="8.7109375" style="154" customWidth="1"/>
    <col min="2" max="2" width="11.5703125" style="154" customWidth="1"/>
    <col min="3" max="3" width="43" style="154" hidden="1" customWidth="1"/>
    <col min="4" max="4" width="44.85546875" style="154" customWidth="1"/>
    <col min="5" max="5" width="15.28515625" style="154" customWidth="1"/>
    <col min="6" max="6" width="14" style="159" customWidth="1"/>
    <col min="7" max="7" width="13.42578125" style="159" customWidth="1"/>
    <col min="8" max="8" width="11.5703125" style="159" customWidth="1"/>
    <col min="9" max="10" width="16.28515625" style="154" customWidth="1"/>
    <col min="11" max="11" width="18.140625" style="154" customWidth="1"/>
    <col min="12" max="12" width="16.42578125" style="154" customWidth="1"/>
    <col min="13" max="13" width="16.7109375" style="154" customWidth="1"/>
  </cols>
  <sheetData>
    <row r="1" spans="1:13" ht="26.25" x14ac:dyDescent="0.25">
      <c r="A1" s="280" t="s">
        <v>264</v>
      </c>
      <c r="B1" s="280"/>
      <c r="C1" s="280"/>
      <c r="D1" s="280"/>
      <c r="E1" s="280"/>
      <c r="F1" s="280"/>
      <c r="G1" s="280"/>
      <c r="H1" s="280"/>
      <c r="I1" s="280"/>
      <c r="J1" s="280"/>
      <c r="K1" s="280"/>
      <c r="L1" s="280"/>
      <c r="M1" s="280"/>
    </row>
    <row r="2" spans="1:13" ht="69.75" customHeight="1" x14ac:dyDescent="0.25">
      <c r="A2" s="270" t="s">
        <v>165</v>
      </c>
      <c r="B2" s="270" t="s">
        <v>166</v>
      </c>
      <c r="C2" s="270" t="s">
        <v>167</v>
      </c>
      <c r="D2" s="270" t="s">
        <v>167</v>
      </c>
      <c r="E2" s="271" t="s">
        <v>198</v>
      </c>
      <c r="F2" s="272" t="s">
        <v>265</v>
      </c>
      <c r="G2" s="273" t="s">
        <v>200</v>
      </c>
      <c r="H2" s="273" t="s">
        <v>201</v>
      </c>
      <c r="I2" s="273" t="s">
        <v>202</v>
      </c>
      <c r="J2" s="273"/>
      <c r="K2" s="273" t="s">
        <v>203</v>
      </c>
      <c r="L2" s="273"/>
      <c r="M2" s="273"/>
    </row>
    <row r="3" spans="1:13" ht="25.5" x14ac:dyDescent="0.25">
      <c r="A3" s="270"/>
      <c r="B3" s="270"/>
      <c r="C3" s="270"/>
      <c r="D3" s="270"/>
      <c r="E3" s="271"/>
      <c r="F3" s="272"/>
      <c r="G3" s="273"/>
      <c r="H3" s="273"/>
      <c r="I3" s="160" t="s">
        <v>204</v>
      </c>
      <c r="J3" s="161" t="s">
        <v>205</v>
      </c>
      <c r="K3" s="160" t="s">
        <v>204</v>
      </c>
      <c r="L3" s="160" t="s">
        <v>206</v>
      </c>
      <c r="M3" s="160" t="s">
        <v>207</v>
      </c>
    </row>
    <row r="4" spans="1:13" ht="38.25" x14ac:dyDescent="0.25">
      <c r="A4" s="164">
        <v>1</v>
      </c>
      <c r="B4" s="164">
        <v>467313</v>
      </c>
      <c r="C4" s="164" t="s">
        <v>266</v>
      </c>
      <c r="D4" s="165" t="str">
        <f>(UPPER(C4:C9))</f>
        <v>CAMISETA MALHA PV (MALHA FRIA COM 67% DOS FIOS DE POLIÉSTER E 33% DE VISCOSE), GOLA CARECA, COM EMBLEMA DA EMPRESA</v>
      </c>
      <c r="E4" s="165" t="s">
        <v>267</v>
      </c>
      <c r="F4" s="165">
        <v>8</v>
      </c>
      <c r="G4" s="164">
        <v>16</v>
      </c>
      <c r="H4" s="164" t="s">
        <v>201</v>
      </c>
      <c r="I4" s="167">
        <v>19.850000000000001</v>
      </c>
      <c r="J4" s="167">
        <f t="shared" ref="J4:J9" si="0">I4*G4</f>
        <v>317.60000000000002</v>
      </c>
      <c r="K4" s="168">
        <f t="shared" ref="K4:K9" si="1">AVERAGE(I4)</f>
        <v>19.850000000000001</v>
      </c>
      <c r="L4" s="168">
        <f t="shared" ref="L4:L9" si="2">M4/12</f>
        <v>26.466666666666669</v>
      </c>
      <c r="M4" s="168">
        <f>I4*F4*2</f>
        <v>317.60000000000002</v>
      </c>
    </row>
    <row r="5" spans="1:13" ht="25.5" x14ac:dyDescent="0.25">
      <c r="A5" s="175">
        <v>2</v>
      </c>
      <c r="B5" s="175">
        <v>151064</v>
      </c>
      <c r="C5" s="175" t="s">
        <v>268</v>
      </c>
      <c r="D5" s="176" t="str">
        <f>(UPPER(C5:C10))</f>
        <v>CALÇA CONFECCIONADA EM TECIDO BRIM COM ELÁSTICO / CADARÇO NA CINTURA</v>
      </c>
      <c r="E5" s="165" t="s">
        <v>267</v>
      </c>
      <c r="F5" s="177">
        <v>8</v>
      </c>
      <c r="G5" s="175">
        <v>16</v>
      </c>
      <c r="H5" s="164" t="s">
        <v>201</v>
      </c>
      <c r="I5" s="166">
        <v>28.33</v>
      </c>
      <c r="J5" s="167">
        <f t="shared" si="0"/>
        <v>453.28</v>
      </c>
      <c r="K5" s="178">
        <f t="shared" si="1"/>
        <v>28.33</v>
      </c>
      <c r="L5" s="168">
        <f t="shared" si="2"/>
        <v>37.773333333333333</v>
      </c>
      <c r="M5" s="168">
        <f>I5*F5*2</f>
        <v>453.28</v>
      </c>
    </row>
    <row r="6" spans="1:13" ht="25.5" x14ac:dyDescent="0.25">
      <c r="A6" s="169">
        <v>3</v>
      </c>
      <c r="B6" s="169">
        <v>463850</v>
      </c>
      <c r="C6" s="169" t="s">
        <v>269</v>
      </c>
      <c r="D6" s="170" t="str">
        <f>(UPPER(C6:C12))</f>
        <v xml:space="preserve">PARES DE MEIA DE ALGODÃO.
</v>
      </c>
      <c r="E6" s="171" t="s">
        <v>267</v>
      </c>
      <c r="F6" s="171">
        <v>8</v>
      </c>
      <c r="G6" s="169">
        <v>16</v>
      </c>
      <c r="H6" s="169" t="s">
        <v>237</v>
      </c>
      <c r="I6" s="172">
        <v>15.52</v>
      </c>
      <c r="J6" s="167">
        <f t="shared" si="0"/>
        <v>248.32</v>
      </c>
      <c r="K6" s="173">
        <f t="shared" si="1"/>
        <v>15.52</v>
      </c>
      <c r="L6" s="168">
        <f t="shared" si="2"/>
        <v>20.693333333333332</v>
      </c>
      <c r="M6" s="168">
        <f>I6*F6*2</f>
        <v>248.32</v>
      </c>
    </row>
    <row r="7" spans="1:13" x14ac:dyDescent="0.25">
      <c r="A7" s="169">
        <v>4</v>
      </c>
      <c r="B7" s="169">
        <v>234470</v>
      </c>
      <c r="C7" s="169" t="s">
        <v>270</v>
      </c>
      <c r="D7" s="170" t="str">
        <f>(UPPER(C7:C9))</f>
        <v xml:space="preserve">BOTAS DE BORRACHA - CANO LONGO - PVC. </v>
      </c>
      <c r="E7" s="171" t="s">
        <v>267</v>
      </c>
      <c r="F7" s="171">
        <v>4</v>
      </c>
      <c r="G7" s="169">
        <v>8</v>
      </c>
      <c r="H7" s="169" t="s">
        <v>237</v>
      </c>
      <c r="I7" s="172">
        <v>52.82</v>
      </c>
      <c r="J7" s="167">
        <f t="shared" si="0"/>
        <v>422.56</v>
      </c>
      <c r="K7" s="173">
        <f t="shared" si="1"/>
        <v>52.82</v>
      </c>
      <c r="L7" s="168">
        <f t="shared" si="2"/>
        <v>35.213333333333331</v>
      </c>
      <c r="M7" s="168">
        <f>I7*F7*2</f>
        <v>422.56</v>
      </c>
    </row>
    <row r="8" spans="1:13" ht="38.25" x14ac:dyDescent="0.25">
      <c r="A8" s="169">
        <v>5</v>
      </c>
      <c r="B8" s="169">
        <v>468656</v>
      </c>
      <c r="C8" s="169" t="s">
        <v>271</v>
      </c>
      <c r="D8" s="170" t="str">
        <f>(UPPER(C8:C10))</f>
        <v xml:space="preserve">BOTINA - SOLADO ANTIDERRAPANTI PARA ATIVIDADES COM ÁGUA - HIDROREPELENTE - ELÁSTICO NAS LATERAIS - ANTIBACTÉRIAS - COR PRETA.      </v>
      </c>
      <c r="E8" s="165" t="s">
        <v>267</v>
      </c>
      <c r="F8" s="171">
        <v>4</v>
      </c>
      <c r="G8" s="169">
        <v>8</v>
      </c>
      <c r="H8" s="169" t="s">
        <v>237</v>
      </c>
      <c r="I8" s="172">
        <v>89.06</v>
      </c>
      <c r="J8" s="167">
        <f t="shared" si="0"/>
        <v>712.48</v>
      </c>
      <c r="K8" s="173">
        <f t="shared" si="1"/>
        <v>89.06</v>
      </c>
      <c r="L8" s="168">
        <f t="shared" si="2"/>
        <v>59.373333333333335</v>
      </c>
      <c r="M8" s="168">
        <f>I8*F8*2</f>
        <v>712.48</v>
      </c>
    </row>
    <row r="9" spans="1:13" ht="25.5" x14ac:dyDescent="0.25">
      <c r="A9" s="175">
        <v>6</v>
      </c>
      <c r="B9" s="175">
        <v>357042</v>
      </c>
      <c r="C9" s="186" t="s">
        <v>272</v>
      </c>
      <c r="D9" s="176" t="str">
        <f>(UPPER(C9:C12))</f>
        <v>CRACHÁ COM FOTO.</v>
      </c>
      <c r="E9" s="177" t="s">
        <v>178</v>
      </c>
      <c r="F9" s="177" t="s">
        <v>273</v>
      </c>
      <c r="G9" s="175">
        <v>4</v>
      </c>
      <c r="H9" s="164" t="s">
        <v>201</v>
      </c>
      <c r="I9" s="166">
        <v>1.88</v>
      </c>
      <c r="J9" s="167">
        <f t="shared" si="0"/>
        <v>7.52</v>
      </c>
      <c r="K9" s="178">
        <f t="shared" si="1"/>
        <v>1.88</v>
      </c>
      <c r="L9" s="168">
        <f t="shared" si="2"/>
        <v>0.62666666666666659</v>
      </c>
      <c r="M9" s="168">
        <f>I9*G9</f>
        <v>7.52</v>
      </c>
    </row>
    <row r="10" spans="1:13" x14ac:dyDescent="0.25">
      <c r="A10" s="187"/>
      <c r="B10" s="188"/>
      <c r="C10" s="188"/>
      <c r="D10" s="188"/>
      <c r="E10" s="188"/>
      <c r="F10" s="188"/>
      <c r="G10" s="188"/>
      <c r="H10" s="188"/>
      <c r="I10" s="275" t="s">
        <v>260</v>
      </c>
      <c r="J10" s="275"/>
      <c r="K10" s="275"/>
      <c r="L10" s="189">
        <f>SUM(L4:L9)</f>
        <v>180.14666666666668</v>
      </c>
      <c r="M10" s="189">
        <f>SUM(M4:M9)</f>
        <v>2161.7599999999998</v>
      </c>
    </row>
    <row r="11" spans="1:13" x14ac:dyDescent="0.25">
      <c r="A11" s="187"/>
      <c r="B11" s="188"/>
      <c r="C11" s="188"/>
      <c r="D11" s="188"/>
      <c r="E11" s="188"/>
      <c r="F11" s="188"/>
      <c r="G11" s="188"/>
      <c r="H11" s="188"/>
      <c r="I11" s="190"/>
      <c r="J11" s="276" t="s">
        <v>261</v>
      </c>
      <c r="K11" s="276"/>
      <c r="L11" s="277">
        <v>4</v>
      </c>
      <c r="M11" s="277"/>
    </row>
    <row r="12" spans="1:13" x14ac:dyDescent="0.25">
      <c r="A12" s="191"/>
      <c r="B12" s="192"/>
      <c r="C12" s="192"/>
      <c r="D12" s="192"/>
      <c r="E12" s="192"/>
      <c r="F12" s="192"/>
      <c r="G12" s="192"/>
      <c r="H12" s="192"/>
      <c r="I12" s="193"/>
      <c r="J12" s="278" t="s">
        <v>262</v>
      </c>
      <c r="K12" s="278"/>
      <c r="L12" s="279">
        <f>L10/L11</f>
        <v>45.036666666666669</v>
      </c>
      <c r="M12" s="279"/>
    </row>
  </sheetData>
  <mergeCells count="16">
    <mergeCell ref="A1:M1"/>
    <mergeCell ref="A2:A3"/>
    <mergeCell ref="B2:B3"/>
    <mergeCell ref="C2:C3"/>
    <mergeCell ref="D2:D3"/>
    <mergeCell ref="E2:E3"/>
    <mergeCell ref="F2:F3"/>
    <mergeCell ref="G2:G3"/>
    <mergeCell ref="H2:H3"/>
    <mergeCell ref="I2:J2"/>
    <mergeCell ref="K2:M2"/>
    <mergeCell ref="I10:K10"/>
    <mergeCell ref="J11:K11"/>
    <mergeCell ref="L11:M11"/>
    <mergeCell ref="J12:K12"/>
    <mergeCell ref="L12:M12"/>
  </mergeCells>
  <pageMargins left="0.51180555555555496" right="0.51180555555555496" top="0.78749999999999998" bottom="0.78749999999999998" header="0.51180555555555496" footer="0.51180555555555496"/>
  <pageSetup paperSize="9" firstPageNumber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MJ78"/>
  <sheetViews>
    <sheetView zoomScale="155" zoomScaleNormal="155" workbookViewId="0">
      <selection activeCell="A3" sqref="A3"/>
    </sheetView>
  </sheetViews>
  <sheetFormatPr defaultColWidth="9.140625" defaultRowHeight="15.75" x14ac:dyDescent="0.25"/>
  <cols>
    <col min="1" max="1" width="9.140625" style="50"/>
    <col min="2" max="2" width="72.140625" style="50" customWidth="1"/>
    <col min="3" max="3" width="18" style="50" customWidth="1"/>
    <col min="4" max="4" width="14.28515625" style="50" customWidth="1"/>
    <col min="5" max="1024" width="9.140625" style="50"/>
  </cols>
  <sheetData>
    <row r="1" spans="1:4" ht="23.25" x14ac:dyDescent="0.35">
      <c r="A1" s="256" t="s">
        <v>274</v>
      </c>
      <c r="B1" s="256"/>
      <c r="C1" s="256"/>
      <c r="D1" s="256"/>
    </row>
    <row r="2" spans="1:4" ht="64.5" customHeight="1" x14ac:dyDescent="0.25">
      <c r="A2" s="285" t="s">
        <v>275</v>
      </c>
      <c r="B2" s="285"/>
      <c r="C2" s="285"/>
      <c r="D2" s="285"/>
    </row>
    <row r="3" spans="1:4" ht="23.25" customHeight="1" x14ac:dyDescent="0.25">
      <c r="A3" s="286" t="s">
        <v>276</v>
      </c>
      <c r="B3" s="286"/>
      <c r="C3" s="286"/>
      <c r="D3" s="286"/>
    </row>
    <row r="4" spans="1:4" ht="43.5" customHeight="1" x14ac:dyDescent="0.25">
      <c r="A4" s="285" t="s">
        <v>277</v>
      </c>
      <c r="B4" s="285"/>
      <c r="C4" s="285"/>
      <c r="D4" s="285"/>
    </row>
    <row r="5" spans="1:4" ht="30.75" customHeight="1" x14ac:dyDescent="0.25">
      <c r="A5" s="287" t="s">
        <v>278</v>
      </c>
      <c r="B5" s="287"/>
      <c r="C5" s="287"/>
      <c r="D5" s="287"/>
    </row>
    <row r="6" spans="1:4" ht="47.25" customHeight="1" x14ac:dyDescent="0.25">
      <c r="A6" s="284" t="s">
        <v>279</v>
      </c>
      <c r="B6" s="284"/>
      <c r="C6" s="284"/>
      <c r="D6" s="284"/>
    </row>
    <row r="7" spans="1:4" x14ac:dyDescent="0.25">
      <c r="A7" s="250" t="s">
        <v>74</v>
      </c>
      <c r="B7" s="250"/>
      <c r="C7" s="250"/>
      <c r="D7" s="250"/>
    </row>
    <row r="8" spans="1:4" x14ac:dyDescent="0.25">
      <c r="A8" s="250" t="s">
        <v>75</v>
      </c>
      <c r="B8" s="250"/>
      <c r="C8" s="250"/>
      <c r="D8" s="250"/>
    </row>
    <row r="9" spans="1:4" x14ac:dyDescent="0.25">
      <c r="A9" s="63" t="s">
        <v>76</v>
      </c>
      <c r="B9" s="64" t="s">
        <v>77</v>
      </c>
      <c r="C9" s="64" t="s">
        <v>78</v>
      </c>
      <c r="D9" s="64" t="s">
        <v>79</v>
      </c>
    </row>
    <row r="10" spans="1:4" x14ac:dyDescent="0.25">
      <c r="A10" s="65" t="s">
        <v>61</v>
      </c>
      <c r="B10" s="66" t="s">
        <v>80</v>
      </c>
      <c r="C10" s="67">
        <f>1/12</f>
        <v>8.3333333333333329E-2</v>
      </c>
      <c r="D10" s="56"/>
    </row>
    <row r="11" spans="1:4" x14ac:dyDescent="0.25">
      <c r="A11" s="69" t="s">
        <v>63</v>
      </c>
      <c r="B11" s="70" t="s">
        <v>81</v>
      </c>
      <c r="C11" s="79">
        <v>0.121</v>
      </c>
      <c r="D11" s="56"/>
    </row>
    <row r="12" spans="1:4" ht="15.75" customHeight="1" x14ac:dyDescent="0.25">
      <c r="A12" s="234" t="s">
        <v>21</v>
      </c>
      <c r="B12" s="234"/>
      <c r="C12" s="72">
        <f>SUM(C10:C11)</f>
        <v>0.20433333333333331</v>
      </c>
      <c r="D12" s="56"/>
    </row>
    <row r="13" spans="1:4" x14ac:dyDescent="0.25">
      <c r="A13" s="61"/>
      <c r="B13" s="73" t="s">
        <v>82</v>
      </c>
      <c r="C13" s="194">
        <f>C12*C28</f>
        <v>7.5194666666666674E-2</v>
      </c>
      <c r="D13" s="56"/>
    </row>
    <row r="14" spans="1:4" x14ac:dyDescent="0.25">
      <c r="A14" s="61"/>
      <c r="B14" s="61" t="s">
        <v>83</v>
      </c>
      <c r="C14" s="72">
        <f>C12+C13</f>
        <v>0.279528</v>
      </c>
      <c r="D14" s="56"/>
    </row>
    <row r="15" spans="1:4" ht="26.25" customHeight="1" x14ac:dyDescent="0.25">
      <c r="A15" s="245" t="s">
        <v>280</v>
      </c>
      <c r="B15" s="245"/>
      <c r="C15" s="245"/>
      <c r="D15" s="245"/>
    </row>
    <row r="16" spans="1:4" ht="57" customHeight="1" x14ac:dyDescent="0.25">
      <c r="A16" s="245" t="s">
        <v>281</v>
      </c>
      <c r="B16" s="245"/>
      <c r="C16" s="245"/>
      <c r="D16" s="245"/>
    </row>
    <row r="17" spans="1:4" ht="38.25" customHeight="1" x14ac:dyDescent="0.25">
      <c r="A17" s="245" t="s">
        <v>282</v>
      </c>
      <c r="B17" s="245"/>
      <c r="C17" s="245"/>
      <c r="D17" s="245"/>
    </row>
    <row r="18" spans="1:4" ht="32.25" customHeight="1" x14ac:dyDescent="0.25">
      <c r="A18" s="240" t="s">
        <v>87</v>
      </c>
      <c r="B18" s="240"/>
      <c r="C18" s="240"/>
      <c r="D18" s="240"/>
    </row>
    <row r="19" spans="1:4" x14ac:dyDescent="0.25">
      <c r="A19" s="75" t="s">
        <v>88</v>
      </c>
      <c r="B19" s="76" t="s">
        <v>89</v>
      </c>
      <c r="C19" s="76" t="s">
        <v>78</v>
      </c>
      <c r="D19" s="76" t="s">
        <v>79</v>
      </c>
    </row>
    <row r="20" spans="1:4" x14ac:dyDescent="0.25">
      <c r="A20" s="65" t="s">
        <v>61</v>
      </c>
      <c r="B20" s="66" t="s">
        <v>90</v>
      </c>
      <c r="C20" s="67">
        <v>0.2</v>
      </c>
      <c r="D20" s="116"/>
    </row>
    <row r="21" spans="1:4" x14ac:dyDescent="0.25">
      <c r="A21" s="65" t="s">
        <v>63</v>
      </c>
      <c r="B21" s="66" t="s">
        <v>91</v>
      </c>
      <c r="C21" s="67">
        <v>2.5000000000000001E-2</v>
      </c>
      <c r="D21" s="116"/>
    </row>
    <row r="22" spans="1:4" x14ac:dyDescent="0.25">
      <c r="A22" s="65" t="s">
        <v>65</v>
      </c>
      <c r="B22" s="66" t="s">
        <v>92</v>
      </c>
      <c r="C22" s="195">
        <v>0.03</v>
      </c>
      <c r="D22" s="116"/>
    </row>
    <row r="23" spans="1:4" x14ac:dyDescent="0.25">
      <c r="A23" s="65" t="s">
        <v>67</v>
      </c>
      <c r="B23" s="66" t="s">
        <v>93</v>
      </c>
      <c r="C23" s="67">
        <v>1.4999999999999999E-2</v>
      </c>
      <c r="D23" s="116"/>
    </row>
    <row r="24" spans="1:4" x14ac:dyDescent="0.25">
      <c r="A24" s="65" t="s">
        <v>69</v>
      </c>
      <c r="B24" s="66" t="s">
        <v>94</v>
      </c>
      <c r="C24" s="67">
        <v>0.01</v>
      </c>
      <c r="D24" s="116"/>
    </row>
    <row r="25" spans="1:4" x14ac:dyDescent="0.25">
      <c r="A25" s="65" t="s">
        <v>71</v>
      </c>
      <c r="B25" s="66" t="s">
        <v>95</v>
      </c>
      <c r="C25" s="67">
        <v>6.0000000000000001E-3</v>
      </c>
      <c r="D25" s="116"/>
    </row>
    <row r="26" spans="1:4" x14ac:dyDescent="0.25">
      <c r="A26" s="65" t="s">
        <v>96</v>
      </c>
      <c r="B26" s="66" t="s">
        <v>97</v>
      </c>
      <c r="C26" s="67">
        <v>2E-3</v>
      </c>
      <c r="D26" s="116"/>
    </row>
    <row r="27" spans="1:4" x14ac:dyDescent="0.25">
      <c r="A27" s="65" t="s">
        <v>98</v>
      </c>
      <c r="B27" s="66" t="s">
        <v>99</v>
      </c>
      <c r="C27" s="67">
        <v>0.08</v>
      </c>
      <c r="D27" s="116"/>
    </row>
    <row r="28" spans="1:4" ht="15.75" customHeight="1" x14ac:dyDescent="0.25">
      <c r="A28" s="242" t="s">
        <v>100</v>
      </c>
      <c r="B28" s="242"/>
      <c r="C28" s="79">
        <f>SUM(C20:C27)</f>
        <v>0.36800000000000005</v>
      </c>
      <c r="D28" s="117"/>
    </row>
    <row r="29" spans="1:4" x14ac:dyDescent="0.25">
      <c r="A29" s="81" t="s">
        <v>101</v>
      </c>
      <c r="B29" s="82"/>
      <c r="C29" s="83"/>
      <c r="D29" s="84"/>
    </row>
    <row r="30" spans="1:4" x14ac:dyDescent="0.25">
      <c r="A30" s="85" t="s">
        <v>102</v>
      </c>
      <c r="B30" s="86"/>
      <c r="C30" s="87"/>
      <c r="D30" s="88"/>
    </row>
    <row r="31" spans="1:4" x14ac:dyDescent="0.25">
      <c r="A31" s="89" t="s">
        <v>103</v>
      </c>
      <c r="B31" s="90"/>
      <c r="C31" s="90"/>
      <c r="D31" s="91"/>
    </row>
    <row r="32" spans="1:4" ht="15.75" customHeight="1" x14ac:dyDescent="0.25">
      <c r="A32" s="243" t="s">
        <v>104</v>
      </c>
      <c r="B32" s="243"/>
      <c r="C32" s="243"/>
      <c r="D32" s="243"/>
    </row>
    <row r="33" spans="1:4" ht="15.75" customHeight="1" x14ac:dyDescent="0.25">
      <c r="A33" s="92"/>
      <c r="B33" s="92"/>
      <c r="C33" s="243" t="s">
        <v>283</v>
      </c>
      <c r="D33" s="243"/>
    </row>
    <row r="34" spans="1:4" x14ac:dyDescent="0.25">
      <c r="A34" s="61" t="s">
        <v>105</v>
      </c>
      <c r="B34" s="93" t="s">
        <v>106</v>
      </c>
      <c r="C34" s="61" t="s">
        <v>107</v>
      </c>
      <c r="D34" s="61" t="s">
        <v>79</v>
      </c>
    </row>
    <row r="35" spans="1:4" ht="15.75" customHeight="1" x14ac:dyDescent="0.25">
      <c r="A35" s="249" t="s">
        <v>61</v>
      </c>
      <c r="B35" s="94" t="s">
        <v>108</v>
      </c>
      <c r="C35" s="95">
        <v>6.05</v>
      </c>
      <c r="D35" s="68">
        <f>ROUND(C35*22*2,2)</f>
        <v>266.2</v>
      </c>
    </row>
    <row r="36" spans="1:4" ht="31.5" x14ac:dyDescent="0.25">
      <c r="A36" s="249"/>
      <c r="B36" s="97" t="s">
        <v>109</v>
      </c>
      <c r="C36" s="98">
        <v>0.06</v>
      </c>
      <c r="D36" s="57"/>
    </row>
    <row r="37" spans="1:4" x14ac:dyDescent="0.25">
      <c r="A37" s="56" t="s">
        <v>63</v>
      </c>
      <c r="B37" s="94" t="s">
        <v>110</v>
      </c>
      <c r="C37" s="95">
        <v>38</v>
      </c>
      <c r="D37" s="68">
        <f>ROUND(C37*22,2)</f>
        <v>836</v>
      </c>
    </row>
    <row r="38" spans="1:4" x14ac:dyDescent="0.25">
      <c r="A38" s="56" t="s">
        <v>65</v>
      </c>
      <c r="B38" s="99" t="s">
        <v>111</v>
      </c>
      <c r="C38" s="95"/>
      <c r="D38" s="196"/>
    </row>
    <row r="39" spans="1:4" x14ac:dyDescent="0.25">
      <c r="A39" s="56" t="s">
        <v>67</v>
      </c>
      <c r="B39" s="99" t="s">
        <v>112</v>
      </c>
      <c r="C39" s="95"/>
      <c r="D39" s="68">
        <v>11.27</v>
      </c>
    </row>
    <row r="40" spans="1:4" x14ac:dyDescent="0.25">
      <c r="A40" s="56" t="s">
        <v>69</v>
      </c>
      <c r="B40" s="99" t="s">
        <v>284</v>
      </c>
      <c r="C40" s="95"/>
      <c r="D40" s="68">
        <v>2.5</v>
      </c>
    </row>
    <row r="41" spans="1:4" x14ac:dyDescent="0.25">
      <c r="A41" s="56" t="s">
        <v>71</v>
      </c>
      <c r="B41" s="94" t="s">
        <v>72</v>
      </c>
      <c r="C41" s="95"/>
      <c r="D41" s="68">
        <v>0</v>
      </c>
    </row>
    <row r="42" spans="1:4" ht="15.75" customHeight="1" x14ac:dyDescent="0.25">
      <c r="A42" s="234" t="s">
        <v>21</v>
      </c>
      <c r="B42" s="234"/>
      <c r="C42" s="234"/>
      <c r="D42" s="68">
        <f>SUM(D35:D41)</f>
        <v>1115.97</v>
      </c>
    </row>
    <row r="43" spans="1:4" x14ac:dyDescent="0.25">
      <c r="A43" s="283" t="s">
        <v>114</v>
      </c>
      <c r="B43" s="283"/>
      <c r="C43" s="283"/>
      <c r="D43" s="283"/>
    </row>
    <row r="44" spans="1:4" ht="24" customHeight="1" x14ac:dyDescent="0.25">
      <c r="A44" s="247" t="s">
        <v>115</v>
      </c>
      <c r="B44" s="247"/>
      <c r="C44" s="247"/>
      <c r="D44" s="247"/>
    </row>
    <row r="45" spans="1:4" ht="24" customHeight="1" x14ac:dyDescent="0.25">
      <c r="A45" s="282"/>
      <c r="B45" s="282"/>
      <c r="C45" s="282"/>
      <c r="D45" s="282"/>
    </row>
    <row r="46" spans="1:4" ht="15.75" customHeight="1" x14ac:dyDescent="0.25">
      <c r="A46" s="243" t="s">
        <v>118</v>
      </c>
      <c r="B46" s="243"/>
      <c r="C46" s="243"/>
      <c r="D46" s="243"/>
    </row>
    <row r="47" spans="1:4" x14ac:dyDescent="0.25">
      <c r="A47" s="61">
        <v>3</v>
      </c>
      <c r="B47" s="61" t="s">
        <v>119</v>
      </c>
      <c r="C47" s="61" t="s">
        <v>120</v>
      </c>
      <c r="D47" s="61" t="s">
        <v>79</v>
      </c>
    </row>
    <row r="48" spans="1:4" x14ac:dyDescent="0.25">
      <c r="A48" s="56" t="s">
        <v>61</v>
      </c>
      <c r="B48" s="197" t="s">
        <v>285</v>
      </c>
      <c r="C48" s="72">
        <f>1/12*0.055</f>
        <v>4.5833333333333334E-3</v>
      </c>
      <c r="D48" s="56"/>
    </row>
    <row r="49" spans="1:4" x14ac:dyDescent="0.25">
      <c r="A49" s="56" t="s">
        <v>63</v>
      </c>
      <c r="B49" s="197" t="s">
        <v>286</v>
      </c>
      <c r="C49" s="72">
        <f>0.08*C48</f>
        <v>3.6666666666666667E-4</v>
      </c>
      <c r="D49" s="56"/>
    </row>
    <row r="50" spans="1:4" ht="24" customHeight="1" x14ac:dyDescent="0.25">
      <c r="A50" s="56" t="s">
        <v>65</v>
      </c>
      <c r="B50" s="94" t="s">
        <v>287</v>
      </c>
      <c r="C50" s="72">
        <f>(0.08*0.4*0.9*(1+5/56+5/56+1/3*5/56))</f>
        <v>3.4799999999999998E-2</v>
      </c>
      <c r="D50" s="56"/>
    </row>
    <row r="51" spans="1:4" x14ac:dyDescent="0.25">
      <c r="A51" s="56" t="s">
        <v>67</v>
      </c>
      <c r="B51" s="197" t="s">
        <v>288</v>
      </c>
      <c r="C51" s="72">
        <f>(7/30/12)</f>
        <v>1.9444444444444445E-2</v>
      </c>
      <c r="D51" s="56"/>
    </row>
    <row r="52" spans="1:4" x14ac:dyDescent="0.25">
      <c r="A52" s="56" t="s">
        <v>69</v>
      </c>
      <c r="B52" s="197" t="s">
        <v>289</v>
      </c>
      <c r="C52" s="72">
        <f>C28*C51</f>
        <v>7.1555555555555565E-3</v>
      </c>
      <c r="D52" s="56"/>
    </row>
    <row r="53" spans="1:4" x14ac:dyDescent="0.25">
      <c r="A53" s="56" t="s">
        <v>71</v>
      </c>
      <c r="B53" s="197" t="s">
        <v>290</v>
      </c>
      <c r="C53" s="107">
        <f>(40%*8%*C51)</f>
        <v>6.2222222222222225E-4</v>
      </c>
      <c r="D53" s="56"/>
    </row>
    <row r="54" spans="1:4" ht="15.75" customHeight="1" x14ac:dyDescent="0.25">
      <c r="A54" s="234" t="s">
        <v>21</v>
      </c>
      <c r="B54" s="234"/>
      <c r="C54" s="72">
        <f>SUM(C48:C53)</f>
        <v>6.6972222222222225E-2</v>
      </c>
      <c r="D54" s="56"/>
    </row>
    <row r="55" spans="1:4" ht="76.5" customHeight="1" x14ac:dyDescent="0.25">
      <c r="A55" s="245" t="s">
        <v>291</v>
      </c>
      <c r="B55" s="245"/>
      <c r="C55" s="245"/>
      <c r="D55" s="245"/>
    </row>
    <row r="56" spans="1:4" ht="28.5" customHeight="1" x14ac:dyDescent="0.25">
      <c r="A56" s="243" t="s">
        <v>121</v>
      </c>
      <c r="B56" s="243"/>
      <c r="C56" s="243"/>
      <c r="D56" s="243"/>
    </row>
    <row r="57" spans="1:4" ht="28.5" customHeight="1" x14ac:dyDescent="0.25">
      <c r="A57" s="240" t="s">
        <v>122</v>
      </c>
      <c r="B57" s="240"/>
      <c r="C57" s="240"/>
      <c r="D57" s="240"/>
    </row>
    <row r="58" spans="1:4" ht="28.5" customHeight="1" x14ac:dyDescent="0.25">
      <c r="A58" s="75" t="s">
        <v>123</v>
      </c>
      <c r="B58" s="76" t="s">
        <v>124</v>
      </c>
      <c r="C58" s="76" t="s">
        <v>120</v>
      </c>
      <c r="D58" s="76" t="s">
        <v>79</v>
      </c>
    </row>
    <row r="59" spans="1:4" ht="28.5" customHeight="1" x14ac:dyDescent="0.25">
      <c r="A59" s="65" t="s">
        <v>61</v>
      </c>
      <c r="B59" s="66" t="s">
        <v>125</v>
      </c>
      <c r="C59" s="109">
        <f>1/12</f>
        <v>8.3333333333333329E-2</v>
      </c>
      <c r="D59" s="111"/>
    </row>
    <row r="60" spans="1:4" ht="28.5" customHeight="1" x14ac:dyDescent="0.25">
      <c r="A60" s="65" t="s">
        <v>63</v>
      </c>
      <c r="B60" s="66" t="s">
        <v>126</v>
      </c>
      <c r="C60" s="109">
        <v>2.8E-3</v>
      </c>
      <c r="D60" s="111"/>
    </row>
    <row r="61" spans="1:4" ht="28.5" customHeight="1" x14ac:dyDescent="0.25">
      <c r="A61" s="65" t="s">
        <v>65</v>
      </c>
      <c r="B61" s="66" t="s">
        <v>127</v>
      </c>
      <c r="C61" s="109">
        <v>4.0000000000000002E-4</v>
      </c>
      <c r="D61" s="111"/>
    </row>
    <row r="62" spans="1:4" ht="28.5" customHeight="1" x14ac:dyDescent="0.25">
      <c r="A62" s="65" t="s">
        <v>67</v>
      </c>
      <c r="B62" s="66" t="s">
        <v>128</v>
      </c>
      <c r="C62" s="109">
        <v>2.7000000000000001E-3</v>
      </c>
      <c r="D62" s="111"/>
    </row>
    <row r="63" spans="1:4" ht="28.5" customHeight="1" x14ac:dyDescent="0.25">
      <c r="A63" s="65" t="s">
        <v>69</v>
      </c>
      <c r="B63" s="66" t="s">
        <v>129</v>
      </c>
      <c r="C63" s="109">
        <v>2.9999999999999997E-4</v>
      </c>
      <c r="D63" s="111"/>
    </row>
    <row r="64" spans="1:4" ht="28.5" customHeight="1" x14ac:dyDescent="0.25">
      <c r="A64" s="65" t="s">
        <v>71</v>
      </c>
      <c r="B64" s="66" t="s">
        <v>130</v>
      </c>
      <c r="C64" s="109">
        <v>0</v>
      </c>
      <c r="D64" s="111"/>
    </row>
    <row r="65" spans="1:4" ht="28.5" customHeight="1" x14ac:dyDescent="0.25">
      <c r="A65" s="242" t="s">
        <v>100</v>
      </c>
      <c r="B65" s="242"/>
      <c r="C65" s="110">
        <f>SUM(C59:C64)</f>
        <v>8.9533333333333312E-2</v>
      </c>
      <c r="D65" s="112"/>
    </row>
    <row r="66" spans="1:4" ht="16.5" customHeight="1" x14ac:dyDescent="0.25">
      <c r="A66" s="243" t="s">
        <v>146</v>
      </c>
      <c r="B66" s="243"/>
      <c r="C66" s="243"/>
      <c r="D66" s="243"/>
    </row>
    <row r="67" spans="1:4" x14ac:dyDescent="0.25">
      <c r="A67" s="61">
        <v>6</v>
      </c>
      <c r="B67" s="93" t="s">
        <v>147</v>
      </c>
      <c r="C67" s="61" t="s">
        <v>78</v>
      </c>
      <c r="D67" s="61" t="s">
        <v>79</v>
      </c>
    </row>
    <row r="68" spans="1:4" x14ac:dyDescent="0.25">
      <c r="A68" s="56" t="s">
        <v>61</v>
      </c>
      <c r="B68" s="94" t="s">
        <v>148</v>
      </c>
      <c r="C68" s="72">
        <f>Média_Índices_Lucro_e_CI!Q25</f>
        <v>4.0183333333333335E-2</v>
      </c>
      <c r="D68" s="56"/>
    </row>
    <row r="69" spans="1:4" x14ac:dyDescent="0.25">
      <c r="A69" s="56" t="s">
        <v>63</v>
      </c>
      <c r="B69" s="94" t="s">
        <v>149</v>
      </c>
      <c r="C69" s="72">
        <f>Média_Índices_Lucro_e_CI!Q26</f>
        <v>4.5119999999999993E-2</v>
      </c>
      <c r="D69" s="56"/>
    </row>
    <row r="70" spans="1:4" x14ac:dyDescent="0.25">
      <c r="A70" s="56"/>
      <c r="B70" s="56" t="s">
        <v>150</v>
      </c>
      <c r="C70" s="72">
        <f>SUM(C68:C69)</f>
        <v>8.5303333333333328E-2</v>
      </c>
      <c r="D70" s="56"/>
    </row>
    <row r="71" spans="1:4" x14ac:dyDescent="0.25">
      <c r="A71" s="56" t="s">
        <v>65</v>
      </c>
      <c r="B71" s="94" t="s">
        <v>151</v>
      </c>
      <c r="C71" s="121"/>
      <c r="D71" s="56"/>
    </row>
    <row r="72" spans="1:4" x14ac:dyDescent="0.25">
      <c r="A72" s="56"/>
      <c r="B72" s="122" t="s">
        <v>152</v>
      </c>
      <c r="C72" s="72">
        <v>6.4999999999999997E-3</v>
      </c>
      <c r="D72" s="56"/>
    </row>
    <row r="73" spans="1:4" x14ac:dyDescent="0.25">
      <c r="A73" s="56"/>
      <c r="B73" s="122" t="s">
        <v>153</v>
      </c>
      <c r="C73" s="56">
        <v>0.03</v>
      </c>
      <c r="D73" s="56"/>
    </row>
    <row r="74" spans="1:4" x14ac:dyDescent="0.25">
      <c r="A74" s="56"/>
      <c r="B74" s="122" t="s">
        <v>154</v>
      </c>
      <c r="C74" s="56">
        <v>0.05</v>
      </c>
      <c r="D74" s="56"/>
    </row>
    <row r="75" spans="1:4" x14ac:dyDescent="0.25">
      <c r="A75" s="56"/>
      <c r="B75" s="56" t="s">
        <v>155</v>
      </c>
      <c r="C75" s="72">
        <f>SUM(C72:C74)</f>
        <v>8.6499999999999994E-2</v>
      </c>
      <c r="D75" s="56"/>
    </row>
    <row r="76" spans="1:4" ht="15.75" customHeight="1" x14ac:dyDescent="0.25">
      <c r="A76" s="234" t="s">
        <v>100</v>
      </c>
      <c r="B76" s="234"/>
      <c r="C76" s="72">
        <f>C75+C70</f>
        <v>0.17180333333333331</v>
      </c>
      <c r="D76" s="56"/>
    </row>
    <row r="77" spans="1:4" ht="42" customHeight="1" x14ac:dyDescent="0.25">
      <c r="A77" s="281" t="s">
        <v>292</v>
      </c>
      <c r="B77" s="281"/>
      <c r="C77" s="281"/>
      <c r="D77" s="281"/>
    </row>
    <row r="78" spans="1:4" x14ac:dyDescent="0.25">
      <c r="A78" s="239" t="s">
        <v>156</v>
      </c>
      <c r="B78" s="239"/>
      <c r="C78" s="239"/>
      <c r="D78" s="239"/>
    </row>
  </sheetData>
  <mergeCells count="31">
    <mergeCell ref="A1:D1"/>
    <mergeCell ref="A2:D2"/>
    <mergeCell ref="A3:D3"/>
    <mergeCell ref="A4:D4"/>
    <mergeCell ref="A5:D5"/>
    <mergeCell ref="A6:D6"/>
    <mergeCell ref="A7:D7"/>
    <mergeCell ref="A8:D8"/>
    <mergeCell ref="A12:B12"/>
    <mergeCell ref="A15:D15"/>
    <mergeCell ref="A16:D16"/>
    <mergeCell ref="A17:D17"/>
    <mergeCell ref="A18:D18"/>
    <mergeCell ref="A28:B28"/>
    <mergeCell ref="A32:D32"/>
    <mergeCell ref="C33:D33"/>
    <mergeCell ref="A35:A36"/>
    <mergeCell ref="A42:C42"/>
    <mergeCell ref="A43:D43"/>
    <mergeCell ref="A44:D44"/>
    <mergeCell ref="A45:D45"/>
    <mergeCell ref="A46:D46"/>
    <mergeCell ref="A54:B54"/>
    <mergeCell ref="A55:D55"/>
    <mergeCell ref="A56:D56"/>
    <mergeCell ref="A78:D78"/>
    <mergeCell ref="A57:D57"/>
    <mergeCell ref="A65:B65"/>
    <mergeCell ref="A66:D66"/>
    <mergeCell ref="A76:B76"/>
    <mergeCell ref="A77:D77"/>
  </mergeCells>
  <printOptions horizontalCentered="1" verticalCentered="1"/>
  <pageMargins left="0.31527777777777799" right="0.118055555555556" top="0.196527777777778" bottom="0.196527777777778" header="0.51180555555555496" footer="0.51180555555555496"/>
  <pageSetup paperSize="9" scale="48" firstPageNumber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MJ35"/>
  <sheetViews>
    <sheetView topLeftCell="A22" zoomScale="155" zoomScaleNormal="155" workbookViewId="0">
      <selection activeCell="B7" sqref="B7"/>
    </sheetView>
  </sheetViews>
  <sheetFormatPr defaultColWidth="9.140625" defaultRowHeight="15.75" x14ac:dyDescent="0.25"/>
  <cols>
    <col min="1" max="1" width="9.140625" style="50"/>
    <col min="2" max="2" width="72.140625" style="50" customWidth="1"/>
    <col min="3" max="3" width="16.5703125" style="50" customWidth="1"/>
    <col min="4" max="4" width="18" style="50" customWidth="1"/>
    <col min="5" max="5" width="14" style="50" customWidth="1"/>
    <col min="6" max="17" width="9.140625" style="50"/>
    <col min="18" max="18" width="12.140625" style="50" customWidth="1"/>
    <col min="19" max="1024" width="9.140625" style="50"/>
  </cols>
  <sheetData>
    <row r="1" spans="1:18" ht="23.25" x14ac:dyDescent="0.35">
      <c r="A1" s="289" t="s">
        <v>293</v>
      </c>
      <c r="B1" s="289"/>
      <c r="C1" s="289"/>
      <c r="D1" s="289"/>
    </row>
    <row r="2" spans="1:18" ht="23.25" x14ac:dyDescent="0.35">
      <c r="A2" s="256" t="s">
        <v>294</v>
      </c>
      <c r="B2" s="256"/>
      <c r="C2" s="256"/>
      <c r="D2" s="256"/>
      <c r="E2" s="256"/>
      <c r="F2" s="256"/>
      <c r="G2" s="256"/>
      <c r="H2" s="256"/>
      <c r="I2" s="256"/>
      <c r="J2" s="256"/>
      <c r="K2" s="256"/>
    </row>
    <row r="3" spans="1:18" ht="27.6" customHeight="1" x14ac:dyDescent="0.25">
      <c r="A3" s="243" t="s">
        <v>118</v>
      </c>
      <c r="B3" s="243"/>
      <c r="C3" s="198" t="s">
        <v>295</v>
      </c>
      <c r="D3" s="198" t="s">
        <v>296</v>
      </c>
      <c r="E3" s="92" t="s">
        <v>297</v>
      </c>
      <c r="F3" s="92" t="s">
        <v>298</v>
      </c>
      <c r="G3" s="92" t="s">
        <v>299</v>
      </c>
      <c r="H3" s="92" t="s">
        <v>300</v>
      </c>
      <c r="I3" s="92" t="s">
        <v>301</v>
      </c>
      <c r="J3" s="92" t="s">
        <v>302</v>
      </c>
      <c r="K3" s="92" t="s">
        <v>303</v>
      </c>
      <c r="L3" s="92" t="s">
        <v>304</v>
      </c>
      <c r="M3" s="92" t="s">
        <v>305</v>
      </c>
      <c r="N3" s="92" t="s">
        <v>306</v>
      </c>
      <c r="O3" s="92" t="s">
        <v>307</v>
      </c>
      <c r="P3" s="92" t="s">
        <v>308</v>
      </c>
      <c r="Q3" s="199" t="s">
        <v>309</v>
      </c>
      <c r="R3" s="200" t="s">
        <v>310</v>
      </c>
    </row>
    <row r="4" spans="1:18" x14ac:dyDescent="0.25">
      <c r="A4" s="61">
        <v>3</v>
      </c>
      <c r="B4" s="61" t="s">
        <v>119</v>
      </c>
      <c r="C4" s="198" t="s">
        <v>120</v>
      </c>
      <c r="D4" s="198" t="s">
        <v>120</v>
      </c>
      <c r="E4" s="61" t="s">
        <v>120</v>
      </c>
      <c r="F4" s="61" t="s">
        <v>120</v>
      </c>
      <c r="G4" s="61" t="s">
        <v>120</v>
      </c>
      <c r="H4" s="61" t="s">
        <v>120</v>
      </c>
      <c r="I4" s="61" t="s">
        <v>120</v>
      </c>
      <c r="J4" s="61" t="s">
        <v>120</v>
      </c>
      <c r="K4" s="61" t="s">
        <v>120</v>
      </c>
      <c r="L4" s="61" t="s">
        <v>120</v>
      </c>
      <c r="M4" s="61" t="s">
        <v>120</v>
      </c>
      <c r="N4" s="61" t="s">
        <v>120</v>
      </c>
      <c r="O4" s="61" t="s">
        <v>120</v>
      </c>
      <c r="P4" s="61" t="s">
        <v>120</v>
      </c>
      <c r="Q4" s="199" t="s">
        <v>120</v>
      </c>
      <c r="R4" s="200" t="s">
        <v>120</v>
      </c>
    </row>
    <row r="5" spans="1:18" x14ac:dyDescent="0.25">
      <c r="A5" s="56" t="s">
        <v>61</v>
      </c>
      <c r="B5" s="197" t="s">
        <v>311</v>
      </c>
      <c r="C5" s="201">
        <v>4.1999999999999997E-3</v>
      </c>
      <c r="D5" s="201">
        <v>4.1999999999999997E-3</v>
      </c>
      <c r="E5" s="72">
        <v>4.1999999999999997E-3</v>
      </c>
      <c r="F5" s="72">
        <v>4.1999999999999997E-3</v>
      </c>
      <c r="G5" s="72">
        <v>4.5999999999999999E-3</v>
      </c>
      <c r="H5" s="72">
        <v>4.1999999999999997E-3</v>
      </c>
      <c r="I5" s="72">
        <v>8.3000000000000001E-3</v>
      </c>
      <c r="J5" s="72">
        <v>4.1999999999999997E-3</v>
      </c>
      <c r="K5" s="72">
        <v>4.1999999999999997E-3</v>
      </c>
      <c r="L5" s="72">
        <v>4.1999999999999997E-3</v>
      </c>
      <c r="M5" s="72">
        <v>4.1999999999999997E-3</v>
      </c>
      <c r="N5" s="72">
        <v>4.1999999999999997E-3</v>
      </c>
      <c r="O5" s="72">
        <v>4.1999999999999997E-3</v>
      </c>
      <c r="P5" s="72">
        <v>4.1999999999999997E-3</v>
      </c>
      <c r="Q5" s="202">
        <f t="shared" ref="Q5:Q11" si="0">AVERAGE(E5:P5)</f>
        <v>4.5750000000000009E-3</v>
      </c>
      <c r="R5" s="203">
        <f t="shared" ref="R5:R11" si="1">MEDIAN(E5:P5)</f>
        <v>4.1999999999999997E-3</v>
      </c>
    </row>
    <row r="6" spans="1:18" x14ac:dyDescent="0.25">
      <c r="A6" s="56" t="s">
        <v>63</v>
      </c>
      <c r="B6" s="197" t="s">
        <v>312</v>
      </c>
      <c r="C6" s="201">
        <v>2.9999999999999997E-4</v>
      </c>
      <c r="D6" s="201">
        <v>2.9999999999999997E-4</v>
      </c>
      <c r="E6" s="72">
        <v>2.9999999999999997E-4</v>
      </c>
      <c r="F6" s="72">
        <v>2.9999999999999997E-4</v>
      </c>
      <c r="G6" s="72">
        <v>4.0000000000000002E-4</v>
      </c>
      <c r="H6" s="72">
        <v>2.9999999999999997E-4</v>
      </c>
      <c r="I6" s="72">
        <v>6.9999999999999999E-4</v>
      </c>
      <c r="J6" s="72">
        <v>0</v>
      </c>
      <c r="K6" s="72">
        <v>2.9999999999999997E-4</v>
      </c>
      <c r="L6" s="72">
        <v>2.9999999999999997E-4</v>
      </c>
      <c r="M6" s="72">
        <v>2.9999999999999997E-4</v>
      </c>
      <c r="N6" s="72">
        <v>2.9999999999999997E-4</v>
      </c>
      <c r="O6" s="72">
        <v>2.9999999999999997E-4</v>
      </c>
      <c r="P6" s="72">
        <v>2.9999999999999997E-4</v>
      </c>
      <c r="Q6" s="202">
        <f t="shared" si="0"/>
        <v>3.1666666666666665E-4</v>
      </c>
      <c r="R6" s="203">
        <f t="shared" si="1"/>
        <v>2.9999999999999997E-4</v>
      </c>
    </row>
    <row r="7" spans="1:18" ht="29.85" customHeight="1" x14ac:dyDescent="0.25">
      <c r="A7" s="56" t="s">
        <v>65</v>
      </c>
      <c r="B7" s="94" t="s">
        <v>287</v>
      </c>
      <c r="C7" s="201">
        <v>3.4799999999999998E-2</v>
      </c>
      <c r="D7" s="201">
        <v>0.05</v>
      </c>
      <c r="E7" s="72">
        <v>4.3499999999999997E-2</v>
      </c>
      <c r="F7" s="72">
        <v>1.6000000000000001E-3</v>
      </c>
      <c r="G7" s="72">
        <v>6.0000000000000001E-3</v>
      </c>
      <c r="H7" s="72">
        <v>8.0000000000000002E-3</v>
      </c>
      <c r="I7" s="72">
        <v>0</v>
      </c>
      <c r="J7" s="72">
        <v>0.02</v>
      </c>
      <c r="K7" s="72">
        <v>1.72E-2</v>
      </c>
      <c r="L7" s="72">
        <v>3.2000000000000001E-2</v>
      </c>
      <c r="M7" s="72">
        <v>4.3499999999999997E-2</v>
      </c>
      <c r="N7" s="72">
        <v>1.9300000000000001E-2</v>
      </c>
      <c r="O7" s="72">
        <v>2.9999999999999997E-4</v>
      </c>
      <c r="P7" s="72">
        <v>0.02</v>
      </c>
      <c r="Q7" s="202">
        <f t="shared" si="0"/>
        <v>1.7616666666666666E-2</v>
      </c>
      <c r="R7" s="203">
        <f t="shared" si="1"/>
        <v>1.8250000000000002E-2</v>
      </c>
    </row>
    <row r="8" spans="1:18" x14ac:dyDescent="0.25">
      <c r="A8" s="56" t="s">
        <v>67</v>
      </c>
      <c r="B8" s="197" t="s">
        <v>313</v>
      </c>
      <c r="C8" s="201">
        <v>4.0000000000000002E-4</v>
      </c>
      <c r="D8" s="201">
        <v>4.0000000000000002E-4</v>
      </c>
      <c r="E8" s="72">
        <v>1.9400000000000001E-2</v>
      </c>
      <c r="F8" s="72">
        <v>1.9400000000000001E-2</v>
      </c>
      <c r="G8" s="72">
        <v>1.9400000000000001E-2</v>
      </c>
      <c r="H8" s="72">
        <v>1.9400000000000001E-2</v>
      </c>
      <c r="I8" s="72">
        <v>1.7500000000000002E-2</v>
      </c>
      <c r="J8" s="72">
        <v>0</v>
      </c>
      <c r="K8" s="72">
        <v>1.9400000000000001E-2</v>
      </c>
      <c r="L8" s="72">
        <v>1.9E-3</v>
      </c>
      <c r="M8" s="72">
        <v>1.9400000000000001E-2</v>
      </c>
      <c r="N8" s="72">
        <v>2.8999999999999998E-3</v>
      </c>
      <c r="O8" s="72">
        <v>1.9400000000000001E-2</v>
      </c>
      <c r="P8" s="72">
        <v>1.9400000000000001E-2</v>
      </c>
      <c r="Q8" s="202">
        <f t="shared" si="0"/>
        <v>1.4791666666666667E-2</v>
      </c>
      <c r="R8" s="203">
        <f t="shared" si="1"/>
        <v>1.9400000000000001E-2</v>
      </c>
    </row>
    <row r="9" spans="1:18" x14ac:dyDescent="0.25">
      <c r="A9" s="56" t="s">
        <v>69</v>
      </c>
      <c r="B9" s="197" t="s">
        <v>289</v>
      </c>
      <c r="C9" s="204">
        <f>0.358*C8</f>
        <v>1.4320000000000001E-4</v>
      </c>
      <c r="D9" s="201">
        <f>0.358*D8</f>
        <v>1.4320000000000001E-4</v>
      </c>
      <c r="E9" s="72">
        <v>7.0000000000000001E-3</v>
      </c>
      <c r="F9" s="72">
        <v>2.8999999999999998E-3</v>
      </c>
      <c r="G9" s="72">
        <v>7.0000000000000001E-3</v>
      </c>
      <c r="H9" s="72">
        <v>2.8999999999999998E-3</v>
      </c>
      <c r="I9" s="72">
        <v>2.5000000000000001E-3</v>
      </c>
      <c r="J9" s="72">
        <v>0</v>
      </c>
      <c r="K9" s="72">
        <v>2.8999999999999998E-3</v>
      </c>
      <c r="L9" s="72"/>
      <c r="M9" s="72">
        <v>7.0000000000000001E-3</v>
      </c>
      <c r="N9" s="72">
        <v>1E-3</v>
      </c>
      <c r="O9" s="72">
        <v>3.2000000000000002E-3</v>
      </c>
      <c r="P9" s="72">
        <v>6.8599999999999998E-3</v>
      </c>
      <c r="Q9" s="202">
        <f t="shared" si="0"/>
        <v>3.9327272727272726E-3</v>
      </c>
      <c r="R9" s="203">
        <f t="shared" si="1"/>
        <v>2.8999999999999998E-3</v>
      </c>
    </row>
    <row r="10" spans="1:18" x14ac:dyDescent="0.25">
      <c r="A10" s="56" t="s">
        <v>71</v>
      </c>
      <c r="B10" s="197" t="s">
        <v>290</v>
      </c>
      <c r="C10" s="205">
        <v>5.1999999999999998E-3</v>
      </c>
      <c r="D10" s="201">
        <v>1E-4</v>
      </c>
      <c r="E10" s="107">
        <v>0.04</v>
      </c>
      <c r="F10" s="107">
        <v>3.2000000000000001E-2</v>
      </c>
      <c r="G10" s="107">
        <v>3.4000000000000002E-2</v>
      </c>
      <c r="H10" s="107">
        <v>3.2000000000000001E-2</v>
      </c>
      <c r="I10" s="107">
        <v>3.8199999999999998E-2</v>
      </c>
      <c r="J10" s="107">
        <v>0.02</v>
      </c>
      <c r="K10" s="107">
        <v>1.72E-2</v>
      </c>
      <c r="L10" s="107">
        <v>3.2000000000000001E-2</v>
      </c>
      <c r="M10" s="107">
        <v>0.04</v>
      </c>
      <c r="N10" s="107">
        <v>1.9300000000000001E-2</v>
      </c>
      <c r="O10" s="107">
        <v>1.2999999999999999E-3</v>
      </c>
      <c r="P10" s="107">
        <v>0.02</v>
      </c>
      <c r="Q10" s="202">
        <f t="shared" si="0"/>
        <v>2.7166666666666669E-2</v>
      </c>
      <c r="R10" s="203">
        <f t="shared" si="1"/>
        <v>3.2000000000000001E-2</v>
      </c>
    </row>
    <row r="11" spans="1:18" ht="15.75" customHeight="1" x14ac:dyDescent="0.25">
      <c r="A11" s="234" t="s">
        <v>21</v>
      </c>
      <c r="B11" s="234"/>
      <c r="C11" s="206">
        <f t="shared" ref="C11:H11" si="2">SUM(C5:C10)</f>
        <v>4.5043199999999992E-2</v>
      </c>
      <c r="D11" s="207">
        <f t="shared" si="2"/>
        <v>5.5143200000000003E-2</v>
      </c>
      <c r="E11" s="208">
        <f t="shared" si="2"/>
        <v>0.1144</v>
      </c>
      <c r="F11" s="208">
        <f t="shared" si="2"/>
        <v>6.0400000000000002E-2</v>
      </c>
      <c r="G11" s="208">
        <f t="shared" si="2"/>
        <v>7.1400000000000005E-2</v>
      </c>
      <c r="H11" s="208">
        <f t="shared" si="2"/>
        <v>6.6799999999999998E-2</v>
      </c>
      <c r="I11" s="208"/>
      <c r="J11" s="208">
        <f>SUM(J5:J10)</f>
        <v>4.4200000000000003E-2</v>
      </c>
      <c r="K11" s="208">
        <f>SUM(K5:K10)</f>
        <v>6.1199999999999997E-2</v>
      </c>
      <c r="L11" s="208"/>
      <c r="M11" s="208">
        <f>SUM(M5:M10)</f>
        <v>0.1144</v>
      </c>
      <c r="N11" s="208"/>
      <c r="O11" s="208">
        <f>SUM(O5:O10)</f>
        <v>2.87E-2</v>
      </c>
      <c r="P11" s="208">
        <f>SUM(P5:P10)</f>
        <v>7.0760000000000003E-2</v>
      </c>
      <c r="Q11" s="202">
        <f t="shared" si="0"/>
        <v>7.0251111111111111E-2</v>
      </c>
      <c r="R11" s="203">
        <f t="shared" si="1"/>
        <v>6.6799999999999998E-2</v>
      </c>
    </row>
    <row r="12" spans="1:18" ht="24.6" customHeight="1" x14ac:dyDescent="0.25">
      <c r="A12" s="290" t="s">
        <v>314</v>
      </c>
      <c r="B12" s="290"/>
      <c r="C12" s="209"/>
      <c r="D12" s="209"/>
      <c r="E12" s="210"/>
      <c r="F12" s="210"/>
      <c r="G12" s="210"/>
      <c r="H12" s="210"/>
      <c r="I12" s="210"/>
      <c r="J12" s="210"/>
      <c r="K12" s="210"/>
      <c r="L12" s="210"/>
      <c r="M12" s="210"/>
      <c r="N12" s="210"/>
      <c r="O12" s="210"/>
      <c r="P12" s="211"/>
      <c r="Q12" s="202"/>
      <c r="R12" s="203"/>
    </row>
    <row r="13" spans="1:18" ht="15.75" customHeight="1" x14ac:dyDescent="0.25">
      <c r="A13" s="243" t="s">
        <v>121</v>
      </c>
      <c r="B13" s="243"/>
      <c r="C13" s="212"/>
      <c r="D13" s="212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02"/>
      <c r="R13" s="203"/>
    </row>
    <row r="14" spans="1:18" ht="15.75" customHeight="1" x14ac:dyDescent="0.25">
      <c r="A14" s="243" t="s">
        <v>122</v>
      </c>
      <c r="B14" s="243"/>
      <c r="C14" s="214"/>
      <c r="D14" s="214"/>
      <c r="E14" s="215"/>
      <c r="F14" s="215"/>
      <c r="G14" s="215"/>
      <c r="H14" s="215"/>
      <c r="I14" s="215"/>
      <c r="J14" s="215"/>
      <c r="K14" s="215"/>
      <c r="L14" s="215"/>
      <c r="M14" s="215"/>
      <c r="N14" s="215"/>
      <c r="O14" s="215"/>
      <c r="P14" s="215"/>
      <c r="Q14" s="202"/>
      <c r="R14" s="203"/>
    </row>
    <row r="15" spans="1:18" x14ac:dyDescent="0.25">
      <c r="A15" s="61" t="s">
        <v>123</v>
      </c>
      <c r="B15" s="61" t="s">
        <v>124</v>
      </c>
      <c r="C15" s="198" t="s">
        <v>120</v>
      </c>
      <c r="D15" s="198" t="s">
        <v>120</v>
      </c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202"/>
      <c r="R15" s="203"/>
    </row>
    <row r="16" spans="1:18" x14ac:dyDescent="0.25">
      <c r="A16" s="56" t="s">
        <v>61</v>
      </c>
      <c r="B16" s="94" t="s">
        <v>125</v>
      </c>
      <c r="C16" s="201">
        <v>0.1111</v>
      </c>
      <c r="D16" s="201">
        <v>0.121</v>
      </c>
      <c r="E16" s="216">
        <v>8.3299999999999999E-2</v>
      </c>
      <c r="F16" s="216">
        <v>0</v>
      </c>
      <c r="G16" s="216">
        <v>9.2999999999999992E-3</v>
      </c>
      <c r="H16" s="216">
        <v>9.2999999999999992E-3</v>
      </c>
      <c r="I16" s="216">
        <v>2.7799999999999998E-2</v>
      </c>
      <c r="J16" s="216">
        <v>0</v>
      </c>
      <c r="K16" s="216">
        <v>8.3299999999999999E-2</v>
      </c>
      <c r="L16" s="216">
        <v>8.3299999999999999E-2</v>
      </c>
      <c r="M16" s="216">
        <v>8.3299999999999999E-2</v>
      </c>
      <c r="N16" s="216">
        <v>9.0899999999999995E-2</v>
      </c>
      <c r="O16" s="216">
        <v>9.9400000000000002E-2</v>
      </c>
      <c r="P16" s="216">
        <v>9.2599999999999991E-3</v>
      </c>
      <c r="Q16" s="202">
        <f>AVERAGE(E16:P16)</f>
        <v>4.8263333333333332E-2</v>
      </c>
      <c r="R16" s="203">
        <f>MEDIAN(E16:P16)</f>
        <v>5.5550000000000002E-2</v>
      </c>
    </row>
    <row r="17" spans="1:18" x14ac:dyDescent="0.25">
      <c r="A17" s="56" t="s">
        <v>63</v>
      </c>
      <c r="B17" s="94" t="s">
        <v>126</v>
      </c>
      <c r="C17" s="201">
        <v>1.66E-2</v>
      </c>
      <c r="D17" s="201">
        <v>1.66E-2</v>
      </c>
      <c r="E17" s="216">
        <v>2.8E-3</v>
      </c>
      <c r="F17" s="216">
        <v>0</v>
      </c>
      <c r="G17" s="216">
        <v>2.8E-3</v>
      </c>
      <c r="H17" s="216">
        <v>2.8E-3</v>
      </c>
      <c r="I17" s="216">
        <v>2.8E-3</v>
      </c>
      <c r="J17" s="216">
        <v>0</v>
      </c>
      <c r="K17" s="216">
        <v>2.8E-3</v>
      </c>
      <c r="L17" s="216">
        <v>2.8E-3</v>
      </c>
      <c r="M17" s="216">
        <v>5.0000000000000001E-3</v>
      </c>
      <c r="N17" s="216">
        <v>1.1000000000000001E-3</v>
      </c>
      <c r="O17" s="216">
        <v>1.52E-2</v>
      </c>
      <c r="P17" s="216">
        <v>2.7799999999999999E-3</v>
      </c>
      <c r="Q17" s="202">
        <f>AVERAGE(E17:P17)</f>
        <v>3.4066666666666668E-3</v>
      </c>
      <c r="R17" s="203">
        <f>MEDIAN(E17:P17)</f>
        <v>2.8E-3</v>
      </c>
    </row>
    <row r="18" spans="1:18" x14ac:dyDescent="0.25">
      <c r="A18" s="56" t="s">
        <v>65</v>
      </c>
      <c r="B18" s="94" t="s">
        <v>127</v>
      </c>
      <c r="C18" s="201">
        <v>0</v>
      </c>
      <c r="D18" s="201">
        <v>0</v>
      </c>
      <c r="E18" s="216">
        <v>2.0000000000000001E-4</v>
      </c>
      <c r="F18" s="216">
        <v>0</v>
      </c>
      <c r="G18" s="216">
        <v>2.0000000000000001E-4</v>
      </c>
      <c r="H18" s="216">
        <v>2.9999999999999997E-4</v>
      </c>
      <c r="I18" s="216">
        <v>2.0000000000000001E-4</v>
      </c>
      <c r="J18" s="216">
        <v>0</v>
      </c>
      <c r="K18" s="216">
        <v>2.0000000000000001E-4</v>
      </c>
      <c r="L18" s="216">
        <v>8.0000000000000004E-4</v>
      </c>
      <c r="M18" s="216">
        <v>2.8E-3</v>
      </c>
      <c r="N18" s="216">
        <v>5.9999999999999995E-4</v>
      </c>
      <c r="O18" s="216">
        <v>2.0000000000000001E-4</v>
      </c>
      <c r="P18" s="216">
        <v>2.1000000000000001E-4</v>
      </c>
      <c r="Q18" s="202">
        <f>AVERAGE(E18:P18)</f>
        <v>4.7583333333333332E-4</v>
      </c>
      <c r="R18" s="203">
        <f>MEDIAN(E18:P18)</f>
        <v>2.0000000000000001E-4</v>
      </c>
    </row>
    <row r="19" spans="1:18" x14ac:dyDescent="0.25">
      <c r="A19" s="56" t="s">
        <v>67</v>
      </c>
      <c r="B19" s="94" t="s">
        <v>128</v>
      </c>
      <c r="C19" s="201">
        <v>0</v>
      </c>
      <c r="D19" s="201">
        <v>0</v>
      </c>
      <c r="E19" s="216">
        <v>2.9999999999999997E-4</v>
      </c>
      <c r="F19" s="216">
        <v>0</v>
      </c>
      <c r="G19" s="216">
        <v>2.9999999999999997E-4</v>
      </c>
      <c r="H19" s="216">
        <v>2.9999999999999997E-4</v>
      </c>
      <c r="I19" s="216">
        <v>2.9999999999999997E-4</v>
      </c>
      <c r="J19" s="216">
        <v>0</v>
      </c>
      <c r="K19" s="216">
        <v>2.9999999999999997E-4</v>
      </c>
      <c r="L19" s="216">
        <v>3.3E-3</v>
      </c>
      <c r="M19" s="216">
        <v>2.0000000000000001E-4</v>
      </c>
      <c r="N19" s="216">
        <v>5.9999999999999995E-4</v>
      </c>
      <c r="O19" s="216">
        <v>3.3E-3</v>
      </c>
      <c r="P19" s="216">
        <v>3.3E-3</v>
      </c>
      <c r="Q19" s="202">
        <f>AVERAGE(E19:P19)</f>
        <v>1.0166666666666666E-3</v>
      </c>
      <c r="R19" s="203">
        <f>MEDIAN(E19:P19)</f>
        <v>2.9999999999999997E-4</v>
      </c>
    </row>
    <row r="20" spans="1:18" x14ac:dyDescent="0.25">
      <c r="A20" s="56" t="s">
        <v>69</v>
      </c>
      <c r="B20" s="94" t="s">
        <v>129</v>
      </c>
      <c r="C20" s="201">
        <v>2.9999999999999997E-4</v>
      </c>
      <c r="D20" s="201">
        <v>0</v>
      </c>
      <c r="E20" s="216">
        <v>5.0000000000000001E-3</v>
      </c>
      <c r="F20" s="216">
        <v>2.0000000000000001E-4</v>
      </c>
      <c r="G20" s="216">
        <v>2.0000000000000001E-4</v>
      </c>
      <c r="H20" s="216">
        <v>2.0000000000000001E-4</v>
      </c>
      <c r="I20" s="216">
        <v>0</v>
      </c>
      <c r="J20" s="216">
        <v>0</v>
      </c>
      <c r="K20" s="216">
        <v>2.0000000000000001E-4</v>
      </c>
      <c r="L20" s="216">
        <v>6.9999999999999999E-4</v>
      </c>
      <c r="M20" s="216">
        <v>2.9999999999999997E-4</v>
      </c>
      <c r="N20" s="216">
        <v>8.0000000000000004E-4</v>
      </c>
      <c r="O20" s="216">
        <v>5.9999999999999995E-4</v>
      </c>
      <c r="P20" s="216">
        <v>6.9999999999999999E-4</v>
      </c>
      <c r="Q20" s="202">
        <f>AVERAGE(E20:P20)</f>
        <v>7.4166666666666652E-4</v>
      </c>
      <c r="R20" s="203">
        <f>MEDIAN(E20:P20)</f>
        <v>2.5000000000000001E-4</v>
      </c>
    </row>
    <row r="21" spans="1:18" x14ac:dyDescent="0.25">
      <c r="A21" s="56" t="s">
        <v>71</v>
      </c>
      <c r="B21" s="94" t="s">
        <v>130</v>
      </c>
      <c r="C21" s="201">
        <v>0</v>
      </c>
      <c r="D21" s="201">
        <v>0</v>
      </c>
      <c r="E21" s="216"/>
      <c r="F21" s="216"/>
      <c r="G21" s="216"/>
      <c r="H21" s="216"/>
      <c r="I21" s="216"/>
      <c r="J21" s="216"/>
      <c r="K21" s="216"/>
      <c r="L21" s="216"/>
      <c r="M21" s="216"/>
      <c r="N21" s="216"/>
      <c r="O21" s="216"/>
      <c r="P21" s="216"/>
      <c r="Q21" s="202"/>
      <c r="R21" s="203"/>
    </row>
    <row r="22" spans="1:18" ht="15.75" customHeight="1" x14ac:dyDescent="0.25">
      <c r="A22" s="234" t="s">
        <v>100</v>
      </c>
      <c r="B22" s="234"/>
      <c r="C22" s="201">
        <f>SUM(C16:C21)</f>
        <v>0.128</v>
      </c>
      <c r="D22" s="201">
        <f>SUM(D16:D21)</f>
        <v>0.1376</v>
      </c>
      <c r="E22" s="217"/>
      <c r="F22" s="217"/>
      <c r="G22" s="217"/>
      <c r="H22" s="217"/>
      <c r="I22" s="217"/>
      <c r="J22" s="217"/>
      <c r="K22" s="217"/>
      <c r="L22" s="217"/>
      <c r="M22" s="217"/>
      <c r="N22" s="217"/>
      <c r="O22" s="217"/>
      <c r="P22" s="216"/>
      <c r="Q22" s="202"/>
      <c r="R22" s="203"/>
    </row>
    <row r="23" spans="1:18" ht="15.75" customHeight="1" x14ac:dyDescent="0.25">
      <c r="A23" s="243" t="s">
        <v>146</v>
      </c>
      <c r="B23" s="243"/>
      <c r="C23" s="214"/>
      <c r="D23" s="214"/>
      <c r="E23" s="215"/>
      <c r="F23" s="215"/>
      <c r="G23" s="215"/>
      <c r="H23" s="215"/>
      <c r="I23" s="215"/>
      <c r="J23" s="215"/>
      <c r="K23" s="215"/>
      <c r="L23" s="215"/>
      <c r="M23" s="215"/>
      <c r="N23" s="215"/>
      <c r="O23" s="215"/>
      <c r="P23" s="215"/>
      <c r="Q23" s="202"/>
      <c r="R23" s="203"/>
    </row>
    <row r="24" spans="1:18" x14ac:dyDescent="0.25">
      <c r="A24" s="61">
        <v>6</v>
      </c>
      <c r="B24" s="93" t="s">
        <v>147</v>
      </c>
      <c r="C24" s="198" t="s">
        <v>78</v>
      </c>
      <c r="D24" s="198" t="s">
        <v>78</v>
      </c>
      <c r="E24" s="61"/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202"/>
      <c r="R24" s="203"/>
    </row>
    <row r="25" spans="1:18" x14ac:dyDescent="0.25">
      <c r="A25" s="56" t="s">
        <v>61</v>
      </c>
      <c r="B25" s="94" t="s">
        <v>148</v>
      </c>
      <c r="C25" s="218" t="s">
        <v>315</v>
      </c>
      <c r="D25" s="219">
        <v>0.02</v>
      </c>
      <c r="E25" s="218" t="s">
        <v>316</v>
      </c>
      <c r="F25" s="219">
        <v>0.05</v>
      </c>
      <c r="G25" s="219">
        <v>0.02</v>
      </c>
      <c r="H25" s="219">
        <v>0.05</v>
      </c>
      <c r="I25" s="219">
        <v>0.06</v>
      </c>
      <c r="J25" s="218" t="s">
        <v>317</v>
      </c>
      <c r="K25" s="220">
        <v>6.4100000000000004E-2</v>
      </c>
      <c r="L25" s="220">
        <v>2.3400000000000001E-2</v>
      </c>
      <c r="M25" s="220">
        <v>0.03</v>
      </c>
      <c r="N25" s="218" t="s">
        <v>318</v>
      </c>
      <c r="O25" s="218" t="s">
        <v>319</v>
      </c>
      <c r="P25" s="220">
        <v>4.4150000000000002E-2</v>
      </c>
      <c r="Q25" s="220">
        <f>AVERAGE(C25:P25)</f>
        <v>4.0183333333333335E-2</v>
      </c>
      <c r="R25" s="203">
        <f>MEDIAN(C25:P25)</f>
        <v>4.4150000000000002E-2</v>
      </c>
    </row>
    <row r="26" spans="1:18" x14ac:dyDescent="0.25">
      <c r="A26" s="56" t="s">
        <v>63</v>
      </c>
      <c r="B26" s="94" t="s">
        <v>149</v>
      </c>
      <c r="C26" s="218" t="s">
        <v>320</v>
      </c>
      <c r="D26" s="218" t="s">
        <v>321</v>
      </c>
      <c r="E26" s="218" t="s">
        <v>322</v>
      </c>
      <c r="F26" s="219">
        <v>0.06</v>
      </c>
      <c r="G26" s="218" t="s">
        <v>323</v>
      </c>
      <c r="H26" s="220">
        <v>4.3099999999999999E-2</v>
      </c>
      <c r="I26" s="218" t="s">
        <v>324</v>
      </c>
      <c r="J26" s="218" t="s">
        <v>317</v>
      </c>
      <c r="K26" s="220">
        <v>4.2700000000000002E-2</v>
      </c>
      <c r="L26" s="218" t="s">
        <v>325</v>
      </c>
      <c r="M26" s="220">
        <v>2.98E-2</v>
      </c>
      <c r="N26" s="218" t="s">
        <v>315</v>
      </c>
      <c r="O26" s="218" t="s">
        <v>315</v>
      </c>
      <c r="P26" s="220">
        <v>0.05</v>
      </c>
      <c r="Q26" s="220">
        <f>AVERAGE(C26:P26)</f>
        <v>4.5119999999999993E-2</v>
      </c>
      <c r="R26" s="203">
        <f>MEDIAN(C26:P26)</f>
        <v>4.3099999999999999E-2</v>
      </c>
    </row>
    <row r="27" spans="1:18" x14ac:dyDescent="0.25">
      <c r="A27" s="56"/>
      <c r="B27" s="56" t="s">
        <v>150</v>
      </c>
      <c r="C27" s="221">
        <f>SUM(C25:C26)</f>
        <v>0</v>
      </c>
      <c r="D27" s="201">
        <f>SUM(D25:D26)</f>
        <v>0.02</v>
      </c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6"/>
      <c r="P27" s="56"/>
      <c r="Q27" s="202"/>
      <c r="R27" s="203"/>
    </row>
    <row r="28" spans="1:18" x14ac:dyDescent="0.25">
      <c r="A28" s="56" t="s">
        <v>65</v>
      </c>
      <c r="B28" s="94" t="s">
        <v>151</v>
      </c>
      <c r="C28" s="222"/>
      <c r="D28" s="222"/>
      <c r="E28" s="121"/>
      <c r="F28" s="121"/>
      <c r="G28" s="121"/>
      <c r="H28" s="121"/>
      <c r="I28" s="121"/>
      <c r="J28" s="121"/>
      <c r="K28" s="121"/>
      <c r="L28" s="121"/>
      <c r="M28" s="121"/>
      <c r="N28" s="121"/>
      <c r="O28" s="121"/>
      <c r="P28" s="121"/>
      <c r="Q28" s="202"/>
      <c r="R28" s="203"/>
    </row>
    <row r="29" spans="1:18" x14ac:dyDescent="0.25">
      <c r="A29" s="56"/>
      <c r="B29" s="122" t="s">
        <v>152</v>
      </c>
      <c r="C29" s="201">
        <v>6.4999999999999997E-3</v>
      </c>
      <c r="D29" s="201">
        <v>6.4999999999999997E-3</v>
      </c>
      <c r="E29" s="72"/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202"/>
      <c r="R29" s="203"/>
    </row>
    <row r="30" spans="1:18" x14ac:dyDescent="0.25">
      <c r="A30" s="56"/>
      <c r="B30" s="122" t="s">
        <v>153</v>
      </c>
      <c r="C30" s="221">
        <v>0.03</v>
      </c>
      <c r="D30" s="221">
        <v>0.03</v>
      </c>
      <c r="E30" s="56"/>
      <c r="F30" s="56"/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202"/>
      <c r="R30" s="203"/>
    </row>
    <row r="31" spans="1:18" x14ac:dyDescent="0.25">
      <c r="A31" s="56"/>
      <c r="B31" s="122" t="s">
        <v>154</v>
      </c>
      <c r="C31" s="221">
        <v>0.05</v>
      </c>
      <c r="D31" s="221">
        <v>0.05</v>
      </c>
      <c r="E31" s="56"/>
      <c r="F31" s="56"/>
      <c r="G31" s="56"/>
      <c r="H31" s="56"/>
      <c r="I31" s="56"/>
      <c r="J31" s="56"/>
      <c r="K31" s="56"/>
      <c r="L31" s="56"/>
      <c r="M31" s="56"/>
      <c r="N31" s="56"/>
      <c r="O31" s="56"/>
      <c r="P31" s="56"/>
      <c r="Q31" s="202"/>
      <c r="R31" s="203"/>
    </row>
    <row r="32" spans="1:18" x14ac:dyDescent="0.25">
      <c r="A32" s="56"/>
      <c r="B32" s="56" t="s">
        <v>155</v>
      </c>
      <c r="C32" s="201">
        <f>SUM(C29:C31)</f>
        <v>8.6499999999999994E-2</v>
      </c>
      <c r="D32" s="201">
        <f>SUM(D29:D31)</f>
        <v>8.6499999999999994E-2</v>
      </c>
      <c r="E32" s="72"/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202"/>
      <c r="R32" s="203"/>
    </row>
    <row r="33" spans="1:18" ht="15.75" customHeight="1" x14ac:dyDescent="0.25">
      <c r="A33" s="234" t="s">
        <v>100</v>
      </c>
      <c r="B33" s="234"/>
      <c r="C33" s="201">
        <f>C32+C27</f>
        <v>8.6499999999999994E-2</v>
      </c>
      <c r="D33" s="201">
        <f>D32+D27</f>
        <v>0.1065</v>
      </c>
      <c r="E33" s="72"/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202"/>
      <c r="R33" s="203"/>
    </row>
    <row r="35" spans="1:18" ht="54.75" customHeight="1" x14ac:dyDescent="0.25">
      <c r="B35" s="288" t="s">
        <v>326</v>
      </c>
      <c r="C35" s="288"/>
      <c r="D35" s="288"/>
      <c r="E35" s="288"/>
      <c r="F35" s="288"/>
      <c r="G35" s="288"/>
      <c r="H35" s="288"/>
      <c r="I35" s="288"/>
      <c r="J35" s="288"/>
      <c r="K35" s="288"/>
      <c r="L35" s="288"/>
      <c r="M35" s="288"/>
      <c r="N35" s="288"/>
      <c r="O35" s="288"/>
      <c r="P35" s="288"/>
      <c r="Q35" s="288"/>
      <c r="R35" s="288"/>
    </row>
  </sheetData>
  <mergeCells count="11">
    <mergeCell ref="A1:D1"/>
    <mergeCell ref="A2:K2"/>
    <mergeCell ref="A3:B3"/>
    <mergeCell ref="A11:B11"/>
    <mergeCell ref="A12:B12"/>
    <mergeCell ref="B35:R35"/>
    <mergeCell ref="A13:B13"/>
    <mergeCell ref="A14:B14"/>
    <mergeCell ref="A22:B22"/>
    <mergeCell ref="A23:B23"/>
    <mergeCell ref="A33:B33"/>
  </mergeCells>
  <printOptions horizontalCentered="1" verticalCentered="1"/>
  <pageMargins left="0.31527777777777799" right="0.118055555555556" top="0.196527777777778" bottom="0.196527777777778" header="0.51180555555555496" footer="0.51180555555555496"/>
  <pageSetup paperSize="77" scale="55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788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Valor do Servente por área M²</vt:lpstr>
      <vt:lpstr>Servente de Limpeza </vt:lpstr>
      <vt:lpstr>Equipamentos_ 24.03.22</vt:lpstr>
      <vt:lpstr>Materiais_24.03.22</vt:lpstr>
      <vt:lpstr>Uniforme_24.03.22</vt:lpstr>
      <vt:lpstr>Notas_Explicativas_-_Base_Dados</vt:lpstr>
      <vt:lpstr>Média_Índices_Lucro_e_CI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Ornel</dc:creator>
  <dc:description/>
  <cp:lastModifiedBy>Paulo Andre Silva Campos</cp:lastModifiedBy>
  <cp:revision>50</cp:revision>
  <dcterms:created xsi:type="dcterms:W3CDTF">2020-09-02T22:23:32Z</dcterms:created>
  <dcterms:modified xsi:type="dcterms:W3CDTF">2022-04-05T14:14:00Z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