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ira.abdalad\Desktop\MANUTENÇÃO SECCIONAIS\"/>
    </mc:Choice>
  </mc:AlternateContent>
  <bookViews>
    <workbookView xWindow="0" yWindow="0" windowWidth="28800" windowHeight="12300" tabRatio="839"/>
  </bookViews>
  <sheets>
    <sheet name="RESUMO" sheetId="22" r:id="rId1"/>
    <sheet name="CBO" sheetId="21" r:id="rId2"/>
    <sheet name="AJUDANTE" sheetId="2" r:id="rId3"/>
    <sheet name="PEDREIRO" sheetId="3" r:id="rId4"/>
    <sheet name="ELETRICISTA" sheetId="17" r:id="rId5"/>
    <sheet name="BOMBEIRO" sheetId="18" r:id="rId6"/>
    <sheet name="MEC. DE REFRIGERAÇÃO" sheetId="19" r:id="rId7"/>
    <sheet name="ENGENHEIRO CIVIL" sheetId="16" r:id="rId8"/>
    <sheet name="INSUMOS " sheetId="23" r:id="rId9"/>
    <sheet name="MERCADO" sheetId="20" r:id="rId10"/>
    <sheet name="DESLOCAMENTO" sheetId="10" r:id="rId11"/>
    <sheet name="UNIFORME" sheetId="7" r:id="rId12"/>
    <sheet name="EPI" sheetId="8" r:id="rId13"/>
    <sheet name="CAFÉ DA MANHÃ" sheetId="6" r:id="rId14"/>
    <sheet name="TRANSPORTE" sheetId="5" r:id="rId15"/>
  </sheets>
  <externalReferences>
    <externalReference r:id="rId16"/>
    <externalReference r:id="rId17"/>
    <externalReference r:id="rId18"/>
  </externalReferences>
  <definedNames>
    <definedName name="_xlnm._FilterDatabase" localSheetId="8" hidden="1">'INSUMOS '!$A$2:$K$224</definedName>
    <definedName name="_xlnm._FilterDatabase" localSheetId="9" hidden="1">MERCADO!$A$5:$O$5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9" i="20" l="1"/>
  <c r="M110" i="20"/>
  <c r="M111" i="20"/>
  <c r="D108" i="20"/>
  <c r="C108" i="20"/>
  <c r="B108" i="20"/>
  <c r="D107" i="20"/>
  <c r="C107" i="20"/>
  <c r="B107" i="20"/>
  <c r="D106" i="20"/>
  <c r="C106" i="20"/>
  <c r="B106" i="20"/>
  <c r="D105" i="20"/>
  <c r="C105" i="20"/>
  <c r="B105" i="20"/>
  <c r="D104" i="20"/>
  <c r="C104" i="20"/>
  <c r="B104" i="20"/>
  <c r="D103" i="20"/>
  <c r="C103" i="20"/>
  <c r="B103" i="20"/>
  <c r="D102" i="20"/>
  <c r="C102" i="20"/>
  <c r="B102" i="20"/>
  <c r="D101" i="20"/>
  <c r="C101" i="20"/>
  <c r="B101" i="20"/>
  <c r="D100" i="20"/>
  <c r="C100" i="20"/>
  <c r="B100" i="20"/>
  <c r="D99" i="20"/>
  <c r="C99" i="20"/>
  <c r="B99" i="20"/>
  <c r="D98" i="20"/>
  <c r="C98" i="20"/>
  <c r="B98" i="20"/>
  <c r="D97" i="20"/>
  <c r="C97" i="20"/>
  <c r="B97" i="20"/>
  <c r="D96" i="20"/>
  <c r="C96" i="20"/>
  <c r="B96" i="20"/>
  <c r="D95" i="20"/>
  <c r="C95" i="20"/>
  <c r="B95" i="20"/>
  <c r="D94" i="20"/>
  <c r="C94" i="20"/>
  <c r="B94" i="20"/>
  <c r="D93" i="20"/>
  <c r="C93" i="20"/>
  <c r="B93" i="20"/>
  <c r="D92" i="20"/>
  <c r="C92" i="20"/>
  <c r="B92" i="20"/>
  <c r="D91" i="20"/>
  <c r="C91" i="20"/>
  <c r="B91" i="20"/>
  <c r="D90" i="20"/>
  <c r="C90" i="20"/>
  <c r="B90" i="20"/>
  <c r="D89" i="20"/>
  <c r="C89" i="20"/>
  <c r="B89" i="20"/>
  <c r="D88" i="20"/>
  <c r="C88" i="20"/>
  <c r="B88" i="20"/>
  <c r="D87" i="20"/>
  <c r="C87" i="20"/>
  <c r="B87" i="20"/>
  <c r="D86" i="20"/>
  <c r="C86" i="20"/>
  <c r="B86" i="20"/>
  <c r="D85" i="20"/>
  <c r="C85" i="20"/>
  <c r="B85" i="20"/>
  <c r="D84" i="20"/>
  <c r="C84" i="20"/>
  <c r="B84" i="20"/>
  <c r="D83" i="20"/>
  <c r="C83" i="20"/>
  <c r="B83" i="20"/>
  <c r="D82" i="20"/>
  <c r="C82" i="20"/>
  <c r="B82" i="20"/>
  <c r="D81" i="20"/>
  <c r="C81" i="20"/>
  <c r="B81" i="20"/>
  <c r="D80" i="20"/>
  <c r="C80" i="20"/>
  <c r="B80" i="20"/>
  <c r="D79" i="20"/>
  <c r="C79" i="20"/>
  <c r="B79" i="20"/>
  <c r="D78" i="20"/>
  <c r="C78" i="20"/>
  <c r="B78" i="20"/>
  <c r="D77" i="20"/>
  <c r="C77" i="20"/>
  <c r="B77" i="20"/>
  <c r="D76" i="20"/>
  <c r="C76" i="20"/>
  <c r="B76" i="20"/>
  <c r="D75" i="20"/>
  <c r="C75" i="20"/>
  <c r="B75" i="20"/>
  <c r="D74" i="20"/>
  <c r="C74" i="20"/>
  <c r="B74" i="20"/>
  <c r="D73" i="20"/>
  <c r="C73" i="20"/>
  <c r="B73" i="20"/>
  <c r="D72" i="20"/>
  <c r="C72" i="20"/>
  <c r="B72" i="20"/>
  <c r="D71" i="20"/>
  <c r="C71" i="20"/>
  <c r="B71" i="20"/>
  <c r="D70" i="20"/>
  <c r="C70" i="20"/>
  <c r="B70" i="20"/>
  <c r="D69" i="20"/>
  <c r="C69" i="20"/>
  <c r="B69" i="20"/>
  <c r="D68" i="20"/>
  <c r="C68" i="20"/>
  <c r="B68" i="20"/>
  <c r="D67" i="20"/>
  <c r="C67" i="20"/>
  <c r="B67" i="20"/>
  <c r="D66" i="20"/>
  <c r="C66" i="20"/>
  <c r="B66" i="20"/>
  <c r="D65" i="20"/>
  <c r="C65" i="20"/>
  <c r="B65" i="20"/>
  <c r="D64" i="20"/>
  <c r="C64" i="20"/>
  <c r="B64" i="20"/>
  <c r="D63" i="20"/>
  <c r="C63" i="20"/>
  <c r="B63" i="20"/>
  <c r="D62" i="20"/>
  <c r="C62" i="20"/>
  <c r="B62" i="20"/>
  <c r="D61" i="20"/>
  <c r="C61" i="20"/>
  <c r="B61" i="20"/>
  <c r="D60" i="20"/>
  <c r="C60" i="20"/>
  <c r="B60" i="20"/>
  <c r="D59" i="20"/>
  <c r="C59" i="20"/>
  <c r="B59" i="20"/>
  <c r="D58" i="20"/>
  <c r="C58" i="20"/>
  <c r="B58" i="20"/>
  <c r="D57" i="20"/>
  <c r="C57" i="20"/>
  <c r="B57" i="20"/>
  <c r="D56" i="20"/>
  <c r="C56" i="20"/>
  <c r="B56" i="20"/>
  <c r="D55" i="20"/>
  <c r="C55" i="20"/>
  <c r="B55" i="20"/>
  <c r="D54" i="20"/>
  <c r="C54" i="20"/>
  <c r="B54" i="20"/>
  <c r="D53" i="20"/>
  <c r="C53" i="20"/>
  <c r="B53" i="20"/>
  <c r="D52" i="20"/>
  <c r="C52" i="20"/>
  <c r="B52" i="20"/>
  <c r="D51" i="20"/>
  <c r="C51" i="20"/>
  <c r="B51" i="20"/>
  <c r="D50" i="20"/>
  <c r="C50" i="20"/>
  <c r="B50" i="20"/>
  <c r="D49" i="20"/>
  <c r="C49" i="20"/>
  <c r="B49" i="20"/>
  <c r="D48" i="20"/>
  <c r="C48" i="20"/>
  <c r="B48" i="20"/>
  <c r="D47" i="20"/>
  <c r="C47" i="20"/>
  <c r="B47" i="20"/>
  <c r="D46" i="20"/>
  <c r="C46" i="20"/>
  <c r="B46" i="20"/>
  <c r="D45" i="20"/>
  <c r="C45" i="20"/>
  <c r="B45" i="20"/>
  <c r="D44" i="20"/>
  <c r="C44" i="20"/>
  <c r="B44" i="20"/>
  <c r="D43" i="20"/>
  <c r="C43" i="20"/>
  <c r="B43" i="20"/>
  <c r="D42" i="20"/>
  <c r="C42" i="20"/>
  <c r="B42" i="20"/>
  <c r="D41" i="20"/>
  <c r="C41" i="20"/>
  <c r="B41" i="20"/>
  <c r="D40" i="20"/>
  <c r="C40" i="20"/>
  <c r="B40" i="20"/>
  <c r="D39" i="20"/>
  <c r="C39" i="20"/>
  <c r="B39" i="20"/>
  <c r="D38" i="20"/>
  <c r="C38" i="20"/>
  <c r="B38" i="20"/>
  <c r="D37" i="20"/>
  <c r="C37" i="20"/>
  <c r="B37" i="20"/>
  <c r="D36" i="20"/>
  <c r="C36" i="20"/>
  <c r="B36" i="20"/>
  <c r="D35" i="20"/>
  <c r="C35" i="20"/>
  <c r="B35" i="20"/>
  <c r="D34" i="20"/>
  <c r="C34" i="20"/>
  <c r="B34" i="20"/>
  <c r="D33" i="20"/>
  <c r="C33" i="20"/>
  <c r="B33" i="20"/>
  <c r="D32" i="20"/>
  <c r="C32" i="20"/>
  <c r="B32" i="20"/>
  <c r="D31" i="20"/>
  <c r="C31" i="20"/>
  <c r="B31" i="20"/>
  <c r="D30" i="20"/>
  <c r="C30" i="20"/>
  <c r="B30" i="20"/>
  <c r="D29" i="20"/>
  <c r="C29" i="20"/>
  <c r="B29" i="20"/>
  <c r="D28" i="20"/>
  <c r="C28" i="20"/>
  <c r="B28" i="20"/>
  <c r="D27" i="20"/>
  <c r="C27" i="20"/>
  <c r="B27" i="20"/>
  <c r="D26" i="20"/>
  <c r="C26" i="20"/>
  <c r="B26" i="20"/>
  <c r="D25" i="20"/>
  <c r="C25" i="20"/>
  <c r="B25" i="20"/>
  <c r="D24" i="20"/>
  <c r="C24" i="20"/>
  <c r="B24" i="20"/>
  <c r="D23" i="20"/>
  <c r="C23" i="20"/>
  <c r="B23" i="20"/>
  <c r="D22" i="20"/>
  <c r="C22" i="20"/>
  <c r="B22" i="20"/>
  <c r="D21" i="20"/>
  <c r="C21" i="20"/>
  <c r="B21" i="20"/>
  <c r="D20" i="20"/>
  <c r="C20" i="20"/>
  <c r="B20" i="20"/>
  <c r="D19" i="20"/>
  <c r="C19" i="20"/>
  <c r="B19" i="20"/>
  <c r="D18" i="20"/>
  <c r="C18" i="20"/>
  <c r="B18" i="20"/>
  <c r="D17" i="20"/>
  <c r="C17" i="20"/>
  <c r="B17" i="20"/>
  <c r="D16" i="20"/>
  <c r="C16" i="20"/>
  <c r="B16" i="20"/>
  <c r="D15" i="20"/>
  <c r="C15" i="20"/>
  <c r="B15" i="20"/>
  <c r="D14" i="20"/>
  <c r="C14" i="20"/>
  <c r="B14" i="20"/>
  <c r="D13" i="20"/>
  <c r="C13" i="20"/>
  <c r="B13" i="20"/>
  <c r="D12" i="20"/>
  <c r="C12" i="20"/>
  <c r="B12" i="20"/>
  <c r="D11" i="20"/>
  <c r="C11" i="20"/>
  <c r="B11" i="20"/>
  <c r="D10" i="20"/>
  <c r="C10" i="20"/>
  <c r="B10" i="20"/>
  <c r="D9" i="20"/>
  <c r="C9" i="20"/>
  <c r="B9" i="20"/>
  <c r="D8" i="20"/>
  <c r="C8" i="20"/>
  <c r="B8" i="20"/>
  <c r="D7" i="20"/>
  <c r="C7" i="20"/>
  <c r="B7" i="20"/>
  <c r="D6" i="20"/>
  <c r="C6" i="20"/>
  <c r="B6" i="20"/>
  <c r="M6" i="20"/>
  <c r="M7" i="20"/>
  <c r="M8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I221" i="23" l="1"/>
  <c r="J221" i="23" s="1"/>
  <c r="K221" i="23" s="1"/>
  <c r="I220" i="23"/>
  <c r="J220" i="23" s="1"/>
  <c r="K220" i="23" s="1"/>
  <c r="H219" i="23"/>
  <c r="H218" i="23"/>
  <c r="I218" i="23" s="1"/>
  <c r="J218" i="23" s="1"/>
  <c r="K218" i="23" s="1"/>
  <c r="H217" i="23"/>
  <c r="H216" i="23"/>
  <c r="J215" i="23"/>
  <c r="K215" i="23" s="1"/>
  <c r="H215" i="23"/>
  <c r="I215" i="23" s="1"/>
  <c r="H214" i="23"/>
  <c r="H213" i="23"/>
  <c r="I213" i="23" s="1"/>
  <c r="J213" i="23" s="1"/>
  <c r="K213" i="23" s="1"/>
  <c r="H212" i="23"/>
  <c r="I212" i="23" s="1"/>
  <c r="J212" i="23" s="1"/>
  <c r="K212" i="23" s="1"/>
  <c r="H211" i="23"/>
  <c r="H210" i="23"/>
  <c r="I210" i="23" s="1"/>
  <c r="J210" i="23" s="1"/>
  <c r="K210" i="23" s="1"/>
  <c r="H209" i="23"/>
  <c r="I209" i="23" s="1"/>
  <c r="J209" i="23" s="1"/>
  <c r="K209" i="23" s="1"/>
  <c r="H208" i="23"/>
  <c r="H207" i="23"/>
  <c r="I207" i="23" s="1"/>
  <c r="J207" i="23" s="1"/>
  <c r="K207" i="23" s="1"/>
  <c r="J206" i="23"/>
  <c r="K206" i="23" s="1"/>
  <c r="H206" i="23"/>
  <c r="I206" i="23" s="1"/>
  <c r="H205" i="23"/>
  <c r="H204" i="23"/>
  <c r="I204" i="23" s="1"/>
  <c r="J204" i="23" s="1"/>
  <c r="K204" i="23" s="1"/>
  <c r="H203" i="23"/>
  <c r="I203" i="23" s="1"/>
  <c r="J203" i="23" s="1"/>
  <c r="K203" i="23" s="1"/>
  <c r="H202" i="23"/>
  <c r="H201" i="23"/>
  <c r="I201" i="23" s="1"/>
  <c r="J201" i="23" s="1"/>
  <c r="K201" i="23" s="1"/>
  <c r="H200" i="23"/>
  <c r="I200" i="23" s="1"/>
  <c r="J200" i="23" s="1"/>
  <c r="K200" i="23" s="1"/>
  <c r="H199" i="23"/>
  <c r="H198" i="23"/>
  <c r="I198" i="23" s="1"/>
  <c r="J198" i="23" s="1"/>
  <c r="K198" i="23" s="1"/>
  <c r="J197" i="23"/>
  <c r="K197" i="23" s="1"/>
  <c r="H197" i="23"/>
  <c r="I197" i="23" s="1"/>
  <c r="H196" i="23"/>
  <c r="H195" i="23"/>
  <c r="I195" i="23" s="1"/>
  <c r="J195" i="23" s="1"/>
  <c r="K195" i="23" s="1"/>
  <c r="H194" i="23"/>
  <c r="I194" i="23" s="1"/>
  <c r="J194" i="23" s="1"/>
  <c r="K194" i="23" s="1"/>
  <c r="H193" i="23"/>
  <c r="H192" i="23"/>
  <c r="I192" i="23" s="1"/>
  <c r="J192" i="23" s="1"/>
  <c r="K192" i="23" s="1"/>
  <c r="H191" i="23"/>
  <c r="I191" i="23" s="1"/>
  <c r="J191" i="23" s="1"/>
  <c r="K191" i="23" s="1"/>
  <c r="H190" i="23"/>
  <c r="H189" i="23"/>
  <c r="J188" i="23"/>
  <c r="K188" i="23" s="1"/>
  <c r="H188" i="23"/>
  <c r="I188" i="23" s="1"/>
  <c r="H187" i="23"/>
  <c r="H186" i="23"/>
  <c r="J185" i="23"/>
  <c r="K185" i="23" s="1"/>
  <c r="H185" i="23"/>
  <c r="I185" i="23" s="1"/>
  <c r="H184" i="23"/>
  <c r="H183" i="23"/>
  <c r="H182" i="23"/>
  <c r="I182" i="23" s="1"/>
  <c r="J182" i="23" s="1"/>
  <c r="K182" i="23" s="1"/>
  <c r="H181" i="23"/>
  <c r="H180" i="23"/>
  <c r="J179" i="23"/>
  <c r="K179" i="23" s="1"/>
  <c r="H179" i="23"/>
  <c r="I179" i="23" s="1"/>
  <c r="H178" i="23"/>
  <c r="H177" i="23"/>
  <c r="H176" i="23"/>
  <c r="I176" i="23" s="1"/>
  <c r="J176" i="23" s="1"/>
  <c r="K176" i="23" s="1"/>
  <c r="H175" i="23"/>
  <c r="H174" i="23"/>
  <c r="I174" i="23" s="1"/>
  <c r="J174" i="23" s="1"/>
  <c r="K174" i="23" s="1"/>
  <c r="H173" i="23"/>
  <c r="I173" i="23" s="1"/>
  <c r="J173" i="23" s="1"/>
  <c r="K173" i="23" s="1"/>
  <c r="H172" i="23"/>
  <c r="H171" i="23"/>
  <c r="I171" i="23" s="1"/>
  <c r="J171" i="23" s="1"/>
  <c r="K171" i="23" s="1"/>
  <c r="J170" i="23"/>
  <c r="K170" i="23" s="1"/>
  <c r="H170" i="23"/>
  <c r="I170" i="23" s="1"/>
  <c r="H169" i="23"/>
  <c r="H168" i="23"/>
  <c r="I168" i="23" s="1"/>
  <c r="J168" i="23" s="1"/>
  <c r="K168" i="23" s="1"/>
  <c r="H167" i="23"/>
  <c r="I167" i="23" s="1"/>
  <c r="J167" i="23" s="1"/>
  <c r="K167" i="23" s="1"/>
  <c r="H166" i="23"/>
  <c r="H165" i="23"/>
  <c r="I165" i="23" s="1"/>
  <c r="J165" i="23" s="1"/>
  <c r="K165" i="23" s="1"/>
  <c r="H164" i="23"/>
  <c r="I164" i="23" s="1"/>
  <c r="J164" i="23" s="1"/>
  <c r="K164" i="23" s="1"/>
  <c r="H163" i="23"/>
  <c r="H162" i="23"/>
  <c r="I162" i="23" s="1"/>
  <c r="J162" i="23" s="1"/>
  <c r="K162" i="23" s="1"/>
  <c r="J161" i="23"/>
  <c r="K161" i="23" s="1"/>
  <c r="H161" i="23"/>
  <c r="I161" i="23" s="1"/>
  <c r="H160" i="23"/>
  <c r="H159" i="23"/>
  <c r="I159" i="23" s="1"/>
  <c r="J159" i="23" s="1"/>
  <c r="K159" i="23" s="1"/>
  <c r="H158" i="23"/>
  <c r="I158" i="23" s="1"/>
  <c r="J158" i="23" s="1"/>
  <c r="K158" i="23" s="1"/>
  <c r="H157" i="23"/>
  <c r="H156" i="23"/>
  <c r="I156" i="23" s="1"/>
  <c r="J156" i="23" s="1"/>
  <c r="K156" i="23" s="1"/>
  <c r="H155" i="23"/>
  <c r="I155" i="23" s="1"/>
  <c r="J155" i="23" s="1"/>
  <c r="K155" i="23" s="1"/>
  <c r="H154" i="23"/>
  <c r="H153" i="23"/>
  <c r="I153" i="23" s="1"/>
  <c r="J153" i="23" s="1"/>
  <c r="K153" i="23" s="1"/>
  <c r="J152" i="23"/>
  <c r="K152" i="23" s="1"/>
  <c r="H152" i="23"/>
  <c r="I152" i="23" s="1"/>
  <c r="H151" i="23"/>
  <c r="H150" i="23"/>
  <c r="I150" i="23" s="1"/>
  <c r="J150" i="23" s="1"/>
  <c r="K150" i="23" s="1"/>
  <c r="H149" i="23"/>
  <c r="I149" i="23" s="1"/>
  <c r="J149" i="23" s="1"/>
  <c r="K149" i="23" s="1"/>
  <c r="H148" i="23"/>
  <c r="H147" i="23"/>
  <c r="I147" i="23" s="1"/>
  <c r="J147" i="23" s="1"/>
  <c r="K147" i="23" s="1"/>
  <c r="H146" i="23"/>
  <c r="I146" i="23" s="1"/>
  <c r="J146" i="23" s="1"/>
  <c r="K146" i="23" s="1"/>
  <c r="H145" i="23"/>
  <c r="H144" i="23"/>
  <c r="I144" i="23" s="1"/>
  <c r="J144" i="23" s="1"/>
  <c r="K144" i="23" s="1"/>
  <c r="J143" i="23"/>
  <c r="K143" i="23" s="1"/>
  <c r="H143" i="23"/>
  <c r="I143" i="23" s="1"/>
  <c r="H142" i="23"/>
  <c r="H141" i="23"/>
  <c r="I141" i="23" s="1"/>
  <c r="J141" i="23" s="1"/>
  <c r="K141" i="23" s="1"/>
  <c r="H140" i="23"/>
  <c r="I140" i="23" s="1"/>
  <c r="J140" i="23" s="1"/>
  <c r="K140" i="23" s="1"/>
  <c r="H139" i="23"/>
  <c r="H138" i="23"/>
  <c r="I138" i="23" s="1"/>
  <c r="J138" i="23" s="1"/>
  <c r="K138" i="23" s="1"/>
  <c r="H137" i="23"/>
  <c r="I137" i="23" s="1"/>
  <c r="J137" i="23" s="1"/>
  <c r="K137" i="23" s="1"/>
  <c r="H136" i="23"/>
  <c r="H135" i="23"/>
  <c r="I135" i="23" s="1"/>
  <c r="J135" i="23" s="1"/>
  <c r="K135" i="23" s="1"/>
  <c r="J134" i="23"/>
  <c r="K134" i="23" s="1"/>
  <c r="H134" i="23"/>
  <c r="I134" i="23" s="1"/>
  <c r="H133" i="23"/>
  <c r="H132" i="23"/>
  <c r="I132" i="23" s="1"/>
  <c r="J132" i="23" s="1"/>
  <c r="K132" i="23" s="1"/>
  <c r="J131" i="23"/>
  <c r="K131" i="23" s="1"/>
  <c r="H131" i="23"/>
  <c r="I131" i="23" s="1"/>
  <c r="H130" i="23"/>
  <c r="H129" i="23"/>
  <c r="I129" i="23" s="1"/>
  <c r="J129" i="23" s="1"/>
  <c r="K129" i="23" s="1"/>
  <c r="H128" i="23"/>
  <c r="I128" i="23" s="1"/>
  <c r="J128" i="23" s="1"/>
  <c r="K128" i="23" s="1"/>
  <c r="H127" i="23"/>
  <c r="J126" i="23"/>
  <c r="K126" i="23" s="1"/>
  <c r="I126" i="23"/>
  <c r="I125" i="23"/>
  <c r="J125" i="23" s="1"/>
  <c r="K125" i="23" s="1"/>
  <c r="J124" i="23"/>
  <c r="K124" i="23" s="1"/>
  <c r="I124" i="23"/>
  <c r="I123" i="23"/>
  <c r="J123" i="23" s="1"/>
  <c r="K123" i="23" s="1"/>
  <c r="J122" i="23"/>
  <c r="K122" i="23" s="1"/>
  <c r="I122" i="23"/>
  <c r="I121" i="23"/>
  <c r="J121" i="23" s="1"/>
  <c r="K121" i="23" s="1"/>
  <c r="J120" i="23"/>
  <c r="K120" i="23" s="1"/>
  <c r="I120" i="23"/>
  <c r="I119" i="23"/>
  <c r="J119" i="23" s="1"/>
  <c r="K119" i="23" s="1"/>
  <c r="J118" i="23"/>
  <c r="K118" i="23" s="1"/>
  <c r="I118" i="23"/>
  <c r="I117" i="23"/>
  <c r="J117" i="23" s="1"/>
  <c r="K117" i="23" s="1"/>
  <c r="J116" i="23"/>
  <c r="K116" i="23" s="1"/>
  <c r="I116" i="23"/>
  <c r="I115" i="23"/>
  <c r="J115" i="23" s="1"/>
  <c r="K115" i="23" s="1"/>
  <c r="J114" i="23"/>
  <c r="K114" i="23" s="1"/>
  <c r="I114" i="23"/>
  <c r="I113" i="23"/>
  <c r="J113" i="23" s="1"/>
  <c r="K113" i="23" s="1"/>
  <c r="J112" i="23"/>
  <c r="K112" i="23" s="1"/>
  <c r="I112" i="23"/>
  <c r="J111" i="23"/>
  <c r="K111" i="23" s="1"/>
  <c r="I111" i="23"/>
  <c r="J110" i="23"/>
  <c r="K110" i="23" s="1"/>
  <c r="I110" i="23"/>
  <c r="I109" i="23"/>
  <c r="J109" i="23" s="1"/>
  <c r="K109" i="23" s="1"/>
  <c r="J108" i="23"/>
  <c r="K108" i="23" s="1"/>
  <c r="I108" i="23"/>
  <c r="I107" i="23"/>
  <c r="J107" i="23" s="1"/>
  <c r="K107" i="23" s="1"/>
  <c r="J106" i="23"/>
  <c r="K106" i="23" s="1"/>
  <c r="I106" i="23"/>
  <c r="J105" i="23"/>
  <c r="K105" i="23" s="1"/>
  <c r="I105" i="23"/>
  <c r="J104" i="23"/>
  <c r="K104" i="23" s="1"/>
  <c r="I104" i="23"/>
  <c r="I103" i="23"/>
  <c r="J103" i="23" s="1"/>
  <c r="K103" i="23" s="1"/>
  <c r="J102" i="23"/>
  <c r="K102" i="23" s="1"/>
  <c r="I102" i="23"/>
  <c r="I101" i="23"/>
  <c r="J101" i="23" s="1"/>
  <c r="K101" i="23" s="1"/>
  <c r="J100" i="23"/>
  <c r="K100" i="23" s="1"/>
  <c r="I100" i="23"/>
  <c r="J99" i="23"/>
  <c r="K99" i="23" s="1"/>
  <c r="I99" i="23"/>
  <c r="J98" i="23"/>
  <c r="K98" i="23" s="1"/>
  <c r="I98" i="23"/>
  <c r="I97" i="23"/>
  <c r="J97" i="23" s="1"/>
  <c r="K97" i="23" s="1"/>
  <c r="J96" i="23"/>
  <c r="K96" i="23" s="1"/>
  <c r="I96" i="23"/>
  <c r="I95" i="23"/>
  <c r="J95" i="23" s="1"/>
  <c r="K95" i="23" s="1"/>
  <c r="J94" i="23"/>
  <c r="K94" i="23" s="1"/>
  <c r="I94" i="23"/>
  <c r="I93" i="23"/>
  <c r="J93" i="23" s="1"/>
  <c r="K93" i="23" s="1"/>
  <c r="J92" i="23"/>
  <c r="K92" i="23" s="1"/>
  <c r="I92" i="23"/>
  <c r="J91" i="23"/>
  <c r="K91" i="23" s="1"/>
  <c r="I91" i="23"/>
  <c r="J90" i="23"/>
  <c r="K90" i="23" s="1"/>
  <c r="I90" i="23"/>
  <c r="I89" i="23"/>
  <c r="J89" i="23" s="1"/>
  <c r="K89" i="23" s="1"/>
  <c r="J88" i="23"/>
  <c r="K88" i="23" s="1"/>
  <c r="I88" i="23"/>
  <c r="J87" i="23"/>
  <c r="K87" i="23" s="1"/>
  <c r="I87" i="23"/>
  <c r="I86" i="23"/>
  <c r="J86" i="23" s="1"/>
  <c r="K86" i="23" s="1"/>
  <c r="I85" i="23"/>
  <c r="J85" i="23" s="1"/>
  <c r="K85" i="23" s="1"/>
  <c r="I84" i="23"/>
  <c r="J84" i="23" s="1"/>
  <c r="K84" i="23" s="1"/>
  <c r="I83" i="23"/>
  <c r="J83" i="23" s="1"/>
  <c r="K83" i="23" s="1"/>
  <c r="K236" i="23" s="1"/>
  <c r="K82" i="23"/>
  <c r="I82" i="23"/>
  <c r="J82" i="23" s="1"/>
  <c r="I81" i="23"/>
  <c r="J81" i="23" s="1"/>
  <c r="K81" i="23" s="1"/>
  <c r="I80" i="23"/>
  <c r="J80" i="23" s="1"/>
  <c r="K80" i="23" s="1"/>
  <c r="I79" i="23"/>
  <c r="J79" i="23" s="1"/>
  <c r="K79" i="23" s="1"/>
  <c r="I78" i="23"/>
  <c r="J78" i="23" s="1"/>
  <c r="K78" i="23" s="1"/>
  <c r="I77" i="23"/>
  <c r="J77" i="23" s="1"/>
  <c r="K77" i="23" s="1"/>
  <c r="I76" i="23"/>
  <c r="J76" i="23" s="1"/>
  <c r="K76" i="23" s="1"/>
  <c r="J75" i="23"/>
  <c r="K75" i="23" s="1"/>
  <c r="I75" i="23"/>
  <c r="I74" i="23"/>
  <c r="J74" i="23" s="1"/>
  <c r="K74" i="23" s="1"/>
  <c r="I73" i="23"/>
  <c r="J73" i="23" s="1"/>
  <c r="K73" i="23" s="1"/>
  <c r="I72" i="23"/>
  <c r="J72" i="23" s="1"/>
  <c r="K72" i="23" s="1"/>
  <c r="I71" i="23"/>
  <c r="J71" i="23" s="1"/>
  <c r="K71" i="23" s="1"/>
  <c r="K70" i="23"/>
  <c r="I70" i="23"/>
  <c r="J70" i="23" s="1"/>
  <c r="I69" i="23"/>
  <c r="J69" i="23" s="1"/>
  <c r="K69" i="23" s="1"/>
  <c r="I68" i="23"/>
  <c r="J68" i="23" s="1"/>
  <c r="K68" i="23" s="1"/>
  <c r="I67" i="23"/>
  <c r="J67" i="23" s="1"/>
  <c r="K67" i="23" s="1"/>
  <c r="I66" i="23"/>
  <c r="J66" i="23" s="1"/>
  <c r="K66" i="23" s="1"/>
  <c r="I65" i="23"/>
  <c r="J65" i="23" s="1"/>
  <c r="K65" i="23" s="1"/>
  <c r="I64" i="23"/>
  <c r="J64" i="23" s="1"/>
  <c r="K64" i="23" s="1"/>
  <c r="J63" i="23"/>
  <c r="K63" i="23" s="1"/>
  <c r="I63" i="23"/>
  <c r="I62" i="23"/>
  <c r="J62" i="23" s="1"/>
  <c r="K62" i="23" s="1"/>
  <c r="I61" i="23"/>
  <c r="J61" i="23" s="1"/>
  <c r="K61" i="23" s="1"/>
  <c r="I60" i="23"/>
  <c r="J60" i="23" s="1"/>
  <c r="K60" i="23" s="1"/>
  <c r="I59" i="23"/>
  <c r="J59" i="23" s="1"/>
  <c r="K59" i="23" s="1"/>
  <c r="K58" i="23"/>
  <c r="I58" i="23"/>
  <c r="J58" i="23" s="1"/>
  <c r="I57" i="23"/>
  <c r="J57" i="23" s="1"/>
  <c r="K57" i="23" s="1"/>
  <c r="H56" i="23"/>
  <c r="I55" i="23"/>
  <c r="J55" i="23" s="1"/>
  <c r="K55" i="23" s="1"/>
  <c r="H55" i="23"/>
  <c r="I54" i="23"/>
  <c r="J54" i="23" s="1"/>
  <c r="K54" i="23" s="1"/>
  <c r="H54" i="23"/>
  <c r="H53" i="23"/>
  <c r="I52" i="23"/>
  <c r="J52" i="23" s="1"/>
  <c r="K52" i="23" s="1"/>
  <c r="H52" i="23"/>
  <c r="H51" i="23"/>
  <c r="H50" i="23"/>
  <c r="I49" i="23"/>
  <c r="J49" i="23" s="1"/>
  <c r="K49" i="23" s="1"/>
  <c r="I48" i="23"/>
  <c r="J48" i="23" s="1"/>
  <c r="K48" i="23" s="1"/>
  <c r="J47" i="23"/>
  <c r="K47" i="23" s="1"/>
  <c r="I47" i="23"/>
  <c r="I46" i="23"/>
  <c r="J46" i="23" s="1"/>
  <c r="K46" i="23" s="1"/>
  <c r="I45" i="23"/>
  <c r="J45" i="23" s="1"/>
  <c r="K45" i="23" s="1"/>
  <c r="H45" i="23"/>
  <c r="I44" i="23"/>
  <c r="J44" i="23" s="1"/>
  <c r="K44" i="23" s="1"/>
  <c r="J43" i="23"/>
  <c r="K43" i="23" s="1"/>
  <c r="I43" i="23"/>
  <c r="H42" i="23"/>
  <c r="I42" i="23" s="1"/>
  <c r="J42" i="23" s="1"/>
  <c r="K42" i="23" s="1"/>
  <c r="I41" i="23"/>
  <c r="J41" i="23" s="1"/>
  <c r="K41" i="23" s="1"/>
  <c r="J40" i="23"/>
  <c r="K40" i="23" s="1"/>
  <c r="I40" i="23"/>
  <c r="I39" i="23"/>
  <c r="J39" i="23" s="1"/>
  <c r="K39" i="23" s="1"/>
  <c r="I38" i="23"/>
  <c r="J38" i="23" s="1"/>
  <c r="K38" i="23" s="1"/>
  <c r="I37" i="23"/>
  <c r="J37" i="23" s="1"/>
  <c r="K37" i="23" s="1"/>
  <c r="H36" i="23"/>
  <c r="I35" i="23"/>
  <c r="J35" i="23" s="1"/>
  <c r="K35" i="23" s="1"/>
  <c r="I34" i="23"/>
  <c r="J34" i="23" s="1"/>
  <c r="K34" i="23" s="1"/>
  <c r="I33" i="23"/>
  <c r="J33" i="23" s="1"/>
  <c r="K33" i="23" s="1"/>
  <c r="I32" i="23"/>
  <c r="J32" i="23" s="1"/>
  <c r="K32" i="23" s="1"/>
  <c r="I31" i="23"/>
  <c r="J31" i="23" s="1"/>
  <c r="K31" i="23" s="1"/>
  <c r="I30" i="23"/>
  <c r="J30" i="23" s="1"/>
  <c r="K30" i="23" s="1"/>
  <c r="I29" i="23"/>
  <c r="J29" i="23" s="1"/>
  <c r="K29" i="23" s="1"/>
  <c r="I28" i="23"/>
  <c r="J28" i="23" s="1"/>
  <c r="K28" i="23" s="1"/>
  <c r="I27" i="23"/>
  <c r="J27" i="23" s="1"/>
  <c r="K27" i="23" s="1"/>
  <c r="I26" i="23"/>
  <c r="J26" i="23" s="1"/>
  <c r="K26" i="23" s="1"/>
  <c r="I25" i="23"/>
  <c r="J25" i="23" s="1"/>
  <c r="K25" i="23" s="1"/>
  <c r="I24" i="23"/>
  <c r="J24" i="23" s="1"/>
  <c r="K24" i="23" s="1"/>
  <c r="I23" i="23"/>
  <c r="J23" i="23" s="1"/>
  <c r="K23" i="23" s="1"/>
  <c r="I22" i="23"/>
  <c r="J22" i="23" s="1"/>
  <c r="K22" i="23" s="1"/>
  <c r="I21" i="23"/>
  <c r="J21" i="23" s="1"/>
  <c r="K21" i="23" s="1"/>
  <c r="I20" i="23"/>
  <c r="J20" i="23" s="1"/>
  <c r="K20" i="23" s="1"/>
  <c r="I19" i="23"/>
  <c r="J19" i="23" s="1"/>
  <c r="K19" i="23" s="1"/>
  <c r="I18" i="23"/>
  <c r="J18" i="23" s="1"/>
  <c r="K18" i="23" s="1"/>
  <c r="I17" i="23"/>
  <c r="J17" i="23" s="1"/>
  <c r="K17" i="23" s="1"/>
  <c r="I16" i="23"/>
  <c r="J16" i="23" s="1"/>
  <c r="K16" i="23" s="1"/>
  <c r="I15" i="23"/>
  <c r="J15" i="23" s="1"/>
  <c r="K15" i="23" s="1"/>
  <c r="I14" i="23"/>
  <c r="J14" i="23" s="1"/>
  <c r="K14" i="23" s="1"/>
  <c r="I13" i="23"/>
  <c r="J13" i="23" s="1"/>
  <c r="K13" i="23" s="1"/>
  <c r="I12" i="23"/>
  <c r="J12" i="23" s="1"/>
  <c r="K12" i="23" s="1"/>
  <c r="I11" i="23"/>
  <c r="J11" i="23" s="1"/>
  <c r="K11" i="23" s="1"/>
  <c r="I10" i="23"/>
  <c r="J10" i="23" s="1"/>
  <c r="K10" i="23" s="1"/>
  <c r="I9" i="23"/>
  <c r="J9" i="23" s="1"/>
  <c r="K9" i="23" s="1"/>
  <c r="I8" i="23"/>
  <c r="J8" i="23" s="1"/>
  <c r="K8" i="23" s="1"/>
  <c r="I7" i="23"/>
  <c r="J7" i="23" s="1"/>
  <c r="K7" i="23" s="1"/>
  <c r="I6" i="23"/>
  <c r="J6" i="23" s="1"/>
  <c r="K6" i="23" s="1"/>
  <c r="I5" i="23"/>
  <c r="J5" i="23" s="1"/>
  <c r="K5" i="23" s="1"/>
  <c r="I4" i="23"/>
  <c r="J4" i="23" s="1"/>
  <c r="K4" i="23" s="1"/>
  <c r="H36" i="22"/>
  <c r="H25" i="22"/>
  <c r="H24" i="22"/>
  <c r="J20" i="22"/>
  <c r="H20" i="22"/>
  <c r="G20" i="22"/>
  <c r="J19" i="22"/>
  <c r="G19" i="22"/>
  <c r="H19" i="22" s="1"/>
  <c r="J18" i="22"/>
  <c r="G18" i="22"/>
  <c r="H18" i="22" s="1"/>
  <c r="J17" i="22"/>
  <c r="H17" i="22"/>
  <c r="G17" i="22"/>
  <c r="H12" i="22"/>
  <c r="G12" i="22"/>
  <c r="G13" i="22" s="1"/>
  <c r="H13" i="22" s="1"/>
  <c r="H8" i="22"/>
  <c r="G8" i="22"/>
  <c r="H7" i="22"/>
  <c r="G7" i="22"/>
  <c r="G6" i="22"/>
  <c r="H6" i="22" s="1"/>
  <c r="G5" i="22"/>
  <c r="H5" i="22" s="1"/>
  <c r="H4" i="22"/>
  <c r="H9" i="22" s="1"/>
  <c r="G4" i="22"/>
  <c r="K231" i="23" l="1"/>
  <c r="K230" i="23"/>
  <c r="I36" i="23"/>
  <c r="J36" i="23" s="1"/>
  <c r="K36" i="23" s="1"/>
  <c r="I172" i="23"/>
  <c r="J172" i="23"/>
  <c r="K172" i="23" s="1"/>
  <c r="I51" i="23"/>
  <c r="J51" i="23" s="1"/>
  <c r="K51" i="23" s="1"/>
  <c r="I53" i="23"/>
  <c r="J53" i="23" s="1"/>
  <c r="K53" i="23" s="1"/>
  <c r="I130" i="23"/>
  <c r="J130" i="23"/>
  <c r="K130" i="23" s="1"/>
  <c r="I154" i="23"/>
  <c r="J154" i="23" s="1"/>
  <c r="K154" i="23" s="1"/>
  <c r="I184" i="23"/>
  <c r="J184" i="23"/>
  <c r="K184" i="23" s="1"/>
  <c r="I208" i="23"/>
  <c r="J208" i="23"/>
  <c r="K208" i="23" s="1"/>
  <c r="I145" i="23"/>
  <c r="J145" i="23" s="1"/>
  <c r="K145" i="23" s="1"/>
  <c r="I175" i="23"/>
  <c r="J175" i="23"/>
  <c r="K175" i="23" s="1"/>
  <c r="J189" i="23"/>
  <c r="K189" i="23" s="1"/>
  <c r="I199" i="23"/>
  <c r="J199" i="23"/>
  <c r="K199" i="23" s="1"/>
  <c r="I50" i="23"/>
  <c r="J50" i="23" s="1"/>
  <c r="K50" i="23" s="1"/>
  <c r="I56" i="23"/>
  <c r="J56" i="23" s="1"/>
  <c r="K56" i="23" s="1"/>
  <c r="I136" i="23"/>
  <c r="J136" i="23"/>
  <c r="K136" i="23" s="1"/>
  <c r="I166" i="23"/>
  <c r="J166" i="23"/>
  <c r="K166" i="23" s="1"/>
  <c r="I190" i="23"/>
  <c r="J190" i="23"/>
  <c r="K190" i="23" s="1"/>
  <c r="I127" i="23"/>
  <c r="J127" i="23" s="1"/>
  <c r="K127" i="23" s="1"/>
  <c r="I157" i="23"/>
  <c r="J157" i="23"/>
  <c r="K157" i="23" s="1"/>
  <c r="I181" i="23"/>
  <c r="J181" i="23"/>
  <c r="K181" i="23" s="1"/>
  <c r="I211" i="23"/>
  <c r="J211" i="23" s="1"/>
  <c r="K211" i="23" s="1"/>
  <c r="I148" i="23"/>
  <c r="J148" i="23"/>
  <c r="K148" i="23" s="1"/>
  <c r="I202" i="23"/>
  <c r="J202" i="23"/>
  <c r="K202" i="23" s="1"/>
  <c r="J216" i="23"/>
  <c r="K216" i="23" s="1"/>
  <c r="I139" i="23"/>
  <c r="J139" i="23"/>
  <c r="K139" i="23" s="1"/>
  <c r="I163" i="23"/>
  <c r="J163" i="23"/>
  <c r="K163" i="23" s="1"/>
  <c r="I193" i="23"/>
  <c r="J193" i="23"/>
  <c r="K193" i="23" s="1"/>
  <c r="I217" i="23"/>
  <c r="J217" i="23"/>
  <c r="K217" i="23" s="1"/>
  <c r="I133" i="23"/>
  <c r="J133" i="23"/>
  <c r="K133" i="23" s="1"/>
  <c r="I142" i="23"/>
  <c r="J142" i="23"/>
  <c r="K142" i="23" s="1"/>
  <c r="I151" i="23"/>
  <c r="J151" i="23"/>
  <c r="K151" i="23" s="1"/>
  <c r="I160" i="23"/>
  <c r="J160" i="23"/>
  <c r="K160" i="23" s="1"/>
  <c r="I169" i="23"/>
  <c r="J169" i="23"/>
  <c r="K169" i="23" s="1"/>
  <c r="I178" i="23"/>
  <c r="J178" i="23"/>
  <c r="K178" i="23" s="1"/>
  <c r="I187" i="23"/>
  <c r="J187" i="23"/>
  <c r="K187" i="23" s="1"/>
  <c r="I196" i="23"/>
  <c r="J196" i="23"/>
  <c r="K196" i="23" s="1"/>
  <c r="I205" i="23"/>
  <c r="J205" i="23"/>
  <c r="K205" i="23" s="1"/>
  <c r="I214" i="23"/>
  <c r="J214" i="23"/>
  <c r="K214" i="23" s="1"/>
  <c r="J219" i="23"/>
  <c r="K219" i="23" s="1"/>
  <c r="I177" i="23"/>
  <c r="J177" i="23" s="1"/>
  <c r="K177" i="23" s="1"/>
  <c r="I180" i="23"/>
  <c r="J180" i="23" s="1"/>
  <c r="K180" i="23" s="1"/>
  <c r="I183" i="23"/>
  <c r="J183" i="23" s="1"/>
  <c r="K183" i="23" s="1"/>
  <c r="I186" i="23"/>
  <c r="J186" i="23" s="1"/>
  <c r="K186" i="23" s="1"/>
  <c r="I189" i="23"/>
  <c r="I216" i="23"/>
  <c r="I219" i="23"/>
  <c r="I9" i="22"/>
  <c r="H33" i="22"/>
  <c r="H14" i="22"/>
  <c r="H21" i="22"/>
  <c r="H35" i="22" s="1"/>
  <c r="K235" i="23" l="1"/>
  <c r="K232" i="23"/>
  <c r="K222" i="23" s="1"/>
  <c r="K234" i="23"/>
  <c r="K227" i="23" s="1"/>
  <c r="K229" i="23" s="1"/>
  <c r="K224" i="23"/>
  <c r="K223" i="23" s="1"/>
  <c r="K237" i="23"/>
  <c r="K228" i="23" s="1"/>
  <c r="H34" i="22"/>
  <c r="I14" i="22"/>
  <c r="I20" i="22" l="1"/>
  <c r="I17" i="22"/>
  <c r="I18" i="22"/>
  <c r="I19" i="22"/>
  <c r="G28" i="22"/>
  <c r="H28" i="22" s="1"/>
  <c r="H29" i="22" s="1"/>
  <c r="L18" i="22" l="1"/>
  <c r="H37" i="22"/>
  <c r="H38" i="22" s="1"/>
  <c r="K20" i="22"/>
  <c r="L20" i="22" s="1"/>
  <c r="K19" i="22"/>
  <c r="L19" i="22" s="1"/>
  <c r="K18" i="22"/>
  <c r="K17" i="22"/>
  <c r="L17" i="22"/>
  <c r="L21" i="22" l="1"/>
  <c r="M108" i="20" l="1"/>
  <c r="M86" i="20" l="1"/>
  <c r="M104" i="20"/>
  <c r="M105" i="20"/>
  <c r="M106" i="20"/>
  <c r="M107" i="20"/>
  <c r="M82" i="20" l="1"/>
  <c r="M81" i="20"/>
  <c r="M80" i="20"/>
  <c r="M79" i="20"/>
  <c r="M78" i="20"/>
  <c r="M76" i="20"/>
  <c r="M9" i="20" l="1"/>
  <c r="M10" i="20"/>
  <c r="M11" i="20"/>
  <c r="M77" i="20"/>
  <c r="M83" i="20"/>
  <c r="M84" i="20"/>
  <c r="M85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E26" i="10" l="1"/>
  <c r="C26" i="10"/>
  <c r="E14" i="5" l="1"/>
  <c r="C14" i="5"/>
  <c r="D14" i="5" s="1"/>
  <c r="D144" i="19"/>
  <c r="B144" i="19"/>
  <c r="F126" i="19"/>
  <c r="J125" i="19"/>
  <c r="J119" i="19"/>
  <c r="F84" i="19"/>
  <c r="F49" i="19"/>
  <c r="F72" i="19" s="1"/>
  <c r="F37" i="19"/>
  <c r="F38" i="19" s="1"/>
  <c r="G24" i="19"/>
  <c r="G17" i="19"/>
  <c r="E13" i="5"/>
  <c r="C13" i="5"/>
  <c r="D13" i="5" s="1"/>
  <c r="F13" i="5" s="1"/>
  <c r="G52" i="18" s="1"/>
  <c r="E12" i="5"/>
  <c r="C12" i="5"/>
  <c r="D12" i="5" s="1"/>
  <c r="F12" i="5" s="1"/>
  <c r="G52" i="17" s="1"/>
  <c r="D144" i="18"/>
  <c r="B144" i="18"/>
  <c r="F126" i="18"/>
  <c r="J125" i="18"/>
  <c r="J119" i="18"/>
  <c r="F84" i="18"/>
  <c r="F49" i="18"/>
  <c r="F72" i="18" s="1"/>
  <c r="F37" i="18"/>
  <c r="F38" i="18" s="1"/>
  <c r="G24" i="18"/>
  <c r="G17" i="18"/>
  <c r="D144" i="17"/>
  <c r="B144" i="17"/>
  <c r="F126" i="17"/>
  <c r="J125" i="17"/>
  <c r="J119" i="17"/>
  <c r="F84" i="17"/>
  <c r="F49" i="17"/>
  <c r="F72" i="17" s="1"/>
  <c r="F37" i="17"/>
  <c r="F38" i="17" s="1"/>
  <c r="G24" i="17"/>
  <c r="G17" i="17"/>
  <c r="B33" i="10"/>
  <c r="B32" i="10"/>
  <c r="B31" i="10"/>
  <c r="B30" i="10"/>
  <c r="D39" i="10"/>
  <c r="F25" i="10"/>
  <c r="F24" i="10"/>
  <c r="F23" i="10"/>
  <c r="F22" i="10"/>
  <c r="D144" i="16"/>
  <c r="B144" i="16"/>
  <c r="F126" i="16"/>
  <c r="J125" i="16"/>
  <c r="J119" i="16"/>
  <c r="G104" i="16"/>
  <c r="G113" i="16" s="1"/>
  <c r="G135" i="16" s="1"/>
  <c r="F84" i="16"/>
  <c r="G57" i="16"/>
  <c r="G63" i="16" s="1"/>
  <c r="F49" i="16"/>
  <c r="F72" i="16" s="1"/>
  <c r="F37" i="16"/>
  <c r="F38" i="16" s="1"/>
  <c r="G24" i="16"/>
  <c r="G26" i="16" s="1"/>
  <c r="G27" i="16" s="1"/>
  <c r="G28" i="16" s="1"/>
  <c r="G29" i="16" s="1"/>
  <c r="G17" i="16"/>
  <c r="F26" i="10" l="1"/>
  <c r="F14" i="5"/>
  <c r="G52" i="19" s="1"/>
  <c r="F74" i="19"/>
  <c r="G26" i="19"/>
  <c r="G27" i="19" s="1"/>
  <c r="G28" i="19" s="1"/>
  <c r="G29" i="19" s="1"/>
  <c r="G30" i="19"/>
  <c r="F74" i="18"/>
  <c r="G26" i="18"/>
  <c r="G27" i="18" s="1"/>
  <c r="G28" i="18" s="1"/>
  <c r="G29" i="18" s="1"/>
  <c r="G30" i="18"/>
  <c r="F74" i="17"/>
  <c r="G26" i="17"/>
  <c r="G27" i="17" s="1"/>
  <c r="G28" i="17" s="1"/>
  <c r="G29" i="17" s="1"/>
  <c r="G30" i="17"/>
  <c r="G30" i="16"/>
  <c r="G31" i="16" s="1"/>
  <c r="G69" i="16" s="1"/>
  <c r="F74" i="16"/>
  <c r="G31" i="19" l="1"/>
  <c r="G31" i="18"/>
  <c r="G31" i="17"/>
  <c r="G72" i="16"/>
  <c r="G73" i="16"/>
  <c r="G71" i="16"/>
  <c r="G68" i="16"/>
  <c r="G78" i="16"/>
  <c r="G80" i="16"/>
  <c r="G70" i="16"/>
  <c r="G109" i="16"/>
  <c r="G131" i="16" s="1"/>
  <c r="G36" i="16"/>
  <c r="G79" i="16"/>
  <c r="G81" i="16"/>
  <c r="G82" i="16"/>
  <c r="G83" i="16"/>
  <c r="G37" i="16"/>
  <c r="G84" i="16" l="1"/>
  <c r="G38" i="16"/>
  <c r="G47" i="16" s="1"/>
  <c r="G82" i="19"/>
  <c r="G78" i="19"/>
  <c r="G69" i="19"/>
  <c r="G71" i="19"/>
  <c r="G109" i="19"/>
  <c r="G83" i="19"/>
  <c r="G70" i="19"/>
  <c r="G81" i="19"/>
  <c r="G68" i="19"/>
  <c r="G80" i="19"/>
  <c r="G79" i="19"/>
  <c r="G73" i="19"/>
  <c r="G36" i="19"/>
  <c r="G72" i="19"/>
  <c r="G37" i="19"/>
  <c r="G82" i="18"/>
  <c r="G78" i="18"/>
  <c r="G69" i="18"/>
  <c r="G80" i="18"/>
  <c r="G70" i="18"/>
  <c r="G81" i="18"/>
  <c r="G68" i="18"/>
  <c r="G71" i="18"/>
  <c r="G109" i="18"/>
  <c r="G83" i="18"/>
  <c r="G79" i="18"/>
  <c r="G73" i="18"/>
  <c r="G36" i="18"/>
  <c r="G72" i="18"/>
  <c r="G37" i="18"/>
  <c r="G82" i="17"/>
  <c r="G78" i="17"/>
  <c r="G69" i="17"/>
  <c r="G81" i="17"/>
  <c r="G68" i="17"/>
  <c r="G80" i="17"/>
  <c r="G71" i="17"/>
  <c r="G109" i="17"/>
  <c r="G83" i="17"/>
  <c r="G79" i="17"/>
  <c r="G73" i="17"/>
  <c r="G70" i="17"/>
  <c r="G36" i="17"/>
  <c r="G72" i="17"/>
  <c r="G37" i="17"/>
  <c r="G44" i="16"/>
  <c r="G74" i="16"/>
  <c r="G111" i="16" s="1"/>
  <c r="G133" i="16" s="1"/>
  <c r="G42" i="16"/>
  <c r="G45" i="16"/>
  <c r="G48" i="16"/>
  <c r="G43" i="16"/>
  <c r="G41" i="16"/>
  <c r="G46" i="16"/>
  <c r="G61" i="16"/>
  <c r="G112" i="16"/>
  <c r="G134" i="16" s="1"/>
  <c r="G94" i="16"/>
  <c r="G96" i="16" s="1"/>
  <c r="G84" i="19" l="1"/>
  <c r="G131" i="19"/>
  <c r="G38" i="19"/>
  <c r="G74" i="19"/>
  <c r="G111" i="19" s="1"/>
  <c r="G133" i="19" s="1"/>
  <c r="G74" i="18"/>
  <c r="G111" i="18" s="1"/>
  <c r="G133" i="18" s="1"/>
  <c r="G84" i="18"/>
  <c r="G38" i="18"/>
  <c r="G131" i="18"/>
  <c r="G74" i="17"/>
  <c r="G111" i="17" s="1"/>
  <c r="G133" i="17" s="1"/>
  <c r="G84" i="17"/>
  <c r="G131" i="17"/>
  <c r="G38" i="17"/>
  <c r="G49" i="16"/>
  <c r="G62" i="16" s="1"/>
  <c r="G64" i="16" s="1"/>
  <c r="G110" i="16"/>
  <c r="G61" i="19" l="1"/>
  <c r="G43" i="19"/>
  <c r="G45" i="19"/>
  <c r="G46" i="19"/>
  <c r="G41" i="19"/>
  <c r="G42" i="19"/>
  <c r="G47" i="19"/>
  <c r="G48" i="19"/>
  <c r="G44" i="19"/>
  <c r="G112" i="19"/>
  <c r="G134" i="19" s="1"/>
  <c r="G94" i="19"/>
  <c r="G96" i="19" s="1"/>
  <c r="G61" i="18"/>
  <c r="G43" i="18"/>
  <c r="G48" i="18"/>
  <c r="G46" i="18"/>
  <c r="G44" i="18"/>
  <c r="G42" i="18"/>
  <c r="G45" i="18"/>
  <c r="G47" i="18"/>
  <c r="G41" i="18"/>
  <c r="G112" i="18"/>
  <c r="G134" i="18" s="1"/>
  <c r="G94" i="18"/>
  <c r="G96" i="18" s="1"/>
  <c r="G61" i="17"/>
  <c r="G48" i="17"/>
  <c r="G47" i="17"/>
  <c r="G46" i="17"/>
  <c r="G45" i="17"/>
  <c r="G44" i="17"/>
  <c r="G43" i="17"/>
  <c r="G42" i="17"/>
  <c r="G41" i="17"/>
  <c r="G112" i="17"/>
  <c r="G134" i="17" s="1"/>
  <c r="G94" i="17"/>
  <c r="G96" i="17" s="1"/>
  <c r="G132" i="16"/>
  <c r="G136" i="16" s="1"/>
  <c r="G115" i="16"/>
  <c r="G49" i="19" l="1"/>
  <c r="G49" i="18"/>
  <c r="G49" i="17"/>
  <c r="G119" i="16"/>
  <c r="J120" i="16"/>
  <c r="G62" i="19" l="1"/>
  <c r="G62" i="18"/>
  <c r="G62" i="17"/>
  <c r="G120" i="16"/>
  <c r="J121" i="16" s="1"/>
  <c r="J122" i="16" s="1"/>
  <c r="J123" i="16" s="1"/>
  <c r="I123" i="16" l="1"/>
  <c r="G122" i="16" l="1"/>
  <c r="G125" i="16"/>
  <c r="G123" i="16"/>
  <c r="G124" i="16"/>
  <c r="G126" i="16" l="1"/>
  <c r="G137" i="16" s="1"/>
  <c r="G138" i="16" s="1"/>
  <c r="C144" i="16" s="1"/>
  <c r="G154" i="16" l="1"/>
  <c r="G155" i="16" s="1"/>
  <c r="E144" i="16"/>
  <c r="G144" i="16" s="1"/>
  <c r="D144" i="2" l="1"/>
  <c r="B144" i="2"/>
  <c r="F126" i="2"/>
  <c r="J125" i="2"/>
  <c r="J119" i="2"/>
  <c r="F84" i="2"/>
  <c r="F49" i="2"/>
  <c r="F72" i="2" s="1"/>
  <c r="F74" i="2" s="1"/>
  <c r="F37" i="2"/>
  <c r="F38" i="2" s="1"/>
  <c r="G24" i="2"/>
  <c r="G30" i="2" s="1"/>
  <c r="G17" i="2"/>
  <c r="J119" i="3"/>
  <c r="G26" i="2" l="1"/>
  <c r="G27" i="2" s="1"/>
  <c r="G28" i="2" s="1"/>
  <c r="G29" i="2" s="1"/>
  <c r="G31" i="2" s="1"/>
  <c r="G72" i="2" s="1"/>
  <c r="G80" i="2" l="1"/>
  <c r="G71" i="2"/>
  <c r="G37" i="2"/>
  <c r="G78" i="2"/>
  <c r="G69" i="2"/>
  <c r="G36" i="2"/>
  <c r="G81" i="2"/>
  <c r="G68" i="2"/>
  <c r="G109" i="2"/>
  <c r="G83" i="2"/>
  <c r="G79" i="2"/>
  <c r="G73" i="2"/>
  <c r="G70" i="2"/>
  <c r="G82" i="2"/>
  <c r="G38" i="2" l="1"/>
  <c r="G61" i="2" s="1"/>
  <c r="G47" i="2"/>
  <c r="G74" i="2"/>
  <c r="G111" i="2" s="1"/>
  <c r="G133" i="2" s="1"/>
  <c r="G84" i="2"/>
  <c r="G131" i="2"/>
  <c r="G48" i="2" l="1"/>
  <c r="G45" i="2"/>
  <c r="G41" i="2"/>
  <c r="G43" i="2"/>
  <c r="G44" i="2"/>
  <c r="G42" i="2"/>
  <c r="G46" i="2"/>
  <c r="G49" i="2"/>
  <c r="G112" i="2"/>
  <c r="G134" i="2" s="1"/>
  <c r="G94" i="2"/>
  <c r="G96" i="2" s="1"/>
  <c r="G62" i="2" l="1"/>
  <c r="F84" i="3" l="1"/>
  <c r="B40" i="10"/>
  <c r="D40" i="10" s="1"/>
  <c r="B38" i="10"/>
  <c r="D38" i="10" s="1"/>
  <c r="B37" i="10"/>
  <c r="D37" i="10" s="1"/>
  <c r="C31" i="10"/>
  <c r="C30" i="10"/>
  <c r="B41" i="10" l="1"/>
  <c r="D41" i="10" s="1"/>
  <c r="D42" i="10" s="1"/>
  <c r="D43" i="10" s="1"/>
  <c r="D50" i="10" l="1"/>
  <c r="D49" i="10"/>
  <c r="D48" i="10"/>
  <c r="D47" i="10"/>
  <c r="D33" i="10"/>
  <c r="C50" i="10" s="1"/>
  <c r="D32" i="10"/>
  <c r="C49" i="10" s="1"/>
  <c r="D31" i="10"/>
  <c r="C48" i="10" s="1"/>
  <c r="D30" i="10"/>
  <c r="C47" i="10" s="1"/>
  <c r="D25" i="10"/>
  <c r="G25" i="10" s="1"/>
  <c r="D24" i="10"/>
  <c r="G24" i="10" s="1"/>
  <c r="D23" i="10"/>
  <c r="G23" i="10" s="1"/>
  <c r="D22" i="10"/>
  <c r="G22" i="10" l="1"/>
  <c r="D26" i="10"/>
  <c r="H25" i="10"/>
  <c r="B50" i="10"/>
  <c r="E50" i="10" s="1"/>
  <c r="H24" i="10"/>
  <c r="B49" i="10"/>
  <c r="E49" i="10" s="1"/>
  <c r="H23" i="10"/>
  <c r="B48" i="10"/>
  <c r="E48" i="10" s="1"/>
  <c r="H22" i="10"/>
  <c r="H26" i="10" l="1"/>
  <c r="B47" i="10"/>
  <c r="E47" i="10" s="1"/>
  <c r="F47" i="10" s="1"/>
  <c r="G47" i="10" s="1"/>
  <c r="G26" i="10"/>
  <c r="F48" i="10"/>
  <c r="G48" i="10" s="1"/>
  <c r="F50" i="10"/>
  <c r="G50" i="10" s="1"/>
  <c r="F49" i="10"/>
  <c r="G49" i="10" s="1"/>
  <c r="C7" i="8" l="1"/>
  <c r="C6" i="8"/>
  <c r="C5" i="8"/>
  <c r="C4" i="8"/>
  <c r="C3" i="8"/>
  <c r="C5" i="7"/>
  <c r="C4" i="7"/>
  <c r="E4" i="7" s="1"/>
  <c r="C3" i="7"/>
  <c r="D144" i="3" l="1"/>
  <c r="D6" i="6"/>
  <c r="E6" i="6" s="1"/>
  <c r="D4" i="6"/>
  <c r="D3" i="6"/>
  <c r="E3" i="6" s="1"/>
  <c r="D7" i="6"/>
  <c r="D5" i="6"/>
  <c r="E7" i="8" l="1"/>
  <c r="B144" i="3" l="1"/>
  <c r="J125" i="3"/>
  <c r="F49" i="3"/>
  <c r="F72" i="3" s="1"/>
  <c r="F74" i="3" s="1"/>
  <c r="F37" i="3"/>
  <c r="F38" i="3" s="1"/>
  <c r="G24" i="3"/>
  <c r="G30" i="3" s="1"/>
  <c r="E4" i="8"/>
  <c r="E6" i="8"/>
  <c r="E5" i="8"/>
  <c r="E3" i="8"/>
  <c r="E5" i="7"/>
  <c r="E3" i="7"/>
  <c r="E8" i="8" l="1"/>
  <c r="F126" i="3"/>
  <c r="G26" i="3"/>
  <c r="E9" i="8" l="1"/>
  <c r="E10" i="8" s="1"/>
  <c r="G27" i="3"/>
  <c r="G28" i="3" s="1"/>
  <c r="G29" i="3" s="1"/>
  <c r="G31" i="3" s="1"/>
  <c r="G102" i="19" l="1"/>
  <c r="G102" i="18"/>
  <c r="G102" i="17"/>
  <c r="G102" i="2"/>
  <c r="G102" i="3"/>
  <c r="G109" i="3"/>
  <c r="G83" i="3"/>
  <c r="G79" i="3"/>
  <c r="G71" i="3"/>
  <c r="G82" i="3"/>
  <c r="G73" i="3"/>
  <c r="G69" i="3"/>
  <c r="G36" i="3"/>
  <c r="G80" i="3"/>
  <c r="G78" i="3"/>
  <c r="G70" i="3"/>
  <c r="G81" i="3"/>
  <c r="G68" i="3"/>
  <c r="G37" i="3"/>
  <c r="G72" i="3"/>
  <c r="E6" i="7"/>
  <c r="E7" i="7" s="1"/>
  <c r="G84" i="3" l="1"/>
  <c r="G38" i="3"/>
  <c r="G112" i="3"/>
  <c r="G134" i="3" s="1"/>
  <c r="G74" i="3"/>
  <c r="G111" i="3" s="1"/>
  <c r="G133" i="3" s="1"/>
  <c r="G94" i="3"/>
  <c r="G96" i="3" s="1"/>
  <c r="G131" i="3"/>
  <c r="E8" i="7"/>
  <c r="F7" i="6"/>
  <c r="F6" i="6"/>
  <c r="F5" i="6"/>
  <c r="F4" i="6"/>
  <c r="F3" i="6"/>
  <c r="G100" i="19" l="1"/>
  <c r="G104" i="19" s="1"/>
  <c r="G113" i="19" s="1"/>
  <c r="G135" i="19" s="1"/>
  <c r="G100" i="18"/>
  <c r="G104" i="18" s="1"/>
  <c r="G113" i="18" s="1"/>
  <c r="G135" i="18" s="1"/>
  <c r="G100" i="17"/>
  <c r="G104" i="17" s="1"/>
  <c r="G113" i="17" s="1"/>
  <c r="G135" i="17" s="1"/>
  <c r="G100" i="2"/>
  <c r="G104" i="2" s="1"/>
  <c r="G113" i="2" s="1"/>
  <c r="G135" i="2" s="1"/>
  <c r="G42" i="3"/>
  <c r="G46" i="3"/>
  <c r="G47" i="3"/>
  <c r="G45" i="3"/>
  <c r="G48" i="3"/>
  <c r="G44" i="3"/>
  <c r="G43" i="3"/>
  <c r="G100" i="3"/>
  <c r="G104" i="3" s="1"/>
  <c r="G113" i="3" s="1"/>
  <c r="G135" i="3" s="1"/>
  <c r="F8" i="6"/>
  <c r="C11" i="5"/>
  <c r="D11" i="5" s="1"/>
  <c r="C10" i="5"/>
  <c r="D10" i="5" s="1"/>
  <c r="E11" i="5"/>
  <c r="F9" i="6" l="1"/>
  <c r="G54" i="3"/>
  <c r="G61" i="3"/>
  <c r="G41" i="3"/>
  <c r="F11" i="5"/>
  <c r="G52" i="3" s="1"/>
  <c r="G54" i="19" l="1"/>
  <c r="G57" i="19" s="1"/>
  <c r="G54" i="18"/>
  <c r="G57" i="18" s="1"/>
  <c r="G54" i="17"/>
  <c r="G57" i="17" s="1"/>
  <c r="G54" i="2"/>
  <c r="G49" i="3"/>
  <c r="G62" i="3" s="1"/>
  <c r="E10" i="5"/>
  <c r="F10" i="5" s="1"/>
  <c r="G52" i="2" s="1"/>
  <c r="G57" i="2" s="1"/>
  <c r="G17" i="3"/>
  <c r="G63" i="2" l="1"/>
  <c r="G64" i="2" s="1"/>
  <c r="G110" i="2"/>
  <c r="G63" i="17"/>
  <c r="G64" i="17" s="1"/>
  <c r="G110" i="17"/>
  <c r="G63" i="18"/>
  <c r="G64" i="18" s="1"/>
  <c r="G110" i="18"/>
  <c r="G63" i="19"/>
  <c r="G64" i="19" s="1"/>
  <c r="G110" i="19"/>
  <c r="G57" i="3"/>
  <c r="G132" i="19" l="1"/>
  <c r="G136" i="19" s="1"/>
  <c r="J120" i="19" s="1"/>
  <c r="G115" i="19"/>
  <c r="G132" i="18"/>
  <c r="G136" i="18" s="1"/>
  <c r="J120" i="18" s="1"/>
  <c r="G115" i="18"/>
  <c r="G119" i="18" s="1"/>
  <c r="G132" i="17"/>
  <c r="G136" i="17" s="1"/>
  <c r="J120" i="17" s="1"/>
  <c r="G115" i="17"/>
  <c r="G132" i="2"/>
  <c r="G136" i="2" s="1"/>
  <c r="J120" i="2" s="1"/>
  <c r="G115" i="2"/>
  <c r="G119" i="2" s="1"/>
  <c r="G63" i="3"/>
  <c r="G64" i="3" s="1"/>
  <c r="G110" i="3"/>
  <c r="G120" i="2" l="1"/>
  <c r="I123" i="2" s="1"/>
  <c r="J121" i="2"/>
  <c r="J122" i="2" s="1"/>
  <c r="J123" i="2" s="1"/>
  <c r="G119" i="17"/>
  <c r="G120" i="18"/>
  <c r="I123" i="18" s="1"/>
  <c r="J121" i="18"/>
  <c r="J122" i="18" s="1"/>
  <c r="J123" i="18" s="1"/>
  <c r="G119" i="19"/>
  <c r="G132" i="3"/>
  <c r="G136" i="3" s="1"/>
  <c r="J120" i="3" s="1"/>
  <c r="G115" i="3"/>
  <c r="G120" i="19" l="1"/>
  <c r="G122" i="18"/>
  <c r="G125" i="18"/>
  <c r="G123" i="18"/>
  <c r="G124" i="18"/>
  <c r="G120" i="17"/>
  <c r="G125" i="2"/>
  <c r="G123" i="2"/>
  <c r="G124" i="2"/>
  <c r="G122" i="2"/>
  <c r="G126" i="2" s="1"/>
  <c r="G137" i="2" s="1"/>
  <c r="G138" i="2" s="1"/>
  <c r="C144" i="2" s="1"/>
  <c r="G119" i="3"/>
  <c r="E144" i="2" l="1"/>
  <c r="G144" i="2" s="1"/>
  <c r="G154" i="2"/>
  <c r="G155" i="2" s="1"/>
  <c r="J121" i="17"/>
  <c r="J122" i="17" s="1"/>
  <c r="J123" i="17" s="1"/>
  <c r="I123" i="17"/>
  <c r="G126" i="18"/>
  <c r="G137" i="18" s="1"/>
  <c r="G138" i="18" s="1"/>
  <c r="C144" i="18" s="1"/>
  <c r="J121" i="19"/>
  <c r="J122" i="19" s="1"/>
  <c r="J123" i="19" s="1"/>
  <c r="I123" i="19"/>
  <c r="G120" i="3"/>
  <c r="I123" i="3" s="1"/>
  <c r="G122" i="19" l="1"/>
  <c r="G124" i="19"/>
  <c r="G125" i="19"/>
  <c r="G123" i="19"/>
  <c r="G154" i="18"/>
  <c r="G155" i="18" s="1"/>
  <c r="E144" i="18"/>
  <c r="G144" i="18" s="1"/>
  <c r="G122" i="17"/>
  <c r="G125" i="17"/>
  <c r="G123" i="17"/>
  <c r="G124" i="17"/>
  <c r="J121" i="3"/>
  <c r="J122" i="3" s="1"/>
  <c r="J123" i="3" s="1"/>
  <c r="G122" i="3"/>
  <c r="G123" i="3"/>
  <c r="G124" i="3"/>
  <c r="G125" i="3"/>
  <c r="G126" i="17" l="1"/>
  <c r="G137" i="17" s="1"/>
  <c r="G138" i="17" s="1"/>
  <c r="C144" i="17" s="1"/>
  <c r="G126" i="19"/>
  <c r="G137" i="19" s="1"/>
  <c r="G138" i="19" s="1"/>
  <c r="C144" i="19" s="1"/>
  <c r="G126" i="3"/>
  <c r="G137" i="3" s="1"/>
  <c r="G138" i="3" s="1"/>
  <c r="C144" i="3" s="1"/>
  <c r="E144" i="3" s="1"/>
  <c r="G154" i="19" l="1"/>
  <c r="G155" i="19" s="1"/>
  <c r="E144" i="19"/>
  <c r="G144" i="19" s="1"/>
  <c r="G154" i="17"/>
  <c r="G155" i="17" s="1"/>
  <c r="E144" i="17"/>
  <c r="G144" i="17" s="1"/>
  <c r="G154" i="3"/>
  <c r="G155" i="3" s="1"/>
  <c r="G144" i="3"/>
</calcChain>
</file>

<file path=xl/sharedStrings.xml><?xml version="1.0" encoding="utf-8"?>
<sst xmlns="http://schemas.openxmlformats.org/spreadsheetml/2006/main" count="3176" uniqueCount="1028">
  <si>
    <t>GRUPO 01 - Valor fixo anual de mão de obra (Sob demanda)</t>
  </si>
  <si>
    <t>ITEM</t>
  </si>
  <si>
    <t>SUBITEM</t>
  </si>
  <si>
    <t>DESCRIÇÃO</t>
  </si>
  <si>
    <t>UNID</t>
  </si>
  <si>
    <t>QNT VISITAS/MÊS</t>
  </si>
  <si>
    <t>DIÁRIA (R$)</t>
  </si>
  <si>
    <t>TOTAL ESTIMADO (visita x diária x 12 meses)</t>
  </si>
  <si>
    <t>1.1</t>
  </si>
  <si>
    <t>AJUDANTE</t>
  </si>
  <si>
    <t>UND</t>
  </si>
  <si>
    <t>Será verificado pelo ógão qual sindicato usar como referencia para montar o quadro da mão de obra</t>
  </si>
  <si>
    <t>1.2</t>
  </si>
  <si>
    <t>PEDREIRO</t>
  </si>
  <si>
    <t>1.3</t>
  </si>
  <si>
    <t>ELETRICISTA</t>
  </si>
  <si>
    <t>1.4</t>
  </si>
  <si>
    <t>BOMBEIRO</t>
  </si>
  <si>
    <t>1.5</t>
  </si>
  <si>
    <t>MEC. DE REFRIGERAÇÃO</t>
  </si>
  <si>
    <t>TOTAL</t>
  </si>
  <si>
    <t>GRUPO 02 - Valor fixo anual de vistoria (Sob demanda)</t>
  </si>
  <si>
    <t>QNT VISITAS/ANO X SECCIONAIS</t>
  </si>
  <si>
    <t>2.1</t>
  </si>
  <si>
    <t>ENGENHEIRO CIVIL</t>
  </si>
  <si>
    <t>2.2</t>
  </si>
  <si>
    <t>RELATÓRIO GERAL DE INSPEÇÃO ANUAL DE MANUTENÇÃO PREVENTIVA</t>
  </si>
  <si>
    <t>GRUPO 03 - Valor fixo anual de deslocamento (Sob demanda)</t>
  </si>
  <si>
    <t>QNT VISITAS POR SECCIONAL</t>
  </si>
  <si>
    <t>MENSAL (R$)</t>
  </si>
  <si>
    <t>TOTAL ESTIMADO (qtd x mensal x 12 meses)</t>
  </si>
  <si>
    <t>3.1</t>
  </si>
  <si>
    <t>SECCIONAL CAMPOS DOS GOYTACAZES</t>
  </si>
  <si>
    <t>3.2</t>
  </si>
  <si>
    <t>SECCIONAL CABO FRIO</t>
  </si>
  <si>
    <t>3.3</t>
  </si>
  <si>
    <t>SECCIONAL NOVA FRIBURGO</t>
  </si>
  <si>
    <t>3.4</t>
  </si>
  <si>
    <t>SECCIONAL NITERÓI</t>
  </si>
  <si>
    <t>GRUPO 04 - Valor fixo anual de insumos (Sob demanda)</t>
  </si>
  <si>
    <t>QNT</t>
  </si>
  <si>
    <t>4.1</t>
  </si>
  <si>
    <t>CUSTO DE INSUMOS</t>
  </si>
  <si>
    <t>MÊS</t>
  </si>
  <si>
    <t>Valor deverá ser corrigido na aba "Insumos" para compor o Valor de Referência.</t>
  </si>
  <si>
    <t>GRUPO 05 - Valor fixo anual para serviços eventuais (Sob demanda)</t>
  </si>
  <si>
    <t>5.1</t>
  </si>
  <si>
    <t>CUSTOS PARA DEMANDA DE SERVIÇOS EVENTUAIS (para cálculo do custo será adotada a seguinte metodologia: 30,00% sobre o valor global de referência dos Grupos 1 a 4 do  edital. Não será permitido desconto sobre valor deste grupo.)</t>
  </si>
  <si>
    <t>Quadro Resumo do Valor Global da Contratação</t>
  </si>
  <si>
    <t>Ref.</t>
  </si>
  <si>
    <t>Descrição</t>
  </si>
  <si>
    <t>Valor Anual Total</t>
  </si>
  <si>
    <t>A</t>
  </si>
  <si>
    <t>B</t>
  </si>
  <si>
    <t>C</t>
  </si>
  <si>
    <t>D</t>
  </si>
  <si>
    <t>E</t>
  </si>
  <si>
    <t>VALOR GLOBAL DE REFERÊNCIA:</t>
  </si>
  <si>
    <t>Profissão</t>
  </si>
  <si>
    <t>CBO</t>
  </si>
  <si>
    <t>Descrição Sumária</t>
  </si>
  <si>
    <t>7170-20</t>
  </si>
  <si>
    <t>Demolem edificações de concreto, de alvenaria e outras estruturas; preparam canteiros de obras, limpando a área e compactando solos. Efetuam manutenção de primeiro nível, limpando máquinas e ferramentas, verificando condições dos equipamentos e reparando eventuais defeitos mecânicos nos mesmos. Realizam escavações e preparam massa de concreto e outros materiais.</t>
  </si>
  <si>
    <t>Pedreiro</t>
  </si>
  <si>
    <t>7152-10</t>
  </si>
  <si>
    <t>Organizam e preparam o local de trabalho na obra; constroem fundações e estruturas de alvenaria. Aplicam revestimentos e contrapisos.</t>
  </si>
  <si>
    <t>Eletricista de Instalações</t>
  </si>
  <si>
    <t>7156-10</t>
  </si>
  <si>
    <t>Planejam serviços elétricos, realizam instalação de distribuição de alta e baixa tensão. Montam e reparam instalações elétricas e equipamentos auxiliares em residências, estabelecimentos industriais, comerciais e de serviços. Instalam e reparam equipamentos de iluminação de cenários ou palcos.</t>
  </si>
  <si>
    <t>Bombeiro Hidráulico</t>
  </si>
  <si>
    <t>7241-10</t>
  </si>
  <si>
    <t>Operacionalizam projetos de instalações de tubulações, definem traçados e dimensionam tubulações; especificam, quantificam e inspecionam materiais; preparam locais para instalações, realizam pré-montagem e instalam tubulações. Realizam testes operacionais de pressão de fluidos e testes de estanqueidade. Protegem instalações e fazem manutenções em equipamentos e acessórios.</t>
  </si>
  <si>
    <t>Mecânico de Refrigeração</t>
  </si>
  <si>
    <t>7257-05</t>
  </si>
  <si>
    <t>Avaliam e dimensionam locais para instalação de equipamentos de refrigeração, calefação e ar - condicionado. Especificam materiais e acessórios e instalam equipamentos de refrigeração e ventilação. Instalam ramais de dutos, montam tubulações de refrigeração, aplicam vácuo em sistemas de refrigeração. Carregam sistemas de refrigeração com fluido refrigerante. Realizam testes nos sistemas de refrigeração.</t>
  </si>
  <si>
    <t>Nº do processo:</t>
  </si>
  <si>
    <t xml:space="preserve">Licitação Nº </t>
  </si>
  <si>
    <t>DISCRIMINAÇÃO DOS SERVIÇOS (DADOS REFERENTES À CONTRATAÇÃO)</t>
  </si>
  <si>
    <t>Data da apresentação da proposta</t>
  </si>
  <si>
    <t>XX/XX/20XX</t>
  </si>
  <si>
    <t>Município/UF</t>
  </si>
  <si>
    <t>RJ</t>
  </si>
  <si>
    <t>Ano do acordo, convenção ou dissídio coletivo</t>
  </si>
  <si>
    <t>SINTRAINDISTAL/RJ - 2021/2023</t>
  </si>
  <si>
    <t>Número de Meses de execução Contratual</t>
  </si>
  <si>
    <t>Local da prestação de serviços</t>
  </si>
  <si>
    <t>-</t>
  </si>
  <si>
    <t xml:space="preserve">IDENTIFICAÇÃO DO SERVIÇO </t>
  </si>
  <si>
    <t xml:space="preserve">Tipo de serviço </t>
  </si>
  <si>
    <t>Unidade de medida</t>
  </si>
  <si>
    <t>Quantidade total a contratar (em função da unidade de medida)</t>
  </si>
  <si>
    <t>Manutenção Predial</t>
  </si>
  <si>
    <t>Unidade</t>
  </si>
  <si>
    <t>Mão de obra vinculada a execução</t>
  </si>
  <si>
    <t xml:space="preserve">Tipo de serviço: </t>
  </si>
  <si>
    <t>Salário normativo da categoria profissional</t>
  </si>
  <si>
    <t>Categoria profissional:</t>
  </si>
  <si>
    <t>Classificação Brasileira de Ocupações (CBO)</t>
  </si>
  <si>
    <t>Data base da categoria</t>
  </si>
  <si>
    <t>MÓDULO 1 - Composição da Remuneração</t>
  </si>
  <si>
    <t>%</t>
  </si>
  <si>
    <t>Valor (R$)</t>
  </si>
  <si>
    <r>
      <t xml:space="preserve">Salário ( </t>
    </r>
    <r>
      <rPr>
        <sz val="8"/>
        <rFont val="Arial"/>
        <family val="2"/>
      </rPr>
      <t>Piso salarial - acordo coletivo</t>
    </r>
    <r>
      <rPr>
        <sz val="11"/>
        <color theme="1"/>
        <rFont val="Calibri"/>
        <family val="2"/>
        <scheme val="minor"/>
      </rPr>
      <t>) Março 2019</t>
    </r>
  </si>
  <si>
    <t>Adicional de Periculosidade</t>
  </si>
  <si>
    <t>Adicional de Insalubridade</t>
  </si>
  <si>
    <t>Adicional noturno</t>
  </si>
  <si>
    <t xml:space="preserve">E </t>
  </si>
  <si>
    <t>Hora noturna adicional</t>
  </si>
  <si>
    <t>F</t>
  </si>
  <si>
    <t>Adicional de Hora Extra</t>
  </si>
  <si>
    <t>G</t>
  </si>
  <si>
    <t xml:space="preserve">Outros (especificar) </t>
  </si>
  <si>
    <t>Total de Remuneração</t>
  </si>
  <si>
    <t>Módulo 2 - Encargos e Benefícios Anuais, Mensais e Diários</t>
  </si>
  <si>
    <t>Submódulo 2.1 - 13º Salário, Férias e Adicional de Férias</t>
  </si>
  <si>
    <t>R$</t>
  </si>
  <si>
    <t>13º salário</t>
  </si>
  <si>
    <t>Férias e Adicional de Férias</t>
  </si>
  <si>
    <t>Total (2.1):</t>
  </si>
  <si>
    <t>Submódulo 2.2 - Encargos Previdenciários (GPS), FGTS e outras contribuições</t>
  </si>
  <si>
    <t>INSS</t>
  </si>
  <si>
    <t>Salário Educação</t>
  </si>
  <si>
    <t>SAT</t>
  </si>
  <si>
    <t>SESC ou SESI</t>
  </si>
  <si>
    <t>SENAI - SENAC</t>
  </si>
  <si>
    <t>SEBRAE</t>
  </si>
  <si>
    <t>INCRA</t>
  </si>
  <si>
    <t>H</t>
  </si>
  <si>
    <t>FGTS</t>
  </si>
  <si>
    <t>Total (2.2):</t>
  </si>
  <si>
    <t>Submódulo 2.3 - Benefícios Mensais e Diários</t>
  </si>
  <si>
    <r>
      <t xml:space="preserve">Transporte </t>
    </r>
    <r>
      <rPr>
        <sz val="8"/>
        <color theme="1"/>
        <rFont val="Arial"/>
        <family val="2"/>
      </rPr>
      <t>(R$ 4,05 x 04 passagens/dia x 22 dias úteis - 6,00% Salário)</t>
    </r>
  </si>
  <si>
    <t>Auxílio Alimentação</t>
  </si>
  <si>
    <t>Café da manhã</t>
  </si>
  <si>
    <t>Seguro de Vida, invalidez e funeral</t>
  </si>
  <si>
    <t>Outros</t>
  </si>
  <si>
    <t>Total de Benefícios mensais e diários</t>
  </si>
  <si>
    <t>Encargos e Benefícios Anuais, Mensais e Diários</t>
  </si>
  <si>
    <t>MÉDIAS</t>
  </si>
  <si>
    <t>13º Salário, Férias e Adicional de Férias</t>
  </si>
  <si>
    <t>GPS, FGTS e outras contribuições</t>
  </si>
  <si>
    <t>2.3</t>
  </si>
  <si>
    <t>Benefícios Mensais e Diários</t>
  </si>
  <si>
    <t>Módulo 3 - Provisão para rescisão</t>
  </si>
  <si>
    <t>3 - Provisão para Rescisão</t>
  </si>
  <si>
    <r>
      <t xml:space="preserve">Aviso prévio indenizado </t>
    </r>
    <r>
      <rPr>
        <i/>
        <sz val="11"/>
        <color rgb="FFFF0000"/>
        <rFont val="Calibri"/>
        <family val="2"/>
        <scheme val="minor"/>
      </rPr>
      <t>(1 salário integral x (1 mês não trabalhado / 12 meses) x 5,5% estatística = 0,46%)</t>
    </r>
  </si>
  <si>
    <r>
      <t xml:space="preserve">Incidência do FGTS sobre aviso prévio indenizado </t>
    </r>
    <r>
      <rPr>
        <i/>
        <sz val="11"/>
        <color rgb="FFFF0000"/>
        <rFont val="Calibri"/>
        <family val="2"/>
        <scheme val="minor"/>
      </rPr>
      <t>(8% x 0,42% = 0,03%)</t>
    </r>
  </si>
  <si>
    <t xml:space="preserve">Multa do FGTS e contribuições sociais sobre o aviso prévio indenizado </t>
  </si>
  <si>
    <r>
      <t xml:space="preserve">Aviso prévio trabalhado </t>
    </r>
    <r>
      <rPr>
        <i/>
        <sz val="11"/>
        <color rgb="FFFF0000"/>
        <rFont val="Calibri"/>
        <family val="2"/>
        <scheme val="minor"/>
      </rPr>
      <t>([(1 salário integral / 30 dias) x 7 dias] / 12 meses = 1,94%)</t>
    </r>
  </si>
  <si>
    <r>
      <t xml:space="preserve">Incidência do total 2.2 sobre aviso prévio trabalhado </t>
    </r>
    <r>
      <rPr>
        <i/>
        <sz val="11"/>
        <color rgb="FFFF0000"/>
        <rFont val="Calibri"/>
        <family val="2"/>
        <scheme val="minor"/>
      </rPr>
      <t>((Submódulo 2.2) x 1,94%)</t>
    </r>
  </si>
  <si>
    <r>
      <t xml:space="preserve">Multa do FGTS e contribuições sociais sobre o aviso prévio trabalhado </t>
    </r>
    <r>
      <rPr>
        <sz val="11"/>
        <color rgb="FFFF0000"/>
        <rFont val="Calibri"/>
        <family val="2"/>
        <scheme val="minor"/>
      </rPr>
      <t>(8% x 40% = 3,2%)</t>
    </r>
  </si>
  <si>
    <t>Total (3):</t>
  </si>
  <si>
    <t xml:space="preserve">Módulo 4 - Custo de reposição do profissional ausente </t>
  </si>
  <si>
    <t xml:space="preserve"> Ausências Legais</t>
  </si>
  <si>
    <t xml:space="preserve">Férias </t>
  </si>
  <si>
    <t>Ausências legais</t>
  </si>
  <si>
    <t>Licença paternidade</t>
  </si>
  <si>
    <t>Ausência por Acidente de trabalho</t>
  </si>
  <si>
    <t>Afastamento maternidade</t>
  </si>
  <si>
    <t>Outros (especificar)</t>
  </si>
  <si>
    <t>Total (4.5):</t>
  </si>
  <si>
    <t>4.2</t>
  </si>
  <si>
    <t>Intrajornada</t>
  </si>
  <si>
    <t>Intervalo para repouso ou alimentação</t>
  </si>
  <si>
    <t>Custo de Reposição do Profissional Ausente</t>
  </si>
  <si>
    <t>Ausências Legais</t>
  </si>
  <si>
    <t xml:space="preserve">MÓDULO 5 - INSUMOS DIVERSOS </t>
  </si>
  <si>
    <r>
      <t xml:space="preserve">Insumos Diversos </t>
    </r>
    <r>
      <rPr>
        <sz val="11"/>
        <color theme="1"/>
        <rFont val="Calibri"/>
        <family val="2"/>
        <scheme val="minor"/>
      </rPr>
      <t>(Valores mensais por empregado)</t>
    </r>
  </si>
  <si>
    <t>Uniformes</t>
  </si>
  <si>
    <t>Materiais e equipamentos</t>
  </si>
  <si>
    <t>Equipamentos de Proteção Individual</t>
  </si>
  <si>
    <t>Total de Insumos Diversos</t>
  </si>
  <si>
    <t>Quadro Resumo - Encargos sociais e trabalhistas</t>
  </si>
  <si>
    <t>Quadro resumo</t>
  </si>
  <si>
    <r>
      <t>M</t>
    </r>
    <r>
      <rPr>
        <sz val="9"/>
        <rFont val="Arial"/>
        <family val="2"/>
      </rPr>
      <t>ódulo</t>
    </r>
    <r>
      <rPr>
        <sz val="11"/>
        <color theme="1"/>
        <rFont val="Calibri"/>
        <family val="2"/>
        <scheme val="minor"/>
      </rPr>
      <t xml:space="preserve"> 1 - Composição da Remuneração</t>
    </r>
  </si>
  <si>
    <r>
      <rPr>
        <sz val="11"/>
        <rFont val="Arial"/>
        <family val="2"/>
      </rPr>
      <t>Módulo</t>
    </r>
    <r>
      <rPr>
        <sz val="11"/>
        <color theme="1"/>
        <rFont val="Calibri"/>
        <family val="2"/>
        <scheme val="minor"/>
      </rPr>
      <t xml:space="preserve"> 2 - Encargos e Benefícios Anuais, Mensais e Diários</t>
    </r>
  </si>
  <si>
    <r>
      <rPr>
        <sz val="11"/>
        <rFont val="Arial"/>
        <family val="2"/>
      </rPr>
      <t>Módulo</t>
    </r>
    <r>
      <rPr>
        <sz val="11"/>
        <color theme="1"/>
        <rFont val="Calibri"/>
        <family val="2"/>
        <scheme val="minor"/>
      </rPr>
      <t xml:space="preserve"> 3 - Provisão para rescisão</t>
    </r>
  </si>
  <si>
    <r>
      <rPr>
        <sz val="11"/>
        <rFont val="Arial"/>
        <family val="2"/>
      </rPr>
      <t>Módulo</t>
    </r>
    <r>
      <rPr>
        <sz val="11"/>
        <color theme="1"/>
        <rFont val="Calibri"/>
        <family val="2"/>
        <scheme val="minor"/>
      </rPr>
      <t xml:space="preserve"> 4 - Custo de reposição do profissional ausente</t>
    </r>
  </si>
  <si>
    <t>Módulo 5 - Insumos Diversos</t>
  </si>
  <si>
    <t>Módulo 6 - Custos Indiretos, Lucros e Tributos</t>
  </si>
  <si>
    <t>Custos Indiretos, Tributos e Lucro</t>
  </si>
  <si>
    <t>Custos Indiretos</t>
  </si>
  <si>
    <t xml:space="preserve">Lucro </t>
  </si>
  <si>
    <t>Tributos</t>
  </si>
  <si>
    <t>PIS</t>
  </si>
  <si>
    <t xml:space="preserve">COFINS </t>
  </si>
  <si>
    <t>ISSQN (2 a 5%)</t>
  </si>
  <si>
    <t>Incidência do Submódulo 2.2 sobre Custos Indiretos, Tributos e Lucro</t>
  </si>
  <si>
    <t xml:space="preserve">Total </t>
  </si>
  <si>
    <t xml:space="preserve"> QUADRO-RESUMO DO CUSTO POR EMPREGADO</t>
  </si>
  <si>
    <t>Mão-de-Obra vinculada à execução contratual (valor por empregado)</t>
  </si>
  <si>
    <t>Módulo 1 - Composição da Remuneração</t>
  </si>
  <si>
    <t>Módulo 4 - Custo de reposição do profissional ausente</t>
  </si>
  <si>
    <t>Subtotal (A+B+C+D)</t>
  </si>
  <si>
    <t>Custos indiretos, tributos e lucro</t>
  </si>
  <si>
    <t>Valor total por empregado</t>
  </si>
  <si>
    <t xml:space="preserve"> QUADRO-RESUMO VALOR MENSAL DO SERVIÇO</t>
  </si>
  <si>
    <t xml:space="preserve">Serviço </t>
  </si>
  <si>
    <t xml:space="preserve">Valor proposto </t>
  </si>
  <si>
    <t>Quantidade de empregados</t>
  </si>
  <si>
    <t>Valor proposto</t>
  </si>
  <si>
    <t>Quantidade</t>
  </si>
  <si>
    <t>Valor total</t>
  </si>
  <si>
    <t>p/empregado</t>
  </si>
  <si>
    <t>por posto</t>
  </si>
  <si>
    <t>p/posto</t>
  </si>
  <si>
    <t>postos</t>
  </si>
  <si>
    <t>do Serviço</t>
  </si>
  <si>
    <t>QUADRO-DEMONSTRATIVO-VALOR GLOBAL DA PROPOSTA</t>
  </si>
  <si>
    <t>Valor Global da Proposta</t>
  </si>
  <si>
    <t>Valor proposto por unidade de medida (por tipo de serviço)</t>
  </si>
  <si>
    <t>Valor diária do serviço</t>
  </si>
  <si>
    <t>PEDEIRO</t>
  </si>
  <si>
    <t>SENGE RJ</t>
  </si>
  <si>
    <r>
      <t xml:space="preserve">Salário normativo da categoria profissional </t>
    </r>
    <r>
      <rPr>
        <sz val="11"/>
        <color rgb="FFFF0000"/>
        <rFont val="Calibri"/>
        <family val="2"/>
        <scheme val="minor"/>
      </rPr>
      <t>(Para jornadas de 6 horas)</t>
    </r>
  </si>
  <si>
    <t>REFERÊNCIA SINAPI (JANEIRO/2022), SCO E MERCADO :</t>
  </si>
  <si>
    <t>AREA</t>
  </si>
  <si>
    <t>CODSERV</t>
  </si>
  <si>
    <t>CÓD. REFERÊNCIA</t>
  </si>
  <si>
    <t>DESCRICAOSER</t>
  </si>
  <si>
    <t>QANT</t>
  </si>
  <si>
    <t>P. UNIT</t>
  </si>
  <si>
    <t>BDI</t>
  </si>
  <si>
    <t>P. UNIT COM BDI</t>
  </si>
  <si>
    <t>ELÉTRICA</t>
  </si>
  <si>
    <t>SINAPI.39387</t>
  </si>
  <si>
    <t>LAMPADA LED TUBULAR BIVOLT 18/20 W, BASE G13</t>
  </si>
  <si>
    <t>UN</t>
  </si>
  <si>
    <t>SINAPI.39386</t>
  </si>
  <si>
    <t>LAMPADA LED TUBULAR BIVOLT 9/10 W, BASE G13</t>
  </si>
  <si>
    <t>SINAPI.38194</t>
  </si>
  <si>
    <t>LAMPADA LED 10 W BIVOLT BRANCA, FORMATO TRADICIONAL (BASE E27)</t>
  </si>
  <si>
    <t>SINAPI.38193</t>
  </si>
  <si>
    <t>LAMPADA LED 6 W BIVOLT BRANCA, FORMATO TRADICIONAL (BASE E27)</t>
  </si>
  <si>
    <t>SINAPI.3799</t>
  </si>
  <si>
    <t>LUMINARIA DE SOBREPOR EM CHAPA DE ACO PARA 2 LAMPADAS FLUORESCENTES DE *36* W, ALETADA, COMPLETA (LAMPADAS E REATOR INCLUSOS)</t>
  </si>
  <si>
    <t>SINAPI.34686</t>
  </si>
  <si>
    <t>DISJUNTOR TIPO DIN / IEC, MONOPOLAR DE 40 ATE 50A</t>
  </si>
  <si>
    <t>SINAPI.34616</t>
  </si>
  <si>
    <t>DISJUNTOR TIPO DIN/IEC, BIPOLAR DE 6 ATE 32A</t>
  </si>
  <si>
    <t>SINAPI.34623</t>
  </si>
  <si>
    <t>DISJUNTOR TIPO DIN/IEC, BIPOLAR 40 ATE 50A</t>
  </si>
  <si>
    <t>SINAPI.34628</t>
  </si>
  <si>
    <t>DISJUNTOR TIPO DIN/IEC, BIPOLAR 63 A</t>
  </si>
  <si>
    <t>SINAPI.34653</t>
  </si>
  <si>
    <t>DISJUNTOR TIPO DIN/IEC, MONOPOLAR DE 6 ATE 32A</t>
  </si>
  <si>
    <t>SINAPI.34688</t>
  </si>
  <si>
    <t>DISJUNTOR TIPO DIN/IEC, MONOPOLAR DE 63 A</t>
  </si>
  <si>
    <t>SINAPI.34709</t>
  </si>
  <si>
    <t>DISJUNTOR TIPO DIN/IEC, TRIPOLAR DE 10 ATE 50A</t>
  </si>
  <si>
    <t>SINAPI.34714</t>
  </si>
  <si>
    <t>DISJUNTOR TIPO DIN/IEC, TRIPOLAR 63 A</t>
  </si>
  <si>
    <t>SINAPI.2391</t>
  </si>
  <si>
    <t>DISJUNTOR TERMOMAGNETICO TRIPOLAR 125A</t>
  </si>
  <si>
    <t>SINAPI.2374</t>
  </si>
  <si>
    <t>DISJUNTOR TERMOMAGNETICO TRIPOLAR 150 A / 600 V, TIPO FXD / ICC - 35 KA</t>
  </si>
  <si>
    <t>SINAPI.39756</t>
  </si>
  <si>
    <t>QUADRO DE DISTRIBUICAO COM BARRAMENTO TRIFASICO, DE SOBREPOR, EM CHAPA DE ACO GALVANIZADO, PARA 12 DISJUNTORES DIN, 100 A</t>
  </si>
  <si>
    <t>SINAPI.13395</t>
  </si>
  <si>
    <t>QUADRO DE DISTRIBUICAO COM BARRAMENTO TRIFASICO, DE EMBUTIR, EM CHAPA DE ACO GALVANIZADO, PARA 18 DISJUNTORES DIN, 100 A, INCLUINDO BARRAMENTO</t>
  </si>
  <si>
    <t>SINAPI.12039</t>
  </si>
  <si>
    <t>QUADRO DE DISTRIBUICAO COM BARRAMENTO TRIFASICO, DE EMBUTIR, EM CHAPA DE ACO GALVANIZADO, PARA 24 DISJUNTORES DIN, 100 A</t>
  </si>
  <si>
    <t>SINAPI.12038</t>
  </si>
  <si>
    <t>QUADRO DE DISTRIBUICAO COM BARRAMENTO TRIFASICO, DE SOBREPOR, EM CHAPA DE ACO GALVANIZADO, PARA 18 DISJUNTORES DIN, 100 A</t>
  </si>
  <si>
    <t>SINAPI.39757</t>
  </si>
  <si>
    <t>QUADRO DE DISTRIBUICAO COM BARRAMENTO TRIFASICO, DE SOBREPOR, EM CHAPA DE ACO GALVANIZADO, PARA 28 DISJUNTORES DIN, 100 A</t>
  </si>
  <si>
    <t>SINAPI.39599</t>
  </si>
  <si>
    <t>CABO DE PAR TRANCADO UTP, 4 PARES, CATEGORIA 6</t>
  </si>
  <si>
    <t>M</t>
  </si>
  <si>
    <t>SINAPI.1013</t>
  </si>
  <si>
    <t>CABO DE COBRE, FLEXIVEL, CLASSE 4 OU 5, ISOLACAO EM PVC/A, ANTICHAMA BWF-B, 1 CONDUTOR, 450/750 V, SECAO NOMINAL 1,5 MM2</t>
  </si>
  <si>
    <t>SINAPI.1014</t>
  </si>
  <si>
    <t>CABO DE COBRE, FLEXIVEL, CLASSE 4 OU 5, ISOLACAO EM PVC/A, ANTICHAMA BWF-B, 1 CONDUTOR, 450/750 V, SECAO NOMINAL 2,5 MM2</t>
  </si>
  <si>
    <t>SINAPI.0981</t>
  </si>
  <si>
    <t>CABO DE COBRE, FLEXIVEL, CLASSE 4 OU 5, ISOLACAO EM PVC/A, ANTICHAMA BWF-B, 1 CONDUTOR, 450/750 V, SECAO NOMINAL 4 MM2</t>
  </si>
  <si>
    <t>SINAPI.1872</t>
  </si>
  <si>
    <t>CAIXA DE PASSAGEM, EM PVC, DE 4" X 2", PARA ELETRODUTO FLEXIVEL CORRUGADO</t>
  </si>
  <si>
    <t>SINAPI.1873</t>
  </si>
  <si>
    <t>CAIXA DE PASSAGEM, EM PVC, DE 4" X 4", PARA ELETRODUTO FLEXIVEL CORRUGADO</t>
  </si>
  <si>
    <t>SINAPI.38068</t>
  </si>
  <si>
    <t>INTERRUPTORES SIMPLES (2 MODULOS) 10A, 250V, CONJUNTO MONTADO PARA EMBUTIR 4" X 2" (PLACA + SUPORTE + MODULOS)</t>
  </si>
  <si>
    <t>SINAPI.38071</t>
  </si>
  <si>
    <t>INTERRUPTORES SIMPLES (3 MODULOS) 10A, 250V, CONJUNTO MONTADO PARA EMBUTIR 4" X 2" (PLACA + SUPORTE + MODULOS)</t>
  </si>
  <si>
    <t>SINAPI.38062</t>
  </si>
  <si>
    <t>INTERRUPTOR SIMPLES 10A, 250V, CONJUNTO MONTADO PARA EMBUTIR 4" X 2" (PLACA + SUPORTE + MODULO)</t>
  </si>
  <si>
    <t>SINAPI.1623</t>
  </si>
  <si>
    <t>CONTATOR TRIPOLAR, CORRENTE DE 12 A, TENSAO NOMINAL DE *500* V, CATEGORIA AC-2 E AC-3</t>
  </si>
  <si>
    <t>SINAPI.1625</t>
  </si>
  <si>
    <t>CONTATOR TRIPOLAR, CORRENTE DE *22* A, TENSAO NOMINAL DE *500* V, CATEGORIA AC-2 E AC-3</t>
  </si>
  <si>
    <t>SINAPI.11904</t>
  </si>
  <si>
    <t>CABO TELEFONICO CCI 50, 4 PARES, USO INTERNO, SEM BLINDAGEM</t>
  </si>
  <si>
    <t>MERCADO</t>
  </si>
  <si>
    <t>CANALETA SISTEMA X SEM DIVISÓRIA COM ADESIVO 20X12X2000 (LEGRAND - 30802ADX OU SIMILAR)</t>
  </si>
  <si>
    <t>SINAPI.38076</t>
  </si>
  <si>
    <t>TOMADAS (2 MODULOS) 2P+T 10A, 250V, CONJUNTO MONTADO PARA EMBUTIR 4" X 2" (PLACA + SUPORTE + MODULOS)</t>
  </si>
  <si>
    <t>SINAPI.38102</t>
  </si>
  <si>
    <t>TOMADA 2P+T 20A, 250V (APENAS MODULO)</t>
  </si>
  <si>
    <t>SINAPI.38101</t>
  </si>
  <si>
    <t>TOMADA 2P+T 10A, 250V (APENAS MODULO)</t>
  </si>
  <si>
    <t>SINAPI.38083</t>
  </si>
  <si>
    <t>TOMADA RJ45, 8 FIOS, CAT 5E, CONJUNTO MONTADO PARA EMBUTIR 4" X 2" (PLACA + SUPORTE + MODULO)</t>
  </si>
  <si>
    <t>SINAPI.38082</t>
  </si>
  <si>
    <t>TOMADA RJ11, 2 FIOS, CONJUNTO MONTADO PARA EMBUTIR 4" X 2" (PLACA + SUPORTE + MODULO)</t>
  </si>
  <si>
    <t>TOMADA SISTEMA X 2P+T 20A 250V NBR14136 (LEGRAND - 675061 OU SIMILAR)</t>
  </si>
  <si>
    <t>SCO.MAT139320</t>
  </si>
  <si>
    <t>Tomada 2P+T - 10A/250V padrao brasileiro, sistema "X" fabricacao Pial Legrand ou similar</t>
  </si>
  <si>
    <t>SINAPI.39607</t>
  </si>
  <si>
    <t>PATCH CORD, CATEGORIA 6, EXTENSAO DE 2,50 M</t>
  </si>
  <si>
    <t>CABO DE REDE (PATCH CORD) CATEGORIA 6, EXTENSÃO DE 10 METROS (PLUS CABLE PC-ETH6U100BL OU SIMILAR)</t>
  </si>
  <si>
    <t>HIDROSANITÁRIA</t>
  </si>
  <si>
    <t>SINAPI.0377</t>
  </si>
  <si>
    <t>ASSENTO SANITARIO DE PLASTICO, TIPO CONVENCIONAL</t>
  </si>
  <si>
    <t>SINAPI.1370</t>
  </si>
  <si>
    <t>DUCHA HIGIENICA PLASTICA COM REGISTRO METALICO 1/2 "</t>
  </si>
  <si>
    <t>SINAPI.11758</t>
  </si>
  <si>
    <t>SABONETEIRA PLASTICA TIPO DISPENSER PARA SABONETE LIQUIDO COM RESERVATORIO 800 a 1500 ML</t>
  </si>
  <si>
    <t>SINAPI.37401</t>
  </si>
  <si>
    <t>TOALHEIRO PLASTICO TIPO DISPENSER PARA PAPEL TOALHA INTERFOLHADO</t>
  </si>
  <si>
    <t>CARRAPETA UNIVERSAL COM VEDANTE 3/4" (BLUKIT - 060514-450 OU SIMILAR)</t>
  </si>
  <si>
    <t>KIT UNIVERSAL DUPLO ACIONAMENTO CAIXA ACOPLADA (DECA - 1100.SI.60.01 OU SIMILAR)</t>
  </si>
  <si>
    <t>KIT BOTÃO DUPLO ACIONAMENTO PARA CAIXA DE DESCARGA ACOPLADA (DECA - 1100.SI.56.01 OU SIMILAR)</t>
  </si>
  <si>
    <t>GRELHA DE METAL INOX, PARA RALO, 15X15 CM, TAMPA QUADRADA, C/FECHO, S/CAIXILHO  (HIDROFIX OU SIMILAR)</t>
  </si>
  <si>
    <t>GRELHA DE METAL INOX, PARA RALO, 10X10 CM, TAMPA QUADRADA, C/FECHO, S/CAIXILHO  (HIDROFIX OU SIMILAR)</t>
  </si>
  <si>
    <t>CAIXILHO PARA GRELHA SUPORTE PARA RALO QUADRADO INOX 15X15 CM</t>
  </si>
  <si>
    <t>CAIXILHO PARA GRELHA SUPORTE PARA RALO QUADRADO INOX 10X10 CM</t>
  </si>
  <si>
    <t>SINAPI.13415</t>
  </si>
  <si>
    <t>TORNEIRA DE MESA/BANCADA, PARA LAVATORIO, FIXA, METALICA CROMADA, PADRAO POPULAR, 1/2 " OU 3/4 " (REF 1193)</t>
  </si>
  <si>
    <t>SINAPI.36791</t>
  </si>
  <si>
    <t>TORNEIRA METALICA CROMADA DE MESA PARA LAVATORIO, BICA ALTA, COM AREJADOR (REF 1195)</t>
  </si>
  <si>
    <t>SINAPI.1367</t>
  </si>
  <si>
    <t>CHUVEIRO COMUM EM PLASTICO CROMADO, COM CANO, 4 TEMPERATURAS (110/220 V)</t>
  </si>
  <si>
    <t>SINAPI.11829</t>
  </si>
  <si>
    <t>TORNEIRA DE BOIA CONVENCIONAL PARA CAIXA D'AGUA, AGUA FRIA, 1/2", COM HASTE E TORNEIRA METALICOS E BALAO PLASTICO</t>
  </si>
  <si>
    <t>SINAPI.11830</t>
  </si>
  <si>
    <t>TORNEIRA DE BOIA CONVENCIONAL PARA CAIXA D'AGUA, AGUA FRIA, 3/4", COM HASTE E TORNEIRA METALICOS E BALAO PLASTICO</t>
  </si>
  <si>
    <t>SINAPI.10425</t>
  </si>
  <si>
    <t>LAVATORIO DE LOUCA BRANCA, SUSPENSO (SEM COLUNA), DIMENSOES *40 X 30* CM</t>
  </si>
  <si>
    <t>SINAPI.21112</t>
  </si>
  <si>
    <t>VALVULA DE DESCARGA EM METAL CROMADO PARA MICTORIO COM ACIONAMENTO POR PRESSAO E FECHAMENTO AUTOMATICO</t>
  </si>
  <si>
    <t>SINAPI.6136</t>
  </si>
  <si>
    <t>SIFAO EM METAL CROMADO PARA PIA OU LAVATORIO, 1 X 1.1/2 "</t>
  </si>
  <si>
    <t>SINAPI.6146</t>
  </si>
  <si>
    <t xml:space="preserve">SIFAO PLASTICO TIPO COPO PARA TANQUE, 1.1/4 X 1.1/2 "
</t>
  </si>
  <si>
    <t>SINAPI.11674</t>
  </si>
  <si>
    <t>REGISTRO DE ESFERA, PVC, COM VOLANTE, VS, SOLDAVEL, DN 25 MM, COM CORPO DIVIDIDO</t>
  </si>
  <si>
    <t>SINAPI.6016</t>
  </si>
  <si>
    <t>REGISTRO GAVETA BRUTO EM LATAO FORJADO, BITOLA 3/4 " (REF 1509)</t>
  </si>
  <si>
    <t>SINAPI.11741</t>
  </si>
  <si>
    <t>RALO SIFONADO CILINDRICO, PVC, 100 X 40 MM, COM GRELHA REDONDA BRANCA</t>
  </si>
  <si>
    <t>SINAPI.11739</t>
  </si>
  <si>
    <t>RALO SECO CONICO, PVC, 100 X 40 MM, COM GRELHA REDONDA BRANCA</t>
  </si>
  <si>
    <t>SINAPI.6141</t>
  </si>
  <si>
    <t>ENGATE/RABICHO FLEXIVEL PLASTICO (PVC OU ABS) BRANCO 1/2 " X 30 CM</t>
  </si>
  <si>
    <t>SINAPI.11681</t>
  </si>
  <si>
    <t>ENGATE/RABICHO FLEXIVEL PLASTICO (PVC OU ABS) BRANCO 1/2 " X 40 CM</t>
  </si>
  <si>
    <t>SINAPI.5103</t>
  </si>
  <si>
    <t>CAIXA SIFONADA PVC, 100 X 100 X 50 MM, COM GRELHA REDONDA, BRANCA</t>
  </si>
  <si>
    <t>SINAPI.9868</t>
  </si>
  <si>
    <t>TUBO PVC, SOLDAVEL, DN 25 MM, AGUA FRIA (NBR-5648)</t>
  </si>
  <si>
    <t>SINAPI.3529</t>
  </si>
  <si>
    <t>JOELHO PVC, SOLDAVEL, 90 GRAUS, 25 MM, PARA AGUA FRIA PREDIAL</t>
  </si>
  <si>
    <t>SINAPI.3524</t>
  </si>
  <si>
    <t>JOELHO PVC, SOLDAVEL, COM BUCHA DE LATAO, 90 GRAUS, 25 MM X 3/4", PARA AGUA FRIA PREDIAL</t>
  </si>
  <si>
    <t>SINAPI.3904</t>
  </si>
  <si>
    <t>LUVA PVC SOLDAVEL, 25 MM, PARA AGUA FRIA PREDIAL</t>
  </si>
  <si>
    <t>SINAPI.0065</t>
  </si>
  <si>
    <t>ADAPTADOR PVC SOLDAVEL CURTO COM BOLSA E ROSCA, 25 MM X 3/4", PARA AGUA FRIA</t>
  </si>
  <si>
    <t>SINAPI.7139</t>
  </si>
  <si>
    <t>TE SOLDAVEL, PVC, 90 GRAUS, 25 MM, PARA AGUA FRIA PREDIAL (NBR 5648)</t>
  </si>
  <si>
    <t>SINAPI.7137</t>
  </si>
  <si>
    <t>TE PVC, SOLDAVEL, COM BUCHA DE LATAO NA BOLSA CENTRAL, 90 GRAUS, 25 MM X 1/2", PARA AGUA FRIA PREDIAL</t>
  </si>
  <si>
    <t>SINAPI 7136</t>
  </si>
  <si>
    <t>TE DE REDUCAO, PVC, SOLDAVEL, 90 GRAUS, 32 MM X 25 MM, PARA AGUA FRIA PREDIAL</t>
  </si>
  <si>
    <t>SINAPI.3869</t>
  </si>
  <si>
    <t>LUVA DE REDUCAO SOLDAVEL, PVC, 32 MM X 25 MM, PARA AGUA FRIA PREDIAL</t>
  </si>
  <si>
    <t>CIVIL</t>
  </si>
  <si>
    <t>SINAPI.37593</t>
  </si>
  <si>
    <t>BLOCO CERAMICO / TIJOLO VAZADO PARA ALVENARIA DE VEDACAO, FUROS NA VERTICAL, 14 X 19 X 39 CM (NBR 15270)</t>
  </si>
  <si>
    <t>SINAPI.1379</t>
  </si>
  <si>
    <t>CIMENTO PORTLAND COMPOSTO CP II-32</t>
  </si>
  <si>
    <t>KG</t>
  </si>
  <si>
    <t>SINAPI.4721</t>
  </si>
  <si>
    <t>PEDRA BRITADA N. 1 (9,5 a 19 MM) POSTO PEDREIRA/FORNECEDOR, SEM FRETE</t>
  </si>
  <si>
    <t>M3</t>
  </si>
  <si>
    <t>SINAPI.0370</t>
  </si>
  <si>
    <t>AREIA MEDIA - POSTO JAZIDA/FORNECEDOR (RETIRADO NA JAZIDA, SEM TRANSPORTE)</t>
  </si>
  <si>
    <t>SCO.MAT089900</t>
  </si>
  <si>
    <t>Massa pronta, para revestimento, saco de 50Kg, Qualimassa ou similar</t>
  </si>
  <si>
    <t>SINAPI.0371</t>
  </si>
  <si>
    <t>ARGAMASSA INDUSTRIALIZADA MULTIUSO, PARA REVESTIMENTO INTERNO E EXTERNO E ASSENTAMENTO DE BLOCOS DIVERSOS</t>
  </si>
  <si>
    <t>SINAPI.0536</t>
  </si>
  <si>
    <t>REVESTIMENTO EM CERAMICA ESMALTADA EXTRA, PEI MENOR OU IGUAL A 3, FORMATO MENOR OU IGUAL A 2025 CM2</t>
  </si>
  <si>
    <t>M2</t>
  </si>
  <si>
    <t>SINAPI.10515</t>
  </si>
  <si>
    <t>REVESTIMENTO EM CERAMICA ESMALTADA EXTRA, PEI MAIOR OU IGUAL 4, FORMATO MAIOR A 2025 CM2</t>
  </si>
  <si>
    <t>SINAPI.34680</t>
  </si>
  <si>
    <t>RODAPE PRE-MOLDADO DE GRANILITE, MARMORITE OU GRANITINA L = 10 CM</t>
  </si>
  <si>
    <t>SCO.MAT087750</t>
  </si>
  <si>
    <t>Madeira aparelhada, com canto boleado, secao (2 x 5)cm, rodape - grupos III e IV da Tabela Classificatoria de Especificacoes de Produtos Madeireiros</t>
  </si>
  <si>
    <t>SINAPI.4828</t>
  </si>
  <si>
    <t>SOLEIRA/ PEITORIL EM MARMORE, POLIDO, BRANCO COMUM, L= *15* CM, E= *2* CM, CORTE RETO</t>
  </si>
  <si>
    <t>SINAPI.39413</t>
  </si>
  <si>
    <t>PLACA / CHAPA DE GESSO ACARTONADO, STANDARD (ST), COR BRANCA, E = 12,5 MM, 1200 X 2400 MM (L X C)</t>
  </si>
  <si>
    <t>SINAPI.39427</t>
  </si>
  <si>
    <t>PERFIL CANALETA, FORMATO C, EM ACO ZINCADO, PARA ESTRUTURA FORRO DRYWALL, E = 0,5 MM, *46 X 18* (L X H), COMPRIMENTO 3 M</t>
  </si>
  <si>
    <t>SINAPI.39430</t>
  </si>
  <si>
    <t>PENDURAL OU PRESILHA REGULADORA, EM ACO GALVANIZADO, COM CORPO, MOLA E REBITE, PARA PERFIL TIPO CANALETA DE ESTRUTURA EM FORROS DRYWALL</t>
  </si>
  <si>
    <t>SINAPI.39432</t>
  </si>
  <si>
    <t>FITA DE PAPEL REFORCADA COM LAMINA DE METAL PARA REFORCO DE CANTOS DE CHAPA DE GESSO PARA DRYWALL</t>
  </si>
  <si>
    <t>SINAPI.39434</t>
  </si>
  <si>
    <t>MASSA DE REJUNTE EM PO PARA DRYWALL, A BASE DE GESSO, SECAGEM RAPIDA, PARA TRATAMENTO DE JUNTAS DE CHAPA DE GESSO (NECESSITA ADICAO DE AGUA)</t>
  </si>
  <si>
    <t>SINAPI.39435</t>
  </si>
  <si>
    <t>PARAFUSO DRY WALL, EM ACO FOSFATIZADO, CABECA TROMBETA E PONTA AGULHA (TA), COMPRIMENTO 25 MM</t>
  </si>
  <si>
    <t>SINAPI.39443</t>
  </si>
  <si>
    <t>PARAFUSO DRY WALL, EM ACO ZINCADO, CABECA LENTILHA E PONTA BROCA (LB), LARGURA 4,2 MM, COMPRIMENTO 13 MM</t>
  </si>
  <si>
    <t>SINAPI.40547</t>
  </si>
  <si>
    <t>PARAFUSO ZINCADO, AUTOBROCANTE, FLANGEADO, 4,2 MM X 19 MM</t>
  </si>
  <si>
    <t>CENTO</t>
  </si>
  <si>
    <t>SINAPI.43131</t>
  </si>
  <si>
    <t>ARAME GALVANIZADO 6 BWG, D = 5,16 MM (0,157 KG/M), OU 8 BWG, D = 4,19 MM (0,101 KG/M), OU 10 BWG, D = 3,40 MM (0,0713 KG/M)</t>
  </si>
  <si>
    <t>SINAPI.0345</t>
  </si>
  <si>
    <t>ARAME GALVANIZADO 18 BWG, D = 1,24MM (0,009 KG/M)</t>
  </si>
  <si>
    <t>SINAPI.3315</t>
  </si>
  <si>
    <t>GESSO EM PO PARA REVESTIMENTOS/MOLDURAS/SANCAS E USO GERAL</t>
  </si>
  <si>
    <t>SINAPI.4812</t>
  </si>
  <si>
    <t>PLACA DE GESSO PARA FORRO, *60 X 60* CM, ESPESSURA DE 12 MM (SEM COLOCACAO)</t>
  </si>
  <si>
    <t>SINAPI.20250</t>
  </si>
  <si>
    <t>SISAL EM FIBRA</t>
  </si>
  <si>
    <t>SINAPI.7173</t>
  </si>
  <si>
    <t>TELHA DE BARRO / CERAMICA, NAO ESMALTADA, TIPO COLONIAL, CANAL, PLAN, PAULISTACOMPRIMENTO DE *44 A 50* CM, RENDIMENTO DE COBERTURA DE *26* TELHAS/M2</t>
  </si>
  <si>
    <t>MIL</t>
  </si>
  <si>
    <t>SINAPI.40873</t>
  </si>
  <si>
    <t>RUFO INTERNO/EXTERNO DE CHAPA DE ACO GALVANIZADA NUM 24, CORTE 25 CM</t>
  </si>
  <si>
    <t>SINAPI.7237</t>
  </si>
  <si>
    <t>RUFO PARA TELHA ONDULADA DE FIBROCIMENTO, E = 6 MM, ABA *260* MM, COMPRIMENTO 1100 MM (SEM AMIANTO)</t>
  </si>
  <si>
    <t>SINAPI.3081</t>
  </si>
  <si>
    <t>FECHADURA ESPELHO PARA PORTA EXTERNA, EM ACO INOX (MAQUINA, TESTA E CONTRA-TESTA) E EM ZAMAC (MACANETA, LINGUETA E TRINCOS) COM ACABAMENTO CROMADO, MAQUINA DE 55 MM, INCLUINDO CHAVE TIPO CILINDRO</t>
  </si>
  <si>
    <t>CJ</t>
  </si>
  <si>
    <t>SINAPI.2420</t>
  </si>
  <si>
    <t>DOBRADICA EM ACO/FERRO, 3" X 2 1/2", E=1,9 A 2 MM, SEM ANEL, CROMADO OU ZINCADO, TAMPA BOLA, COM PARAFUSOS</t>
  </si>
  <si>
    <t>SCO.MAT090650</t>
  </si>
  <si>
    <t>Mola aerea automatica</t>
  </si>
  <si>
    <t>SINAPI.11499</t>
  </si>
  <si>
    <t>MOLA HIDRAULICA DE PISO, PARA PORTAS DE ATE 1100 MM E PESO DE ATE 120 KG, COM CORPO EM ACO INOX</t>
  </si>
  <si>
    <t>SINAPI.11520</t>
  </si>
  <si>
    <t>MACANETA ALAVANCA, RETA SIMPLES / OCA, CROMADA, COMPRIMENTO DE 10 A 16 CM, ACABAMENTO PADRAO POPULAR - SOMENTE MACANETAS</t>
  </si>
  <si>
    <t>SINAPI.7307</t>
  </si>
  <si>
    <t>FUNDO ANTICORROSIVO PARA METAIS FERROSOS (ZARCAO)</t>
  </si>
  <si>
    <t>L</t>
  </si>
  <si>
    <t>SINAPI.7311</t>
  </si>
  <si>
    <t>TINTA ESMALTE SINTETICO PREMIUM ACETINADO</t>
  </si>
  <si>
    <t>SCO.MAT138050</t>
  </si>
  <si>
    <t>Tinta - Verniz acrilico incolor</t>
  </si>
  <si>
    <t>GL</t>
  </si>
  <si>
    <t>SINAPI.43626</t>
  </si>
  <si>
    <t>MASSA CORRIDA PARA SUPERFICIES DE AMBIENTES INTERNOS</t>
  </si>
  <si>
    <t>SINAPI.43651</t>
  </si>
  <si>
    <t>MASSA ACRILICA PARA SUPERFICIES INTERNAS E EXTERNAS</t>
  </si>
  <si>
    <t>SINAPI.7356</t>
  </si>
  <si>
    <t>TINTA LATEX ACRILICA PREMIUM, COR BRANCO FOSCO</t>
  </si>
  <si>
    <t>SINAPI.4350</t>
  </si>
  <si>
    <t>BUCHA DE NYLON, DIAMETRO DO FURO 8 MM, COMPRIMENTO 40 MM, COM PARAFUSO DE ROSCA SOBERBA, CABECA CHATA, FENDA SIMPLES, 4,8 X 50 MM</t>
  </si>
  <si>
    <t>SCO.MAT053600</t>
  </si>
  <si>
    <t>Espelho cristal, com espessura de 4mm</t>
  </si>
  <si>
    <t>M²</t>
  </si>
  <si>
    <t>SINAPI.10492</t>
  </si>
  <si>
    <t>VIDRO LISO INCOLOR 4MM - SEM COLOCACAO</t>
  </si>
  <si>
    <t>SINAPI.10499</t>
  </si>
  <si>
    <t>VIDRO MARTELADO OU CANELADO, 4 MM - SEM COLOCACAO</t>
  </si>
  <si>
    <t>SINAPI.1743</t>
  </si>
  <si>
    <t>CUBA ACO INOX (AISI 304) DE EMBUTIR COM VALVULA 3 1/2 ", DE *46 X 30 X 12* CM</t>
  </si>
  <si>
    <t>AR-CONDICIONADO</t>
  </si>
  <si>
    <t>COMPRESSOR ROTATIVO, 12.000 BTUS, R22, 220V (TECUMSEH RGA5512EXD OU SIMILAR)</t>
  </si>
  <si>
    <t>COMPRESSOR SCROLL 5TR, 60.000 BTUS, R22, TRIFÁSICO, 220V (INVOTECH OU SIMILAR)</t>
  </si>
  <si>
    <t>COMPRESSOR SCROLL 7,5TR, 90.000 BTUS, R22, TRIFÁSICO, 220V (COPELAND OU SIMILAR)</t>
  </si>
  <si>
    <t>COMPRESSOR SCROLL 10TR, 120.000 BTUS, R22, TRIFÁSICO, 220V (SANYO OU SIMILAR)</t>
  </si>
  <si>
    <t>CAPACITOR SIMPLES DE 25UF, 450VAC, PARA COMPRESSOR DE AR CONDICIONADO</t>
  </si>
  <si>
    <t>CAPACITOR SIMPLES DE 30UF, 440VAC, PARA COMPRESSOR DE AR CONDICIONADO</t>
  </si>
  <si>
    <t>CAPACITOR SIMPLES DE 40UF, 440VAC, PARA COMPRESSOR DE AR CONDICIONADO</t>
  </si>
  <si>
    <t>CAPACITOR SIMPLES DE 45UF, 440VAC, PARA COMPRESSOR DE AR CONDICIONADO</t>
  </si>
  <si>
    <t>CAPACITOR SIMPLES DE 50UF, 380VAC, PARA COMPRESSOR DE AR CONDICIONADO</t>
  </si>
  <si>
    <t>CAPACITOR SIMPLES DE 55UF, 380VAC, PARA COMPRESSOR DE AR CONDICIONADO</t>
  </si>
  <si>
    <t>CAPACITOR SIMPLES DE 60UF, 380VAC, PARA COMPRESSOR DE AR CONDICIONADO</t>
  </si>
  <si>
    <t>CAPACITOR DUPLO DE 25+2,5UF, 450VAC, PARA COMPRESSOR DE AR CONDICIONADO</t>
  </si>
  <si>
    <t>CAPACITOR DUPLO DE 30+2,5UF, 440VAC, PARA COMPRESSOR DE AR CONDICIONADO</t>
  </si>
  <si>
    <t>CAPACITOR DUPLO DE 30+5,0UF, 380VAC, PARA COMPRESSOR DE AR CONDICIONADO</t>
  </si>
  <si>
    <t>CAPACITOR DUPLO DE 35+4,0UF, 440VAC, PARA COMPRESSOR DE AR CONDICIONADO</t>
  </si>
  <si>
    <t>CAPACITOR DUPLO DE 35+5,0UF, 380VAC, PARA COMPRESSOR DE AR CONDICIONADO</t>
  </si>
  <si>
    <t>CAPACITOR DUPLO DE 40+4,0UF, 440VAC, PARA COMPRESSOR DE AR CONDICIONADO</t>
  </si>
  <si>
    <t>CAPACITOR DUPLO DE 40+5,0UF, 440VAC, PARA COMPRESSOR DE AR CONDICIONADO</t>
  </si>
  <si>
    <t>CAPACITOR DUPLO DE 45+5,0UF, 380VAC, PARA COMPRESSOR DE AR CONDICIONADO</t>
  </si>
  <si>
    <t>CAPACITOR DUPLO DE 50+5,0UF, 380VAC, PARA COMPRESSOR DE AR CONDICIONADO</t>
  </si>
  <si>
    <t>CAPACITOR DUPLO DE 60+5,0UF, 380VAC, PARA COMPRESSOR DE AR CONDICIONADO</t>
  </si>
  <si>
    <t>CAPACITOR DUPLO DE 17+2.5 MFD 450VAC, PARA COMPRESSOR AR CONDICIONADO 9.000BTU</t>
  </si>
  <si>
    <t>CAPACITOR DE 17,5 MFD 380VAC PARA COMPRESSOR 9.000 OU 12.000BTU</t>
  </si>
  <si>
    <t>CAPACITOR DE 35 MFD 380VAC / 440VAC PARA COMPRESSOR 18.000BTU</t>
  </si>
  <si>
    <t>CAPACITOR SIMPLES DO MOTOR VENTILADOR 1,5UF 450VAC</t>
  </si>
  <si>
    <t>CAPACITOR SIMPLES DO MOTOR VENTILADOR 2,5UF 450VAC</t>
  </si>
  <si>
    <t>CAPACITOR SIMPLES DO MOTOR VENTILADOR 4UF 450VAC</t>
  </si>
  <si>
    <t>CAPACITOR SIMPLES DO MOTOR VENTILADOR 8UF 450VAC</t>
  </si>
  <si>
    <t>CAPACITOR 10MFD 380V C/TERMINAL 40X60</t>
  </si>
  <si>
    <t>CONTATOR TRIPOLAR DE 9A 1NA 220V</t>
  </si>
  <si>
    <t>CONTATOR TRIPOLAR DE 25A 220V</t>
  </si>
  <si>
    <t>CONTATOR TRIPOLAR DE 32A 220V</t>
  </si>
  <si>
    <t>CONTATOR TRIPOLAR DE 40A 220V</t>
  </si>
  <si>
    <t>CONTATOR TRIPOLAR DE 50A 220V</t>
  </si>
  <si>
    <t>CORREIA EM V PARA VENTILADOR AR COND B27</t>
  </si>
  <si>
    <t>CORREIA EM V PARA VENTILADOR AR COND B28</t>
  </si>
  <si>
    <t>CORREIA EM V PARA VENTILADOR AR COND B32</t>
  </si>
  <si>
    <t>CORREIA EM V PARA VENTILADOR AR COND B35</t>
  </si>
  <si>
    <t>CORREIA EM V PARA VENTILADOR AR COND B38</t>
  </si>
  <si>
    <t>CORREIA EM V PARA VENTILADOR AR COND B42</t>
  </si>
  <si>
    <t>CORREIA EM V PARA VENTILADOR AR COND B44</t>
  </si>
  <si>
    <t>CORREIA EM V PARA VENTILADOR AR COND B46</t>
  </si>
  <si>
    <t>CORREIA EM V PARA VENTILADOR AR COND AX 3U315</t>
  </si>
  <si>
    <t>CORREIA EM V PARA VENTILADOR AR COND A 3U300</t>
  </si>
  <si>
    <t>CORREIA EM V PARA VENTILADOR AR COND A27</t>
  </si>
  <si>
    <t>CORREIA EM V PARA VENTILADOR AR COND A32</t>
  </si>
  <si>
    <t>CORREIA EM V PARA VENTILADOR AR COND A34</t>
  </si>
  <si>
    <t>CORREIA EM V PARA VENTILADOR AR COND A38</t>
  </si>
  <si>
    <t>GÁS REFRIGERANTE R22, CILINDRO DE 13,6KG (PARA A MAIORIA DOS AR COND ATUAIS)</t>
  </si>
  <si>
    <t>GÁS REFRIGERANTE R410A, CILINDRO DE 11,34KG (PARA SIST INVERTER)</t>
  </si>
  <si>
    <t>GÁS REFRIGERANTE R134A, CILINDRO DE 13,6KG (SUBSTITUTO PARA O R12)</t>
  </si>
  <si>
    <t>GÁS REFRIGERANTE R141B, CILINDRO DE 13,6KG (SUBSTITUTO PARA O R11)</t>
  </si>
  <si>
    <t>LIMPA CONTATO BLACK SUL BRASIL 300ML 200GR</t>
  </si>
  <si>
    <t>GÁS ACETILENO PARA SOLDA BERNZOMATIC 880342 MAPP 400GR</t>
  </si>
  <si>
    <t>CILINDRO DE GÁS OXIGÊNIO 930ML 136G PARA TURBO SET</t>
  </si>
  <si>
    <t>PORCA LATÃO PARA REFRIGERAÇÃO DE 1/4"</t>
  </si>
  <si>
    <t>PORCA LATÃO PARA REFRIGERAÇÃO DE 3/8"</t>
  </si>
  <si>
    <t>PORCA LATÃO PARA REFRIGERAÇÃO DE 1/2"</t>
  </si>
  <si>
    <t>PORCA LATÃO PARA REFRIGERAÇÃO DE 5/8"</t>
  </si>
  <si>
    <t>PORCA LATÃO PARA REFRIGERAÇÃO DE 3/4"</t>
  </si>
  <si>
    <t>PORCA LATÃO PARA REFRIGERAÇÃO DE 7/8"</t>
  </si>
  <si>
    <t>NIPLES LATÃO PARA REFRIGERAÇÃO DE 1/4"</t>
  </si>
  <si>
    <t>NIPLES LATÃO PARA REFRIGERAÇÃO DE 3/8"</t>
  </si>
  <si>
    <t>NIPLES LATÃO PARA REFRIGERAÇÃO DE 1/2"</t>
  </si>
  <si>
    <t>NIPLES LATÃO PARA REFRIGERAÇÃO DE 5/8"</t>
  </si>
  <si>
    <t>NIPLES LATÃO PARA REFRIGERAÇÃO DE 3/4"</t>
  </si>
  <si>
    <t>NIPLES LATÃO PARA REFRIGERAÇÃO DE 7/8"</t>
  </si>
  <si>
    <t>PLUG FUSÍVEL DE SEGURANÇA (DISPOSITIVO PARA PROTEÇÃO DE BUJÃO FUSÍVEL)</t>
  </si>
  <si>
    <t>DETERGENTE DE LIMPEZA DE SERPENTINAS DE AR CONDICIONADO (ZENNITH OU SIMILAR)</t>
  </si>
  <si>
    <t>PRESSOSTATO DE ALTA PRESSÃO TIPO CEBOLINHA, 200-400 PSI OU SIMILAR</t>
  </si>
  <si>
    <t>PRESSOSTATO DE BAIXA PRESSÃO TIPO CEBOLINHA, 19-46 PSI OU SIMILAR</t>
  </si>
  <si>
    <t>SOLDA FOSCOPER UNIDADE VARETA 460MM X 2,3 MM</t>
  </si>
  <si>
    <t>SOLDA FOSCOPER UNIDADE VARETA 460MM X 2,5MM</t>
  </si>
  <si>
    <t>TERMINAL ELÉTRICO FORQUILHA ISOLADO, DE 1,5 A 2,5MM², SVS2-4, AZUL, EMBALAGEM COM 100 PEÇAS</t>
  </si>
  <si>
    <t>TERMINAL ELÉTRICO FORQUILHA ISOLADO, DE 4,0 A 6,0MM², SVS5.5-6, AMARELO, EMBALAGEM COM 100 PEÇAS</t>
  </si>
  <si>
    <t>TERMINAL ELÉTRICO FORQUILHA ISOLADO, DE 10,0MM², SVS8-8, VERMELHO, EMBALAGEM COM 100 PEÇAS</t>
  </si>
  <si>
    <t>TERMINAL ELÉTRICO PINO ISOLADO, DE 1,5 A 2,5MM², PTV 2-13, AZUL, EMBALAGEM COM 100 PEÇAS</t>
  </si>
  <si>
    <t>TERMINAL ELÉTRICO PINO ISOLADO, DE 4,0 A 6,0MM², PTV 5.5-13, AMARELO, EMBALAGEM COM 100 PEÇAS</t>
  </si>
  <si>
    <t>TERMINAL ELÉTRICO PINO ISOLADO, DE 10MM², 12MM, PTVS 10-12, VERMELHO, EMBALAGEM COM 50 PEÇAS</t>
  </si>
  <si>
    <t>TERMINAL ELÉTRICO OLHAL ISOLADO, DE 1,5 A 2,5MM², RVS2-5, AZUL, EMBALAGEM COM 100 PEÇAS</t>
  </si>
  <si>
    <t>TERMINAL ELÉTRICO OLHAL ISOLADO, DE 4,0 A 6,0MM², RV5.5-6, AMARELO, EMBALAGEM COM 100 PEÇAS</t>
  </si>
  <si>
    <t>TERMINAL ELÉTRICO OLHAL ISOLADO, DE 10,0MM², M6, VERMELHO, CADA UNIDADE</t>
  </si>
  <si>
    <t>TERMOSTATO SPRINGER CROSS RC-80810-2 OU SIMILAR</t>
  </si>
  <si>
    <t>TERMOSTATO AMBIENTE ELETRÔNICO, 220V, DUPLO ESTÁGIO E UMA VELOCIDADE, OU SIMILAR</t>
  </si>
  <si>
    <t>TERMOSTATO AMBIENTE ANALÓGICO DE UM ESTÁGIO E UMA VELOCIDADE, 220V, 10°C A 30°C</t>
  </si>
  <si>
    <t>TERMOSTATO CONSUL 10 A 21BTU RC-31601-2</t>
  </si>
  <si>
    <t>TERMOSTATO AMBIENTE ELETRÔNICO DE UM ESTÁGIO E UMA VELOCIDADE, 220V</t>
  </si>
  <si>
    <t>TERMOSTATO PARA AR CONDICIONADO UNIVERSAL 7.000 A 30.000 BTUS</t>
  </si>
  <si>
    <t>TUBO CAPILAR 0,31 PARA AR CONDICIONADO</t>
  </si>
  <si>
    <t>TUBO CAPILAR 0,36 PARA AR CONDICIONADO</t>
  </si>
  <si>
    <t>TUBO CAPILAR 0,42 PARA AR CONDICIONADO</t>
  </si>
  <si>
    <t>TUBO CAPILAR 0,50 PARA AR CONDICIONADO</t>
  </si>
  <si>
    <t>TUBO CAPILAR 0,64 PARA AR CONDICIONADO</t>
  </si>
  <si>
    <t>PESQUISA DE MERCADO</t>
  </si>
  <si>
    <t>Proprietário:</t>
  </si>
  <si>
    <t>Área</t>
  </si>
  <si>
    <t>Cod Serv</t>
  </si>
  <si>
    <t>Site 1</t>
  </si>
  <si>
    <t>Site 2</t>
  </si>
  <si>
    <t>Site 3</t>
  </si>
  <si>
    <t>Valor Unitário Site 1</t>
  </si>
  <si>
    <t>Valor Unitário Site 2</t>
  </si>
  <si>
    <t>Valor Unitário Site 3</t>
  </si>
  <si>
    <t>Data da proposta</t>
  </si>
  <si>
    <t>Unid</t>
  </si>
  <si>
    <t>Valor Unitário Médio</t>
  </si>
  <si>
    <t>https://www.santil.com.br/produto/canaleta-s-divisoria-c-adesivo-sistema-x-20x12-pial-legrand/470823</t>
  </si>
  <si>
    <t>http://www.lojaeletrica.com.br/canaleta-sistema-x-sem-divisoria-com-adesivo-20x12x2m-30802adx---legrand,product,2321002800282,dept,0.aspx</t>
  </si>
  <si>
    <t>https://www.leroymerlin.com.br/canaleta-20x12-2metros-com-divisoria-com-adesivo-sistema-x-pial-legrand_89325362?store_code=28&amp;gclid=EAIaIQobChMI9MP0ufmB9wIVX3xvBB2HawMoEAQYAyABEgKyjvD_BwE</t>
  </si>
  <si>
    <t>https://www.santil.com.br/produto/tomada-2p-t-20-a-sistema-x-pial-legrand/470549/</t>
  </si>
  <si>
    <t>http://www.lojaeletrica.com.br/tomada-sistema-x-2pt-20a-250v-nbr14136-675061-pial,product,2321002800770,dept,0.aspx</t>
  </si>
  <si>
    <t>https://www.leroymerlin.com.br/conjunto-tomada-de-energia-20a-sistema-x-branca-pial-legrand_87696854</t>
  </si>
  <si>
    <t>https://www.leroymerlin.com.br/cabo-de-rede-cat-6-10m-pc-eth6u100bl-azul-patch-cord-plus-cable_1568024412</t>
  </si>
  <si>
    <t>https://www.oficinadosbits.com.br/cabo-de-rede-utp-patch-cord-rj45-cat-6-10-metros-vermelho-plus-cable-pc-eth6u100rd-p30471?&amp;utm_source=google&amp;utm_medium=cpc&amp;gclid=EAIaIQobChMIw%2D3mjZyC9wIV809IAB2C1QmqEAQYBiABEgIRhfD%5FBwE</t>
  </si>
  <si>
    <t>https://www.kabum.com.br/produto/231072/cabo-de-rede-utp-patch-cord-rj45-cat-6-10-metros-azul-plua-cable-pc-eth6u100bl?gclid=EAIaIQobChMI5Iui1ZyC9wIVDiSRCh3SVQwwEAQYByABEgIb0PD_BwE</t>
  </si>
  <si>
    <t>https://www.magazineluiza.com.br/carrapeta-universal-c-vedante-155mm-un-060514-blukit/p/egeg02kabj/au/olca/?&amp;seller_id=repareonline</t>
  </si>
  <si>
    <t>https://www.casasbahia.com.br/vedante-nitrilico-carrapeta-para-reparo-registro-chuveiro-155mm-blukit-1530816631/p/1530816631?utm_medium=Cpc&amp;utm_source=google_freelisting&amp;IdSku=1530816631&amp;idLojista=86025&amp;tipoLojista=3P</t>
  </si>
  <si>
    <t>https://www.pontofrio.com.br/vedante-nitrilico-carrapeta-para-reparo-registro-chuveiro-155mm-blukit-1530816631/p/1530816631?utm_medium=cpc&amp;utm_source=google_freelisting&amp;IdSku=1530816631&amp;idLojista=86025&amp;tipoLojista=3P</t>
  </si>
  <si>
    <t>https://www.magazineluiza.com.br/kit-universal-duplo-acionamento-caixa-acoplada-deca-1100-si-60-01/p/kc406h4ck8/cj/acop/?&amp;seller_id=hidrautecmateriaishidraulicos&amp;utm_source=google&amp;utm_medium=pla&amp;utm_campaign=&amp;partner_id=64262&amp;&amp;&amp;utm_source=google&amp;utm_medium=pla&amp;utm_campaign=&amp;partner_id=58984&amp;gclid=CjwKCAjwrqqSBhBbEiwAlQeqGgRjWEGaWfUgvU3v-syV22wsr0Ngo0cdlDyHoVhNIdumvmDNcVefChoCd38QAvD_BwE&amp;gclsrc=aw.ds</t>
  </si>
  <si>
    <t>https://www.amazon.com.br/Reparo-Caixa-Acoplada-Duplo-Acionamento-Deca/dp/B07JJZSK8R/ref=asc_df_B07JJZSK8R/?tag=googleshopp00-20&amp;linkCode=df0&amp;hvadid=379787065820&amp;hvpos=&amp;hvnetw=g&amp;hvrand=7148952361155354932&amp;hvpone=&amp;hvptwo=&amp;hvqmt=&amp;hvdev=c&amp;hvdvcmdl=&amp;hvlocint=&amp;hvlocphy=1001541&amp;hvtargid=pla-1069241769834&amp;psc=1</t>
  </si>
  <si>
    <t>https://www.americanas.com.br/produto/93515307?epar=bp_pl_00_go_cc_pmax_geral&amp;opn=YSMESP&amp;WT.srch=1&amp;gclid=EAIaIQobChMI7uSA3bWC9wIVAeWRCh2XYQguEAQYAyABEgIEwvD_BwE</t>
  </si>
  <si>
    <t>https://www.magazineluiza.com.br/botao-duplo-acionamento-caixa-acoplada-deca-1100-si-56-01/p/ja5b3kk8g0/cj/acop/</t>
  </si>
  <si>
    <t>https://www.casamimosa.com.br/botao-duplo-acionamento-mecanismo-1100-si-56-01-deca</t>
  </si>
  <si>
    <t>https://www.americanas.com.br/produto/1787394022?opn=YSMESP&amp;srsltid=AWLEVJxycZ0MrPjOSgIgzjQQ0KyvY_kR7zOY2PzMiXsWGChJfefARkMM214</t>
  </si>
  <si>
    <t>https://www.americanas.com.br/produto/3513274162?epar=bp_pl_00_go_cc_pmax_geral&amp;opn=YSMESP&amp;WT.srch=1&amp;gclid=CjwKCAjwrqqSBhBbEiwAlQeqGk8lksetbDMozoRYMv4l5D_xRc2dGfV6No9mbp2pBUJRfHNciXsMIhoCBbEQAvD_BwE#info-section</t>
  </si>
  <si>
    <t>https://www.leroymerlin.com.br/grelha-inox-para-banheiro-quadrada-15x15cm_1567600700</t>
  </si>
  <si>
    <t>https://www.magazineluiza.com.br/grelha-inox-para-banheiro-quadrada-15x15cm-palacio-das-torneiras/p/akkfb3kafh/cj/hidr/</t>
  </si>
  <si>
    <t>https://www.americanas.com.br/produto/3513262161?epar=bp_pl_00_go_cc_pmax_geral&amp;opn=YSMESP&amp;WT.srch=1&amp;gclid=CjwKCAjwrqqSBhBbEiwAlQeqGlKajnDWw9gXp6fnFIzBMfTe8A-oSgzNnN0k-2Y_XRRiw2fUnoPkahoCvMUQAvD_BwE</t>
  </si>
  <si>
    <t>https://www.leroymerlin.com.br/grelha-inox-para-banheiro-quadrada-10x10cm_1567600701?term=Grelha+Inox+Para+Banheiro+Quadrada+10&amp;searchTerm=Grelha+Inox+Para+Banheiro+Quadrada+10&amp;searchType=quickProduct</t>
  </si>
  <si>
    <t>https://www.magazineluiza.com.br/grelha-inox-para-banheiro-quadrada-10x10cm-palacio-das-torneiras/p/fjbb4d31b2/cj/ragl/?&amp;seller_id=palaciodastorneiras&amp;utm_source=google&amp;utm_medium=pla&amp;utm_campaign=&amp;partner_id=64262&amp;&amp;&amp;utm_source=google&amp;utm_medium=pla&amp;utm_campaign=&amp;partner_id=58984&amp;gclid=EAIaIQobChMI46yVlr2C9wIVBSeRCh2f5A0uEAQYASABEgK4hvD_BwE&amp;gclsrc=aw.ds</t>
  </si>
  <si>
    <t>https://www.submarino.com.br/produto/4628088669?epar=bp_pl_px_go_pmax_b2wads_geral_gmv&amp;opn=XMLGOOGLE&amp;WT.srch=1&amp;aid=61e48691132c90a78658f83c&amp;sid=25415213000105&amp;pid=4628088669&amp;chave=vnzpla_61e48691132c90a78658f83c_25415213000105_4628088669&amp;gclid=CjwKCAjwrqqSBhBbEiwAlQeqGig0mTAgVmbCwz9thwd93cDcn8m2PSqu7DZKEHN6bP3V-c1R3MG9MhoC3akQAvD_BwE</t>
  </si>
  <si>
    <t>https://www.magazineluiza.com.br/porta-grelha-suporte-caixilho-inox-15x15-cm-quadrada-clarinox/p/ejch4he53d/cj/grlh/</t>
  </si>
  <si>
    <t>https://www.americanas.com.br/produto/4628088669?pfm_carac=porta-grelha-quadrado&amp;pfm_page=search&amp;pfm_pos=grid&amp;pfm_type=search_page&amp;offerId=61e4868fd9fd6edeec15cc02</t>
  </si>
  <si>
    <t>https://www.submarino.com.br/produto/2800616840?epar=bp_pl_px_go_pmax_casaeconstrucao_geral_gmv&amp;opn=XMLGOOGLE&amp;WT.srch=1&amp;gclid=CjwKCAjwrqqSBhBbEiwAlQeqGvwOoESJaL1r-EBF71wOEM6G0HFkJ8wduqpRRWZWpx8hU7o3Lihg_BoCYhIQAvD_BwE</t>
  </si>
  <si>
    <t>https://www.leroymerlin.com.br/porta-grelha-10-x-10-inox-quadrada-100mm-clarinox_1567131316?gclid=EAIaIQobChMIlOapgL-C9wIVb09IAB0lyQg_EAMYASAAEgJ6fvD_BwE</t>
  </si>
  <si>
    <t>https://www.americanas.com.br/produto/4628088466</t>
  </si>
  <si>
    <t>https://www.friopecas.com.br/compressor-rotativo-tecumseh-1200-btuh-monofasico-rga5512exd-220-volts/p?idsku=118920&amp;gclid=EAIaIQobChMIsLeExtSC9wIVsUFIAB12wQj9EAQYAiABEgIBp_D_BwE</t>
  </si>
  <si>
    <t>https://www.americanas.com.br/produto/4646692245?epar=bp_pl_00_go_cc_pmax_geral&amp;opn=YSMESP&amp;WT.srch=1&amp;gclid=EAIaIQobChMIsLeExtSC9wIVsUFIAB12wQj9EAQYBSABEgJ1wPD_BwE</t>
  </si>
  <si>
    <t>https://www.eletrofrigor.com.br/compressor-12000-r22-220v-rotativo-tecumseh-rga5512exd.html?gclid=EAIaIQobChMIs5j1idCC9wIVM3NvBB3plQXCEAYYAiABEgL8xPD_BwE</t>
  </si>
  <si>
    <t>https://www.somafrio.com.br/pecas/compressores/compressor-scroll-60-000-btuh-r22-3f-220v-invotech?parceiro=5442</t>
  </si>
  <si>
    <t>https://www.eletrofrigor.com.br/compressor-60000-r22-220v-scroll-3f-5tr-invotech-yh150a7-yh60k220r22.html</t>
  </si>
  <si>
    <t>https://www.friopecas.com.br/compressor-scroll-invotech-5tr-yh150a7100-trifasico-220volts/p?idsku=123296</t>
  </si>
  <si>
    <t>https://www.eletrofrigor.com.br/compressor-90000-r22-220v-scroll-3f-7-5tr-copeland-zr81kctf5522.html?gclid=EAIaIQobChMIlMXB5cSE9wIVK-xcCh3XvQqbEAYYASABEgL78_D_BwE</t>
  </si>
  <si>
    <t>https://www.friopecas.com.br/compressor-scroll-copeland-75tr-ar-condicionado-trifasico--zr81kctf5522-220volts/p</t>
  </si>
  <si>
    <t>https://qualipecas.com.br/produtos/compressor-75-tr-220-60-3f-r22-copeland-zr81kctf5522-scroll/</t>
  </si>
  <si>
    <t>https://www.eletrofrigor.com.br/compressor-120000-r22-220v-3f-10tr-scroll-sanyo-csc753h6k.html?gclid=CjwKCAjwrqqSBhBbEiwAlQeqGjt8T0Oxhq1SZXA82vbkF8resOWPFewv6kaAC28-VNyp8opUxkhNnxoCzBkQAvD_BwE</t>
  </si>
  <si>
    <t>https://www.friopecas.com.br/compressor-scroll-panasonic-10-5tr-r22-3f-csc753h6h-220-volts/p</t>
  </si>
  <si>
    <t>https://qualipecas.com.br/produtos/compressor-10-tr-220-60-3f-r22-panasonic-csc753h6k/</t>
  </si>
  <si>
    <t>https://www.refrigas.com.br/capacitor-25-mfd-440v-coldpac?parceiro=7259</t>
  </si>
  <si>
    <t>https://www.uberfrio.com.br/ar-condicionado/capacitores-ar/capacitor-25-mfd-440vac?parceiro=1533</t>
  </si>
  <si>
    <t>https://www.ecpvendas.com.br/capacitor-cbb65/capacitor-25uf-450vac-33000017-gree</t>
  </si>
  <si>
    <t>https://www.submarino.com.br/produto/3555120786?epar=bp_pl_px_go_pmax_automoveis_geral_gmv&amp;opn=XMLGOOGLE&amp;WT.srch=1&amp;gclid=EAIaIQobChMIoMjQ69GT9wIVSEFIAB2bmwC8EAQYDSABEgL4HPD_BwE</t>
  </si>
  <si>
    <t>https://www.virtualmoc.com.br/produtos/capacitor-de-partida-30-uf-mfd-440-vac-para-ventilacao-ar-condicionado-split-marca-eos-d31021/</t>
  </si>
  <si>
    <t>https://www.gelatudo.com.br/produto/1236.html</t>
  </si>
  <si>
    <t>https://www.dufrio.com.br/capacitor-40mfd-metal-dugold-440v.html?utm_source=google&amp;utm_medium=shopping&amp;apwc=Y2FuYWxJbnRlZ3JhY2FvPTQ0N3xwcm9kdXRvPTUzMDM=&amp;gclid=EAIaIQobChMIu4qMxtiT9wIVYk9IAB1MdwDkEAQYCSABEgK1tfD_BwE</t>
  </si>
  <si>
    <t>https://produto.mercadolivre.com.br/MLB-2023595792-capacitor-simples-40-440vac-_JM?matt_tool=18956390&amp;utm_source=google_shopping&amp;utm_medium=organic</t>
  </si>
  <si>
    <t>https://www.virtualmoc.com.br/produtos/capacitor-cbb65-40-uf-mfd-440-vac-marca-eos-para-ar-condicionado-split-ventilacao-d31023/</t>
  </si>
  <si>
    <t>https://www.virtualmoc.com.br/produtos/capacitor-cbb65-45-uf-mfd-440-vac-marca-eos-para-ar-condicionado-split-ventilacao-d31024/</t>
  </si>
  <si>
    <t>https://www.dufrio.com.br/capacitor-45mfd-metal-dugold-440v.html?utm_source=google&amp;utm_medium=shopping&amp;apwc=Y2FuYWxJbnRlZ3JhY2FvPTQ0N3xwcm9kdXRvPTUzODQ=&amp;gclid=EAIaIQobChMIj9b92uCT9wIVxUFIAB34qw9FEAQYASABEgK7yPD_BwE</t>
  </si>
  <si>
    <t>https://www.submarino.com.br/produto/4287677384?epar=bp_pl_px_go_pmax_automoveis_geral_gmv&amp;opn=XMLGOOGLE&amp;WT.srch=1&amp;gclid=EAIaIQobChMIoeas6uCT9wIVTkVIAB0w6gfjEAQYCSABEgJjtvD_BwE</t>
  </si>
  <si>
    <t>https://www.mksshop.com.br/pecas-eletrodomesticos/pecas-refrigerador/capacitor-50-uf-380vac-para-compressor-eos-cbb65?parceiro=4410&amp;gclid=EAIaIQobChMI2aTdt-OT9wIVM0BIAB1Ydwf0EAQYBCABEgKT7vD_BwE</t>
  </si>
  <si>
    <t>https://www.refritron.com.br/capacitor-50-mfd-380v-cterminal-50x105?parceiro=7321</t>
  </si>
  <si>
    <t>https://www.refrisol.com.br/pecas-e-acessorios/capacitor-ar-condicionado-50-mfd-cterminal-simples-380v-eos?parceiro=2010&amp;gclid=EAIaIQobChMI2aTdt-OT9wIVM0BIAB1Ydwf0EAQYASABEgI0vfD_BwE</t>
  </si>
  <si>
    <t>https://www.refrigas.com.br/capacitor-55-mfd-380v-suryha?parceiro=7259</t>
  </si>
  <si>
    <t>https://www.submarino.com.br/produto/1751301040?epar=bp_pl_px_go_pmax_automoveis_geral_gmv&amp;opn=XMLGOOGLE&amp;WT.srch=1&amp;gclid=EAIaIQobChMI9_-h-uOT9wIV8-BcCh1aTQxSEAQYASABEgLgLPD_BwE</t>
  </si>
  <si>
    <t>https://www.madeiramadeira.com.br/capacitor-55-mfd-380v-50-60hz-1915237.html?seller=2438</t>
  </si>
  <si>
    <t>https://www.refrisol.com.br/pecas-e-acessorios/capacitor-ar-condicionado-60-mfd-cterminal-simples-380v-eos?parceiro=2010&amp;gclid=EAIaIQobChMI2rOlyuWT9wIVDSSRCh1wEgjgEAQYASABEgJfu_D_BwE</t>
  </si>
  <si>
    <t>https://www.submarino.com.br/produto/51048775?epar=bp_pl_px_go_pmax_automoveis_geral_gmv&amp;opn=XMLGOOGLE&amp;WT.srch=1&amp;gclid=EAIaIQobChMI2rOlyuWT9wIVDSSRCh1wEgjgEAQYAiABEgIx_PD_BwE&amp;tamanho=U</t>
  </si>
  <si>
    <t>https://produto.mercadolivre.com.br/MLB-1953787459-capacitor-60-mfd-380v-cterminal-50x120-80151041-_JM?matt_tool=18956390&amp;utm_source=google_shopping&amp;utm_medium=organic</t>
  </si>
  <si>
    <t>https://www.ecpvendas.com.br/capacitores/capacitor-duplo-25-2-5uf-450vac-p2-midea-springer-carrier-admiral-05706079?parceiro=1981</t>
  </si>
  <si>
    <t>https://www.eletrofrigor.com.br/capacitor-duplo-25-2-5-mfd-450vac.html</t>
  </si>
  <si>
    <t>https://www.refrigeracaocatavento.com.br/capacitor-duplo-25-2-5uf-440vac?parceiro=6374</t>
  </si>
  <si>
    <t>https://www.eletrofrigor.com.br/capacitor-duplo-30-2-5-mfd-450vac.html</t>
  </si>
  <si>
    <t>https://www.totalar.net/produtos/capacitor-terminal-duplo-302-5-uf-450v-l05706080/</t>
  </si>
  <si>
    <t>https://www.regislar.com.br/pecas-para-ar-condicionado/capacitores/capacitor-permanente-duplo-alum-30-2-5uf-450vac</t>
  </si>
  <si>
    <t>https://www.eletrofrigor.com.br/capacitor-duplo-30-5-mfd-380vac.html</t>
  </si>
  <si>
    <t>https://frioparcomercial.com.br/produto/capacitor-duplo-305-uf-380-vac/</t>
  </si>
  <si>
    <t>https://www.refritron.com.br/capacitor-duplo-35-5-mfd-380v-cterminal-50x90?parceiro=7321</t>
  </si>
  <si>
    <t>23.00</t>
  </si>
  <si>
    <t>https://www.dufrio.com.br/capacitor-duplo-354mfd-de-metal-dugold-440v.html?utm_source=google&amp;utm_medium=shopping&amp;apwc=Y2FuYWxJbnRlZ3JhY2FvPTQ0N3xwcm9kdXRvPTc4MTY=</t>
  </si>
  <si>
    <t>https://www.eletrofrigor.com.br/capacitor-duplo-35-4-mfd-440vac.html</t>
  </si>
  <si>
    <t>https://www.pontodaeletronica.com.br/capacitor-polipropileno-duplo-35-4uf-x-440v-50-60hz-cbb65-tk.html?gclid=EAIaIQobChMI0Oy_jIiU9wIVBj-RCh0SqwKXEAQYCCABEgIfFfD_BwE</t>
  </si>
  <si>
    <t>https://www.pontodaeletronica.com.br/capacitor-polipropileno-duplo-35-5uf-x-440vac-50-60hz-cbb65-tk.html?gclid=EAIaIQobChMImfLSv4iU9wIVGjSRCh2zQAv-EAQYASABEgLUG_D_BwE</t>
  </si>
  <si>
    <t>https://www.dufrio.com.br/capacitor-duplo-355mfd-de-metal-dugold-440v.html?utm_source=google&amp;utm_medium=shopping&amp;apwc=Y2FuYWxJbnRlZ3JhY2FvPTQ0N3xwcm9kdXRvPTc4MTc=&amp;gclid=EAIaIQobChMImfLSv4iU9wIVGjSRCh2zQAv-EAQYAyABEgJ4PPD_BwE</t>
  </si>
  <si>
    <t>https://www.leroymerlin.com.br/capacitor-cbb65-gallant-35-5mf---5percent-440-vac-gcp35d05a-ix440_1566735629?region=outros&amp;gclid=EAIaIQobChMImfLSv4iU9wIVGjSRCh2zQAv-EAQYBCABEgIGBvD_BwE</t>
  </si>
  <si>
    <t>https://www.eletrofrigor.com.br/capacitor-duplo-40-4-mfd-440vac.html</t>
  </si>
  <si>
    <t>https://www.submarino.com.br/produto/1410084438?epar=bp_pl_px_go_pmax_automoveis_geral_gmv&amp;opn=XMLGOOGLE&amp;WT.srch=1&amp;gclid=EAIaIQobChMImJH-4oiU9wIVATKRCh3y4QMnEAQYBiABEgLPW_D_BwE</t>
  </si>
  <si>
    <t>https://www.dufrio.com.br/capacitor-duplo-404mfd-de-metal-dugold-440v.html?utm_source=google&amp;utm_medium=shopping&amp;apwc=Y2FuYWxJbnRlZ3JhY2FvPTQ0N3xwcm9kdXRvPTc4MjE=&amp;gclid=EAIaIQobChMImJH-4oiU9wIVATKRCh3y4QMnEAQYASABEgIozfD_BwE</t>
  </si>
  <si>
    <t>https://www.eletrofrigor.com.br/capacitor-duplo-40-5-mfd-440vac.html</t>
  </si>
  <si>
    <t>https://www.refrigeracaocatavento.com.br/capacitor-duplo-40-5-440vac</t>
  </si>
  <si>
    <t>https://www.refritron.com.br/capacitor-duplo-40-5-mfd-440v-cterminal-50x100</t>
  </si>
  <si>
    <t>https://www.refrigeracaocatavento.com.br/capacitor-de-partida-duplo-45-5uf-380-vac-tipi</t>
  </si>
  <si>
    <t>https://www.refritron.com.br/capacitor-duplo-45-5-mfd-380v-cterminal-60x100</t>
  </si>
  <si>
    <t>https://www.eletrofrigor.com.br/capacitor-duplo-45-5-mfd-380vac.html</t>
  </si>
  <si>
    <t>https://www.refrigeracaocatavento.com.br/capacitor-duplo-50-5uf-380vac</t>
  </si>
  <si>
    <t>https://www.refritron.com.br/capacitor-duplo-50-5-mfd-380v-cterminal-60x105?parceiro=7321</t>
  </si>
  <si>
    <t>https://www.submarino.com.br/produto/4662101839?epar=bp_pl_px_go_pmax_automoveis_geral_gmv&amp;opn=XMLGOOGLE&amp;WT.srch=1&amp;gclid=EAIaIQobChMIi86-x4qU9wIVJkJIAB2bdgZ1EAQYCSABEgI1DfD_BwE</t>
  </si>
  <si>
    <t>https://www.refrigeracaocatavento.com.br/capacitor-duplo-60-5-380vac</t>
  </si>
  <si>
    <t>https://www.refritron.com.br/pecas-para-ar-condicionado/capacitores/capacitor-duplo-60-5-mfd-380v-cterminal-eos-d150926</t>
  </si>
  <si>
    <t>https://produto.mercadolivre.com.br/MLB-1564887231-capacitor-duplo-605uf-440v-em-aluminio-marca-tk-_JM?matt_tool=18956390&amp;utm_source=google_shopping&amp;utm_medium=organic</t>
  </si>
  <si>
    <t>https://www.eletrofrigor.com.br/capacitor-duplo-17-2-5-mfd-450vac-4164.html</t>
  </si>
  <si>
    <t>https://www.totalar.net/produtos/capacitor-1725uf-450vac-05706078/</t>
  </si>
  <si>
    <t>https://www.magazineluiza.com.br/capacitor-duplo-para-ar-condicionado-split-17-25-uf-440vac-aluminizado-9090186805-suryha/p/bg04j4217g/cj/ccto/</t>
  </si>
  <si>
    <t>https://www.eletrofrigor.com.br/capacitor-17-5-mfd-380vac.html</t>
  </si>
  <si>
    <t>https://www.magazineluiza.com.br/capacitor-17-5-mfd-380vac-frigormix/p/kjd166658a/cj/ccto/</t>
  </si>
  <si>
    <t>https://www.webinstalar.com.br/capacitor-permanente-175mfd-380v-cterminal</t>
  </si>
  <si>
    <t>https://www.frioshopping.com/pecas/capacitores/capacitor-eos-35-mfd-380v-5060hz</t>
  </si>
  <si>
    <t>https://www.eletrofrigor.com.br/capacitor-35-mfd-380vac.html</t>
  </si>
  <si>
    <t>https://www.totalar.net/produtos/capacitor-35-mfd-380v-440v-20627/</t>
  </si>
  <si>
    <t>https://www.consul.com.br/capacitor-duplo-para-ar-condicionado-326058513/p</t>
  </si>
  <si>
    <t>https://www.brastemp.com.br/capacitor-duplo-para-ar-condicionado-326058513/p</t>
  </si>
  <si>
    <t>https://www.comclick.com.br/capacitor-cbb61-1-5uf-450v-5060hz-da-unidade-condensadora-326058513-para-ar-condicionado-brastemp-consul-7-000-9-000-12-000?parceiro=4159</t>
  </si>
  <si>
    <t>https://www.americanas.com.br/produto/4279529031?epar=bp_pl_00_go_auto_pmax_acessorios&amp;opn=YSMESP&amp;WT.srch=1&amp;gclid=EAIaIQobChMIq9LapcyR9wIVATKRCh1zvABEEAQYAiABEgL7EPD_BwE</t>
  </si>
  <si>
    <t>https://www.cirilopecas.com.br/pecas-ar-condicionado/capacitor-ar-condicionado-springer-2-5uf?parceiro=1114</t>
  </si>
  <si>
    <t>https://www.magazineluiza.com.br/capacitor-25-uf-para-ar-condicionado-electrolux-33010026-450v/p/hb0d41h8ga/cj/ccto/?&amp;seller_id=friopecas&amp;utm_source=google&amp;utm_medium=pla&amp;utm_campaign=&amp;partner_id=61981&amp;gclid=EAIaIQobChMI2orq68uR9wIVDUJIAB36JwuGEAQYASABEgI-2fD_BwE&amp;gclsrc=aw.ds</t>
  </si>
  <si>
    <t>https://www.comclick.com.br/capacitor-condensadora-cbb61-450v-4uf/5-diversos-ar-condicionado-klimasa?parceiro=4159</t>
  </si>
  <si>
    <t>https://produto.mercadolivre.com.br/MLB-2171941549-capacitor-ventilador-ar-condicionado-partida-4uf-440v-_JM?matt_tool=18956390&amp;utm_source=google_shopping&amp;utm_medium=organic</t>
  </si>
  <si>
    <t>https://www.americanas.com.br/produto/1537449692?epar=bp_pl_00_go_aa_pmax_geral&amp;opn=YSMESP&amp;WT.srch=1&amp;gclid=EAIaIQobChMI8paw5M6R9wIVDDGRCh2ggA-sEAQYAyABEgK-OfD_BwE&amp;cor=Klimasa&amp;voltagem=Klimasa</t>
  </si>
  <si>
    <t>https://www.ecpvendas.com.br/capacitor-motor-ventilador-cbb611a-8uf-450vac-33010014-gree?parceiro=1981</t>
  </si>
  <si>
    <t>https://www.americanas.com.br/produto/4807142456?opn=YSMESP&amp;srsltid=AWLEVJwcUVIjk_aIgnGYrnKaOyWTmsEE89POGJxOVWQVLsQxVigJ1nR4KJk</t>
  </si>
  <si>
    <t>https://produto.mercadolivre.com.br/MLB-1402537673-capacitor-permanente-retangular-8uf-450vac-onda-positiva-_JM#position=2&amp;search_layout=stack&amp;type=item&amp;tracking_id=86aae2de-1f35-4723-8a21-0a17a1f72358</t>
  </si>
  <si>
    <t>https://www.refritron.com.br/capacitor-10-mfd-380v-cterminal-40x60</t>
  </si>
  <si>
    <t>https://www.frigelar.com.br/capacitor-simples-10-mfd-380v-com-terminal-40mm-x-60mm-corpo-aluminio/p/kit5028</t>
  </si>
  <si>
    <t>https://www.uniparts.com.br/capacitor-10uf-mfd-380v-com-terminal-40x60-corpo-aluminio</t>
  </si>
  <si>
    <t>http://www.lojaeletrica.com.br/contator-9a-1na-220v-cwm9-10--weg,product,2200303750017,dept,0.aspx</t>
  </si>
  <si>
    <t>https://loja.astheck.com.br/contator-cwm9-10-30v26</t>
  </si>
  <si>
    <t>https://www.submarino.com.br/produto/4032478631?epar=bp_pl_px_go_pmax_casaeconstrucao_geral_gmv&amp;opn=XMLGOOGLE&amp;WT.srch=1&amp;gclid=EAIaIQobChMIv4-9iZ-U9wIVPUFIAB3nhQy1EAQYAiABEgKUBvD_BwE</t>
  </si>
  <si>
    <t>https://www.anhangueraferramentas.com.br/Produto/contator-tripolar-25a-220v-1na-cwm25-10-30-v26-weg-108166</t>
  </si>
  <si>
    <t>https://www.h3l.com.br/produto/contator-cwm25-10-30v26-190v-50hz220v-60hz-cod-10045420/4511385/?gclid=EAIaIQobChMIz4jc76CU9wIVCtORCh1EwwTgEAQYASABEgJlJ_D_BwE</t>
  </si>
  <si>
    <t>https://loja.astheck.com.br/automacao-e-controle/contatores/contator-principal/contator-cwm25-10-30v26</t>
  </si>
  <si>
    <t>https://www.h3l.com.br/produto/contator-cwm32-10-30v26-190v-50hz220v-60hz-cod-10045428/4511402/?gclid=EAIaIQobChMIzOiPiqKU9wIVAeWRCh1q7gnxEAQYASABEgKJrvD_BwE</t>
  </si>
  <si>
    <t>https://www.anhangueraferramentas.com.br/produto/contator-tripolar-32a-220v-1na-cwm32-10-30-v26-weg-108163</t>
  </si>
  <si>
    <t>https://loja.astheck.com.br/contator-cwm32-10-30v26</t>
  </si>
  <si>
    <t>https://www.h3l.com.br/produto/contator-cwm40-11-30v26-190v-50hz220v-60hz-cod-10045432/4511454/?gclid=EAIaIQobChMIjY_L2aKU9wIVNG1vBB3xOQbgEAQYASABEgJrn_D_BwE</t>
  </si>
  <si>
    <t>https://www.anhangueraferramentas.com.br/produto/contator-tripolar-40a-220v-1na-1nf-cwm40-11-30-v26-weg-108161?utm_source=google&amp;utm_medium=cpc&amp;utm_campaign=https://www.anhangueraferramentas.com.br/produto/contator-tripolar-40a-220v-1na-1nf-cwm40-11-30-v26-weg-108161?utm_source=google&amp;utm_medium=cpc&amp;utm_campaign=merchant&amp;gclid=EAIaIQobChMIjY_L2aKU9wIVNG1vBB3xOQbgEAQYBCABEgJl7_D_BwE</t>
  </si>
  <si>
    <t>https://www.viewtech.ind.br/contator-weg-cwm-220vca-40a-1na-1nf-modular-cwm40-11-30v26</t>
  </si>
  <si>
    <t>https://www.h3l.com.br/produto/contator-cwm50-11-30v26-190v-50hz220v-60hz-cod-10045435/4511483/?gclid=EAIaIQobChMIhI6cnaOU9wIVIuxcCh3DBA7bEAQYASABEgJMZ_D_BwE</t>
  </si>
  <si>
    <t>https://www.anhangueraferramentas.com.br/produto/contator-tripolar-50a-220v-1na-1nf-cwm50-11-30-v26-weg-108154?utm_source=google&amp;utm_medium=cpc&amp;utm_campaign=https://www.anhangueraferramentas.com.br/produto/contator-tripolar-50a-220v-1na-1nf-cwm50-11-30-v26-weg-108154?utm_source=google&amp;utm_medium=cpc&amp;utm_campaign=merchant&amp;gclid=EAIaIQobChMIhI6cnaOU9wIVIuxcCh3DBA7bEAQYAiABEgKpDfD_BwE</t>
  </si>
  <si>
    <t>https://www.viewtech.ind.br/contator-weg-cwm-220vca-50a-1na-1nf-modular-cwm50-11-30v26</t>
  </si>
  <si>
    <t>https://www.arican.com.br/correia-industrial-powerclassic-b27.html</t>
  </si>
  <si>
    <t>https://www.magazineluiza.com.br/correia-b27-rexon/p/ca9kka73fc/au/crau/</t>
  </si>
  <si>
    <t>https://www.elastobor.com.br/correia-em-v-rexon-modelo-b-27/p?idsku=122014014&amp;gclid=EAIaIQobChMI0cmVhq2U9wIVMeVcCh0ksgsQEAQYBiABEgLOSvD_BwE</t>
  </si>
  <si>
    <t>https://www.arican.com.br/correia-industrial-powerclassic-b28.html</t>
  </si>
  <si>
    <t>https://www.friostore.com.br/produtos/correia-b28-em-v-lisa/</t>
  </si>
  <si>
    <t>https://www.magazineluiza.com.br/correia-b28-rexon/p/gk61c2a27j/au/crau/</t>
  </si>
  <si>
    <t>https://www.eletrofrigor.com.br/correia-b32-goodyear.html</t>
  </si>
  <si>
    <t>https://www.arican.com.br/correia-industrial-powerclassic-b32.html</t>
  </si>
  <si>
    <t>https://www.friostore.com.br/produtos/correia-b32-em-v-lisa/</t>
  </si>
  <si>
    <t>https://www.elastobor.com.br/correia-em-v-rexon-modelo-b-35/p?idsku=122014011&amp;gclid=EAIaIQobChMIuZyWqq2U9wIVkUJIAB0N8QBTEAQYASABEgIyR_D_BwE</t>
  </si>
  <si>
    <t>https://www.royalmaquinas.com.br/correia-industrial-b-35-nac.html?gclid=EAIaIQobChMIuZyWqq2U9wIVkUJIAB0N8QBTEAQYAyABEgKp8fD_BwE</t>
  </si>
  <si>
    <t>https://www.ferramentaskennedy.com.br/100032015/correia-em-v-tipo-b-35-worker?utm_source=google&amp;utm_medium=cpc&amp;utm_campaign=google_shop&amp;gclid=EAIaIQobChMIuZyWqq2U9wIVkUJIAB0N8QBTEAQYBCABEgL9wfD_BwE</t>
  </si>
  <si>
    <t>https://www.elastobor.com.br/correia-em-v-rexon-modelo-b-38/p?idsku=122014017&amp;gclid=EAIaIQobChMI7oXvza2U9wIVbEBIAB1RnQjQEAQYASABEgKHEvD_BwE</t>
  </si>
  <si>
    <t>https://www.ferramentaskennedy.com.br/100032018/correia-em-v-tipo-b-38-worker?utm_source=google&amp;utm_medium=cpc&amp;utm_campaign=google_shop&amp;gclid=EAIaIQobChMI7oXvza2U9wIVbEBIAB1RnQjQEAQYAiABEgItbPD_BwE</t>
  </si>
  <si>
    <t>https://www.royalmaquinas.com.br/correia-industrial-b-38-nac.html?gclid=EAIaIQobChMI7oXvza2U9wIVbEBIAB1RnQjQEAQYAyABEgLS7vD_BwE</t>
  </si>
  <si>
    <t>https://www.ferramentaskennedy.com.br/100032022/correia-em-v-tipo-b-42-worker?utm_source=google&amp;utm_medium=cpc&amp;utm_campaign=google_shop&amp;gclid=EAIaIQobChMI4euH5a2U9wIVFEVIAB2bpwz-EAQYASABEgJV7_D_BwE</t>
  </si>
  <si>
    <t>https://www.elastobor.com.br/correia-em-v-rexon-modelo-b-42/p?idsku=122014021&amp;gclid=EAIaIQobChMI4euH5a2U9wIVFEVIAB2bpwz-EAQYAiABEgIO4vD_BwE</t>
  </si>
  <si>
    <t>https://www.lojadomecanico.com.br/produto/129670/37/813/Correia-perfil-V-B-42-VONDER/153/?utm_source=googleshopping&amp;utm_campaign=xmlshopping&amp;utm_medium=cpc&amp;utm_content=129670&amp;gclid=EAIaIQobChMI4euH5a2U9wIVFEVIAB2bpwz-EAQYBCABEgK90PD_BwE</t>
  </si>
  <si>
    <t>https://www.elastobor.com.br/correia-em-v-rexon-modelo-b-44/p?idsku=122014023&amp;gclid=EAIaIQobChMI_e_Q_K2U9wIVQcORCh2lkgkvEAQYASABEgLIePD_BwE</t>
  </si>
  <si>
    <t>https://www.ferramentaskennedy.com.br/100032024/correia-em-v-tipo-b-44-worker?utm_source=google&amp;utm_medium=cpc&amp;utm_campaign=google_shop&amp;gclid=EAIaIQobChMI_e_Q_K2U9wIVQcORCh2lkgkvEAQYAiABEgInyfD_BwE</t>
  </si>
  <si>
    <t>https://www.royalmaquinas.com.br/correia-industrial-b-44-nac.html?gclid=EAIaIQobChMI_e_Q_K2U9wIVQcORCh2lkgkvEAQYBCABEgK-hvD_BwE</t>
  </si>
  <si>
    <t>https://www.elastobor.com.br/correia-em-v-rexon-modelo-b-46/p?idsku=122014025&amp;gclid=EAIaIQobChMIlvm3la6U9wIVy09IAB0SuwQ7EAQYASABEgJpm_D_BwE</t>
  </si>
  <si>
    <t>https://www.ferramentaskennedy.com.br/100032026/correia-em-v-tipo-b-46-worker?utm_source=google&amp;utm_medium=cpc&amp;utm_campaign=google_shop&amp;gclid=EAIaIQobChMIlvm3la6U9wIVy09IAB0SuwQ7EAQYAiABEgI_IvD_BwE</t>
  </si>
  <si>
    <t>https://www.lojadomecanico.com.br/produto/129677/37/813/Correia-perfil-V-B-46-VONDER/153/?utm_source=googleshopping&amp;utm_campaign=xmlshopping&amp;utm_medium=cpc&amp;utm_content=129677&amp;gclid=EAIaIQobChMIlvm3la6U9wIVy09IAB0SuwQ7EAQYBCABEgIvZfD_BwE</t>
  </si>
  <si>
    <t>https://www.americanas.com.br/produto/4728493338?opn=YSMESP&amp;srsltid=AWLEVJy8Gx1kL8XndiPY9w15UcGQvrNr8MRJIbhJRJqTGxa2bq4Kz4YN3tU</t>
  </si>
  <si>
    <t>https://www.agribor.com.br/produto/correia-industrial-3v315-lisa-em-v-multibelt-71478?utm_source=&amp;utm_medium=&amp;utm_campaign=&amp;gclid=EAIaIQobChMI9eGEu66U9wIVSeZcCh22zQTVEAQYASABEgLFsfD_BwE</t>
  </si>
  <si>
    <t>https://produto.mercadolivre.com.br/MLB-1768545645-correia-3v-315-industrial-em-v-vicson-motor-maquina-polia-_JM?matt_tool=18956390&amp;utm_source=google_shopping&amp;utm_medium=organic</t>
  </si>
  <si>
    <t>https://www.americanas.com.br/produto/4728493291?opn=YSMESP&amp;srsltid=AWLEVJw05OTOaHOWC3J8A7-OCmWcosdtnSM32HMX6y1TwxupsH21Q840osU</t>
  </si>
  <si>
    <t>https://produto.mercadolivre.com.br/MLB-1767323736-correia-em-v-lisa-3v-300-fenlop-consulte-tamanhos-e-perfis-_JM?matt_tool=18956390&amp;utm_source=google_shopping&amp;utm_medium=organic</t>
  </si>
  <si>
    <t>https://www.agribor.com.br/produto/correia-industrial-3v300-lisa-em-v-multibelt-71477?utm_source=&amp;utm_medium=&amp;utm_campaign=&amp;gclid=EAIaIQobChMIyeKR5a6U9wIVROZcCh2pJwZxEAQYASABEgKKo_D_BwE</t>
  </si>
  <si>
    <t>https://www.agribor.com.br/produto/correia-industrial-a27-lisa-em-v-multibelt-71505?utm_source=&amp;utm_medium=&amp;utm_campaign=&amp;gclid=EAIaIQobChMIyd2Vwa-U9wIVTEFIAB0WvwTnEAQYASABEgIcP_D_BwE</t>
  </si>
  <si>
    <t>https://www.elastobor.com.br/correia-em-v-rexon-modelo-a-27/p?idsku=122013021&amp;gclid=EAIaIQobChMIyd2Vwa-U9wIVTEFIAB0WvwTnEAQYBCABEgJQffD_BwE</t>
  </si>
  <si>
    <t>https://www.royalmaquinas.com.br/correia-industrial-a-27-nac.html?gclid=EAIaIQobChMIyd2Vwa-U9wIVTEFIAB0WvwTnEAQYAyABEgJgefD_BwE</t>
  </si>
  <si>
    <t>https://www.tratoraco.com.br/correias-acessorios-e-ferramentas/correias-em-v-lisa/tipo-a/correia-em-v-a32?gclid=EAIaIQobChMIp5Pk3K-U9wIVYuhcCh19LQs-EAQYASABEgJ42fD_BwE</t>
  </si>
  <si>
    <t>https://www.elastobor.com.br/correia-em-v-rexon-modelo-a-32/p?idsku=122013026&amp;gclid=EAIaIQobChMIp5Pk3K-U9wIVYuhcCh19LQs-EAQYAiABEgL8GfD_BwE</t>
  </si>
  <si>
    <t>https://www.ferramentaskennedy.com.br/100031146/correia-em-v-tipo-a-32-worker?utm_source=google&amp;utm_medium=cpc&amp;utm_campaign=google_shop&amp;gclid=EAIaIQobChMIp5Pk3K-U9wIVYuhcCh19LQs-EAQYAyABEgL7nvD_BwE</t>
  </si>
  <si>
    <t>https://www.agribor.com.br/produto/correia-industrial-a34-lisa-em-v-multibelt-71512?utm_source=&amp;utm_medium=&amp;utm_campaign=&amp;gclid=EAIaIQobChMI5ZHm-6-U9wIVEeFcCh1ejwL1EAQYAiABEgKK0_D_BwE</t>
  </si>
  <si>
    <t>https://www.elastobor.com.br/correia-em-v-rexon-modelo-a-34/p?idsku=122013028&amp;gclid=EAIaIQobChMI5ZHm-6-U9wIVEeFcCh1ejwL1EAQYAyABEgJss_D_BwE</t>
  </si>
  <si>
    <t>https://www.ferramentaskennedy.com.br/100031148/correia-em-v-tipo-a-34-worker?utm_source=google&amp;utm_medium=cpc&amp;utm_campaign=google_shop&amp;gclid=EAIaIQobChMI5ZHm-6-U9wIVEeFcCh1ejwL1EAQYBCABEgICVfD_BwE</t>
  </si>
  <si>
    <t>https://www.royalmaquinas.com.br/correia-industrial-a-38-nac.html?gclid=EAIaIQobChMIlpauk7CU9wIVDSSRCh1wEgjgEAQYAyABEgKp0_D_BwE</t>
  </si>
  <si>
    <t>https://www.arbrasilrefrigeracao.com.br/correia-a-38-167746?parceiro=9027&amp;parceiro=4124&amp;gclid=EAIaIQobChMIlpauk7CU9wIVDSSRCh1wEgjgEAQYBCABEgJmCvD_BwE</t>
  </si>
  <si>
    <t>https://www.ferramentaskennedy.com.br/100031312/correia-em-v-tipo-a-38-worker?utm_source=google&amp;utm_medium=cpc&amp;utm_campaign=google_shop&amp;gclid=EAIaIQobChMIlpauk7CU9wIVDSSRCh1wEgjgEAQYAiABEgK-lvD_BwE</t>
  </si>
  <si>
    <t>https://www.frigelar.com.br/gas-refrigerante-r22-eos-cilindro-de-136kg/p/kit5121</t>
  </si>
  <si>
    <t>https://www.eletrofrigor.com.br/gas-r22-eos-dac-13-6kg.html</t>
  </si>
  <si>
    <t>https://bomarcondicionado.com.br/produto/521751/gas-r22-136kg-eos?gclid=EAIaIQobChMItIDJtpKF9wIVAu6RCh26wgfyEAQYAyABEgJ1ifD_BwE</t>
  </si>
  <si>
    <t>https://www.frigelar.com.br/gas-refrigerante-r410a-eos-cilindro-de-1134kg/p/kit5357</t>
  </si>
  <si>
    <t>https://www.eletrofrigor.com.br/gas-r410a-eos-dac-11-34-kg.html</t>
  </si>
  <si>
    <t>https://www.refritron.com.br/gas-r410a-eos-gas-liquefeito-11-34-kg</t>
  </si>
  <si>
    <t>https://www.frigelar.com.br/gas-refrigerante-r134a-eos-cilindro-de-136kg/p/kit5119</t>
  </si>
  <si>
    <t>https://bomarcondicionado.com.br/gas-r134a-136kg-eos?gclid=EAIaIQobChMIysyW25OF9wIVMRXUAR1pRAkeEAQYAyABEgK0G_D_BwE</t>
  </si>
  <si>
    <t>https://www.submarino.com.br/produto/4529866226?epar=bp_pl_px_go_pmax_arcondicionado_geral_gmv&amp;opn=XMLGOOGLE&amp;WT.srch=1&amp;gclid=EAIaIQobChMIysyW25OF9wIVMRXUAR1pRAkeEAQYASABEgJRivD_BwE</t>
  </si>
  <si>
    <t>https://www.dufrio.com.br/fluido-refrigerante-dugold-diclorofluoretano-r141b-136kg-onu1078.html</t>
  </si>
  <si>
    <t>https://www.refritron.com.br/gas-refrigerante/gas-botija-r141b-13-6kg-dugold</t>
  </si>
  <si>
    <t>https://www.magazineluiza.com.br/gas-fluido-refrigerante-de-limpeza-141b-dugold-13-6kg/p/jj42jc930j/ar/aave/</t>
  </si>
  <si>
    <t>https://www.eletrofrigor.com.br/limpa-contato-black-sul-brasil-300ml-200gr.html</t>
  </si>
  <si>
    <t>https://www.lojadomecanico.com.br/produto/182791/32/250/limpa-contato-eletrico-de-300ml---black-brasil-300017003#</t>
  </si>
  <si>
    <t>https://produto.mercadolivre.com.br/MLB-1700594492-limpa-contato-eletrico-blacksul-300ml-_JM</t>
  </si>
  <si>
    <t>https://www.soaquiferramentas.com.br/gas-acetileno-para-solda-bernzomatic-880342-mapp-400gr-07917</t>
  </si>
  <si>
    <t>https://www.maqsoldas.com.br/produto/33102/cilindro-de-gas-mapp-400g-para-macarico-bernzomatic</t>
  </si>
  <si>
    <t>https://www.zigferramentas.com.br/none-15421446?utm_source=Site&amp;utm_medium=GoogleMerchant&amp;utm_campaign=GoogleMerchant</t>
  </si>
  <si>
    <t>https://www.refrigeracaocatavento.com.br/cilindro-de-gas-oxigenio-930-ml-136g-para-turbo-set</t>
  </si>
  <si>
    <t>https://www.magazineluiza.com.br/cilindro-de-gas-oxigenio-930-ml-136-g-para-turbo-set-un1072-oxyturbo/p/kffh37a1d3/cp/eamh/</t>
  </si>
  <si>
    <t>https://www.refricenter.com.br/linha-da-gases/gas-oxigenio-comprimido-oxygen-930ml-136g-oxyturbo</t>
  </si>
  <si>
    <t>https://refrigeracao.suryha.com.br/produto/80170.006/porca-flangeada-latao-rosca-sae</t>
  </si>
  <si>
    <t>https://www.eletrofrigor.com.br/porca-flange-14-sae-latao-usinada.html</t>
  </si>
  <si>
    <t>https://www.refrigeracaocatavento.com.br/porca-flange-para-tubo-de-cobre-sae-14-latao</t>
  </si>
  <si>
    <t>https://refrigeracao.suryha.com.br/produto/80170.007/porca-flangeada-latao-rosca-sae</t>
  </si>
  <si>
    <t>https://www.eletrofrigor.com.br/porca-flange-38-sae-latao-usinada.html</t>
  </si>
  <si>
    <t>https://www.refrigeracaocatavento.com.br/porca-flange-para-tubo-de-cobre-sae-38-latao</t>
  </si>
  <si>
    <t>https://refrigeracao.suryha.com.br/produto/80170.008/porca-flangeada-latao-rosca-sae</t>
  </si>
  <si>
    <t>https://www.eletrofrigor.com.br/porca-flange-12-sae-latao-usinada.html</t>
  </si>
  <si>
    <t>https://www.refrigeracaocatavento.com.br/ferramentas-de-refrigeracao/porca-flange-12-para-tubo-de-cobre-sae</t>
  </si>
  <si>
    <t>https://refrigeracao.suryha.com.br/produto/80170.009/porca-flangeada-latao-rosca-sae</t>
  </si>
  <si>
    <t>https://www.eletrofrigor.com.br/porca-flange-58-sae-latao-usinada.html</t>
  </si>
  <si>
    <t>https://www.refrigeracaocatavento.com.br/ferramentas-de-refrigeracao/porca-flange-para-tubo-de-cobre-sae-58-latao</t>
  </si>
  <si>
    <t>https://refrigeracao.suryha.com.br/produto/80170.029/porca-flangeada-latao-rosca-sae</t>
  </si>
  <si>
    <t>https://www.eletrofrigor.com.br/porca-flange-34-sae-latao-usinada.html</t>
  </si>
  <si>
    <t>https://www.refrigeracaocatavento.com.br/pecas-para-ar-condicionado/porca-flange-para-tubo-de-cobre-sae-34-latao</t>
  </si>
  <si>
    <t>https://www.eletrofrigor.com.br/porca-flange-78-sae-latao-usinada.html</t>
  </si>
  <si>
    <t>https://www.webinstalar.com.br/porca-7-8-tipo-ouro</t>
  </si>
  <si>
    <t>https://www.megaar.com.br/produto/porca-34-a-78-sae-curta-latao.html</t>
  </si>
  <si>
    <t>https://refrigeracao.suryha.com.br/produto/80170.010/uniao-regular-flangeada-latao-rosca-sae</t>
  </si>
  <si>
    <t>https://www.refritron.com.br/material-para-instalacao-e-manutencao-de-ar/tubos-de-cobre-e-conexoes/uniao-14-de-latao-flangeado</t>
  </si>
  <si>
    <t>https://www.samatec.com.br/uniao-regular-1-4-sae/p</t>
  </si>
  <si>
    <t>https://refrigeracao.suryha.com.br/produto/80170.011/uniao-regular-flangeada-latao-rosca-sae</t>
  </si>
  <si>
    <t>https://www.refritron.com.br/material-para-instalacao-e-manutencao-de-ar/tubos-de-cobre-e-conexoes/uniao-38-de-latao-flangeado</t>
  </si>
  <si>
    <t>https://www.samatec.com.br/uniao-regular-3-sae/p</t>
  </si>
  <si>
    <t>https://refrigeracao.suryha.com.br/produto/80170.012/uniao-regular-flangeada-latao-rosca-sae</t>
  </si>
  <si>
    <t>https://www.refritron.com.br/material-para-instalacao-e-manutencao-de-ar/tubos-de-cobre-e-conexoes/uniao-12-flangeada-de-latao</t>
  </si>
  <si>
    <t>https://www.samatec.com.br/uniao-regular-1-2-sae/p</t>
  </si>
  <si>
    <t>https://refrigeracao.suryha.com.br/produto/80170.013/uniao-regular-flangeada-latao-rosca-sae</t>
  </si>
  <si>
    <t>https://www.refritron.com.br/material-para-instalacao-e-manutencao-de-ar/tubos-de-cobre-e-conexoes/uniao-58-de-latao-flangeado</t>
  </si>
  <si>
    <t>https://www.eletrofrigor.com.br/uniao-latao-58-sae.html</t>
  </si>
  <si>
    <t>https://refrigeracao.suryha.com.br/produto/80170.030/uniao-regular-flangeada-latao-rosca-sae</t>
  </si>
  <si>
    <t>https://www.hidro.eco.br/latao-rr-niple-duplo?utm_source=Site&amp;utm_medium=GoogleMerchant&amp;utm_campaign=GoogleMerchant&amp;sku=HCRND12&amp;gclid=EAIaIQobChMInp2L8veL9wIVAu6RCh1w3AAjEAQYASABEgJAV_D_BwE</t>
  </si>
  <si>
    <t>https://www.eletrofrigor.com.br/uniao-latao-34-sae.html</t>
  </si>
  <si>
    <t>https://www.eletrofrigor.com.br/uniao-latao-78-sae.html</t>
  </si>
  <si>
    <t>https://www.eletroamorim.com.br/ar-e-refrigeracao/copia-uniao-78-sae-cobre</t>
  </si>
  <si>
    <t>https://www.magazineluiza.com.br/uniao-latao-7-8-sae-inaps/p/cag2bff82a/cj/nihi/</t>
  </si>
  <si>
    <t>https://www.riopretoar.com.br/index.php/plug-fusivel-3-8-70-77-g-seguranca-rosca-5-8.html</t>
  </si>
  <si>
    <t>https://produto.mercadolivre.com.br/MLB-1226793633-plug-fusivel-7077c-_JM</t>
  </si>
  <si>
    <t>https://shopee.com.br/Plug-Fusivel-70-77%C2%B0c-i.423524849.10044994458</t>
  </si>
  <si>
    <t>https://www.impactorefrigeracao.com.br/zennith-detergente-limpeza-ar-condicionado-1l?utm_source=Site&amp;utm_medium=GoogleMerchant&amp;utm_campaign=GoogleMerchant&amp;gclid=EAIaIQobChMI6KyIn4aM9wIV42xvBB0sNg0AEAYYASABEgLgdPD_BwE</t>
  </si>
  <si>
    <t>https://www.dufrio.com.br/detergente-limpeza-zennith-para-ar-condicionado-1-litro.html?utm_source=google&amp;utm_medium=shopping&amp;apwc=Y2FuYWxJbnRlZ3JhY2FvPTQ0N3xwcm9kdXRvPTg5ODg=&amp;gclid=EAIaIQobChMIqIzis4aM9wIV60FIAB12mQMKEAQYASABEgJkz_D_BwE</t>
  </si>
  <si>
    <t>https://www.eletrofrigor.com.br/produto-limpeza-zennith-1-litro.html</t>
  </si>
  <si>
    <t>https://ww2.eletrofrigor.com.br/mini-pressostato-cebolinha-de-alta-elgin-200400-psi-rosca-14-r22-pshp400200.html?gclid=EAIaIQobChMI9KLr98CT9wIVz0VIAB3-wQB2EAQYASABEgI81_D_BwE</t>
  </si>
  <si>
    <t>https://www.chillerpecas.com.br/produtos/pressostato-de-alta-200-400-psi-1-4-cebolinha-elgin/?pf=gs&amp;gclid=EAIaIQobChMIwPXwp8CT9wIVVEJIAB3DjgPoEAQYByABEgKS3vD_BwE</t>
  </si>
  <si>
    <t>https://www.refrigas.com.br/pressostato-cartucho-alta-400200-psi-elgin?parceiro=7259&amp;gclid=EAIaIQobChMI9KLr98CT9wIVz0VIAB3-wQB2EAQYAyABEgK7dfD_BwE</t>
  </si>
  <si>
    <t>https://www.eletrofrigor.com.br/mini-pressostato-cebolinha-de-baixa-1946-psi-r22-rosca.html</t>
  </si>
  <si>
    <t>https://www.samatec.com.br/pressostato-de-baixa/p?idsku=2004031&amp;gclid=EAIaIQobChMI3qzlnsWT9wIVbU9IAB2eaAObEAQYAyABEgL23_D_BwE</t>
  </si>
  <si>
    <t>https://www.americanas.com.br/produto/3713928431?epar=bp_pl_00_go_cc_pmax_geral&amp;opn=YSMESP&amp;WT.srch=1&amp;gclid=EAIaIQobChMI3qzlnsWT9wIVbU9IAB2eaAObEAQYASABEgKrsvD_BwE</t>
  </si>
  <si>
    <t>https://www.eletrofrigor.com.br/solda-foscoper-unidade-460mm-x-2-3-mm.html</t>
  </si>
  <si>
    <t>https://www.distriar.com.br/materiais-para-instalacao/solda-foscoper-unidade-vareta-460mm-x-2-3-mm</t>
  </si>
  <si>
    <t>https://www.magazineluiza.com.br/solda-foscoper-unidade-vareta-460mm-x-23-mm-brasil-soldas/p/jcj4g146c4/fs/exps/</t>
  </si>
  <si>
    <t>https://www.samatec.com.br/solda-foscoper-1-unidade/p?idsku=2003362&amp;gclid=EAIaIQobChMIr-njwpaM9wIVQuZcCh1_8AxXEAQYASABEgKtVfD_BwE</t>
  </si>
  <si>
    <t>https://www.gelatudo.com.br/produto/1082.html?gclid=EAIaIQobChMIr-njwpaM9wIVQuZcCh1_8AxXEAQYAiABEgLkVfD_BwE</t>
  </si>
  <si>
    <t>https://www.eletronicalinhabranca.com.br/solda-foscoper-unidade-vareta-25mm-x-460mm?utm_source=Site&amp;utm_medium=GoogleMerchant&amp;utm_campaign=GoogleMerchant</t>
  </si>
  <si>
    <t>https://www.portaleletrico.com.br/terminal-forquilha-isolado-15-25mm-m4-azul-embalagem-com-100-pecas-eletrokit-956/p</t>
  </si>
  <si>
    <t>https://www.viewtech.ind.br/catalog/product/view/id/2357/s/terminal-forquilha-azul-para-cabo-2-5mm-svs2-4/?utm_source=&amp;utm_medium=&amp;utm_campaign=&amp;utm_term=&amp;utm_content=&amp;gclid=EAIaIQobChMIvYKwxZuM9wIVJxTUAR0XGgNKEAQYASABEgK38PD_BwE</t>
  </si>
  <si>
    <t>https://www.ofertaeletrica.com.br/terminal-forquilha-pre-isolado-azul-25mm2-furo-o4-m4-100-pcs-mceig</t>
  </si>
  <si>
    <t>https://www.viewtech.ind.br/catalog/product/view/id/2406/s/terminal-forquilha-amarelo-para-cabo-4-e-6mm-sv5-5-6-100un/?utm_source=&amp;utm_medium=&amp;utm_campaign=&amp;utm_term=&amp;utm_content=&amp;gclid=EAIaIQobChMI5KjjvbqO9wIVkkJIAB2cCgb7EAQYASABEgKwwvD_BwE</t>
  </si>
  <si>
    <t>https://www.ofertaeletrica.com.br/terminal-forquilha-amarelo-4-6mm2-f64-svs5-6-100pcs-penzel</t>
  </si>
  <si>
    <t>https://www.portaleletrico.com.br/terminal-forquilha-isolado-40-60mm-m6-amarelo-embalagem-com-100-pecas-eletrokit-1010/p</t>
  </si>
  <si>
    <t>https://www.viewtech.ind.br/terminal-forquilha-vermelho-sv-8-8-para-cabo-10mm-dezena</t>
  </si>
  <si>
    <t>https://produto.mercadolivre.com.br/MLB-1226785997-terminal-forquilha-vermelho-sv-8-8-para-cabo-10mm-_JM</t>
  </si>
  <si>
    <t>https://produto.mercadolivre.com.br/MLB-1419855437-kit-100-terminais-forquilha-isolado-vermelho-m5-10mm-_JM#position=7&amp;search_layout=stack&amp;type=item&amp;tracking_id=9dee889d-838d-4c82-b2e7-a52abfc87c65</t>
  </si>
  <si>
    <t>https://www.viewtech.ind.br/terminal-pino-azul-para-cabo-2-5mm-ptv-2-12-100un</t>
  </si>
  <si>
    <t>https://www.ofertaeletrica.com.br/terminal-pino-pre-isolado-azul-25mm2-longo-100-pcs-mceig</t>
  </si>
  <si>
    <t>https://www.portaleletrico.com.br/terminal-pino-isolado-15-25mm-longo-azul-embalagem-com-100-pecas-eletrokit-975/p</t>
  </si>
  <si>
    <t>https://www.viewtech.ind.br/terminal-pino-amarelo-para-cabo-6-0mm-100un-pv5-5-12</t>
  </si>
  <si>
    <t>https://www.ofertaeletrica.com.br/terminal-pino-pre-isolado-amarelo-6mm2-m13-longo-100-pcs-mceig</t>
  </si>
  <si>
    <t>https://produto.mercadolivre.com.br/MLB-800790586-ptv55-13-terminal-pino-13mm-am-fio-46mm-c-100-pcs-_JM?matt_tool=18956390&amp;utm_source=google_shopping&amp;utm_medium=organic</t>
  </si>
  <si>
    <t>https://www.ofertaeletrica.com.br/terminal-pino-vermelho-10mm2-12mm-ptvs10-12-50pcs-penzel</t>
  </si>
  <si>
    <t>https://produto.mercadolivre.com.br/MLB-1049591528-terminal-pino-vermelho-10mm-12mm-ptvs10-12-50-pcs-penzel-_JM</t>
  </si>
  <si>
    <t>https://shopee.com.br/Terminal-Pino-Vermelho-10MM%C2%B2-12MM-PTVS10-12-50Pcs---PENZEL-i.294870083.11826737437</t>
  </si>
  <si>
    <t>https://www.viewtech.ind.br/terminal-olhal-azul-para-fios-2-5mm-100-pecas-rvs2-5</t>
  </si>
  <si>
    <t>https://www.ofertaeletrica.com.br/terminal-olhal-pre-isolado-azul-25mm2-furo-o5-m5-100-pcs-mceig</t>
  </si>
  <si>
    <t>https://www.portaleletrico.com.br/terminal-anel-isolado-15-25mm-m5-azul-embalagem-com-100-pecas-eletrokit-968/p</t>
  </si>
  <si>
    <t>https://www.viewtech.ind.br/terminal-olhal-amarelo-para-cabo-4-e-6mm-100un-rv5-5-6</t>
  </si>
  <si>
    <t>https://www.portaleletrico.com.br/terminal-anel-isolado-40-60mm-m6-amarelo-embalagem-com-100-pecas-eletrokit-940/p</t>
  </si>
  <si>
    <t>https://www.eletricasuzuki.com.br/terminal-pre-isolado-tipo-olhal-100-unidades-sibratec-11941</t>
  </si>
  <si>
    <t>https://www.portaleletrico.com.br/terminal-tubular-isolado-10mm-m6-vermelho-eletrokit-925/p</t>
  </si>
  <si>
    <t>https://loja.eletronor.com.br/terminal-tubular-olhal-condutor-10mm-ref--a-1015-6---axt/p?idsku=812</t>
  </si>
  <si>
    <t>https://www.baudaeletronica.com.br/terminal-olhal-pre-isolado-10mm-m6-vermelho-a-1015-6.html</t>
  </si>
  <si>
    <t>https://www.disbrar.com.br/MLB-943012745-termostato-rc-80810-2-42303027-_JM</t>
  </si>
  <si>
    <t>https://posfrio.mercadoshops.com.br/MLB-1679988271-termostato-ar-de-janela-mideaspringer-42303027-rc-80810-2p-_JM</t>
  </si>
  <si>
    <t>https://produto.mercadolivre.com.br/MLB-943012745-termostato-rc-80810-2-42303027-_JM</t>
  </si>
  <si>
    <t>https://www.refritron.com.br/refrigeracao-comercial/termostato/termostato-ambiente-eletronico-tvcpi102-220v-2-estagios-e-1-velocidade-sce?parceiro=7321</t>
  </si>
  <si>
    <t>https://www.frigelar.com.br/termostato-sce-eletronico-tvcpi102-220v-2-estagios-1-velocidade/p/kit4228</t>
  </si>
  <si>
    <t>https://www.totalar.net/produtos/termostato-amb-sce-tvc-pi-1-01-24v-1est-on-off-1vel-20185/?pf=gs</t>
  </si>
  <si>
    <t>https://www.eletrofrigor.com.br/termostato-ambiente-1-estagio-1-velocidade-220v-brasiterm.html</t>
  </si>
  <si>
    <t>https://www.totalar.net/produtos/termostato-ambiente-10-30-on-off-1refr-1-vent-699/</t>
  </si>
  <si>
    <t>https://www.magazineluiza.com.br/termostato-ambiente-1-estagio-1-velocidade-220v-10c-a-30c-brasiterm/p/cda49g73j9/cj/teit/</t>
  </si>
  <si>
    <t>https://www.norterefrigeracao.com.br/termostato-robertshaw-para-ar-condicionado-consul-air-master-rc31601-2</t>
  </si>
  <si>
    <t>https://www.casarefriar.com.br/MLB-1164009639-termostato-ar-condicionado-consul-7000-a-21000-btus-_JM</t>
  </si>
  <si>
    <t>https://www.magazineluiza.com.br/termostato-ar-condicionado-consul-7-000-21-000-btu-h-quente-robertshaw/p/gje7d35he2/rc/rcnm/</t>
  </si>
  <si>
    <t>https://www.eletrofrigor.com.br/termostato-ambiente-1-estagio-1-velocidade-tvcpi101-220v-sce.html</t>
  </si>
  <si>
    <t>https://www.frigelar.com.br/termostato-sce-eletronico-tvcpi101-220v-1-estagios-1-velocidade/p/kit4229</t>
  </si>
  <si>
    <t>https://www.eletrofrigor.com.br/chave-termostatica-ar-condicionado-consul-07-10-12-18-21-30-btus-326008209-rcv-1601-4.html</t>
  </si>
  <si>
    <t>https://www.comclick.com.br/termostato-127/220v-rcv-1601-4-z-w11234524-ar-condicionado-consul-ccb07a-ccb10a-ccb07d-ccb15a-ccf07d</t>
  </si>
  <si>
    <t>https://www.magazineluiza.com.br/termostato-127-220v-rcv-1601-4-z-w11234524-ar-condicionado-consul-ccb07a-ccb10a-ccb07d-ccb15a-ccf07d/p/bghg9gcf0k/ar/arar/</t>
  </si>
  <si>
    <t>https://www.samatec.com.br/tubo-capilar-031-refrigeracao-e-ar-condicionado--rolo-3m-/p</t>
  </si>
  <si>
    <t>https://www.refrigas.com.br/capilar-0-31-rolo-3m</t>
  </si>
  <si>
    <t>https://www.refritron.com.br/tubo-capilar-de-cobre-0-31-rolo-3m</t>
  </si>
  <si>
    <t>https://www.samatec.com.br/tubo-capilar-036-3m-para-refrigeracao/p</t>
  </si>
  <si>
    <t>https://www.refrigas.com.br/capilar-0-36-rolo-3m</t>
  </si>
  <si>
    <t>https://www.refritron.com.br/capilar-0-36-rolo-3m-roxo</t>
  </si>
  <si>
    <t>https://www.samatec.com.br/tubo-capilar-042-3-m/p</t>
  </si>
  <si>
    <t>https://www.refrigas.com.br/capilar-0-42-rolo-3m</t>
  </si>
  <si>
    <t>https://www.refritron.com.br/capilar-0-42-rolo-3m-amarelo</t>
  </si>
  <si>
    <t>https://www.samatec.com.br/tubo-capilar-050-3m/p</t>
  </si>
  <si>
    <t>https://www.refrigas.com.br/capilar-0-50-rolo-3m</t>
  </si>
  <si>
    <t>https://www.refritron.com.br/capilar-0-50-rolo-3m-laranja</t>
  </si>
  <si>
    <t>https://www.samatec.com.br/capilar-064/p</t>
  </si>
  <si>
    <t>https://www.eletroamorim.com.br/ar-e-refrigeracao/tubo-capilar-0-64-refrigeracao-e-ar-condicionado-3m</t>
  </si>
  <si>
    <t>https://www.refritron.com.br/pecas-para-freezer-refrigerador-e-geladeira/tubo-capilar/tubo-capilar-0-64-de-cobre-rolo-com-3-metros</t>
  </si>
  <si>
    <t>DESPESAS DE TRANSPORTE VEÍCULAR DA EQUIPE</t>
  </si>
  <si>
    <t>Chevrolet PRISMA Sed. LT 1.4 8V FlexPower 4p 2013 Gasolina</t>
  </si>
  <si>
    <t>MARCA:</t>
  </si>
  <si>
    <t>Chevrolet</t>
  </si>
  <si>
    <t>MODELO:</t>
  </si>
  <si>
    <t>Chevrolet PRISMA Sed. LT 1.4 8V FlexPower 4p</t>
  </si>
  <si>
    <t>MODELO BASE:</t>
  </si>
  <si>
    <t>PRISMA</t>
  </si>
  <si>
    <t>ANO:</t>
  </si>
  <si>
    <t>COMBUSTÍVEL:</t>
  </si>
  <si>
    <t>GASOLINA</t>
  </si>
  <si>
    <t>CONSUMO (Km/l):</t>
  </si>
  <si>
    <t>REFERÊNCIA FIPE:</t>
  </si>
  <si>
    <t>VALOR  FIPE:</t>
  </si>
  <si>
    <t>Preço médio do combustível</t>
  </si>
  <si>
    <t>REFERÊNCIA:</t>
  </si>
  <si>
    <t>https://precodoscombustiveis.com.br/pt-br/city/brasil/rio-de-janeiro/rio-de-janeiro/3239</t>
  </si>
  <si>
    <t>PERÍODO DA REFERÊNCIA:</t>
  </si>
  <si>
    <t>GASOLINA:</t>
  </si>
  <si>
    <t>ETANOL:</t>
  </si>
  <si>
    <t>DIESEL:</t>
  </si>
  <si>
    <t>DESPESA DE COMBUSTÍVEL</t>
  </si>
  <si>
    <t>ENDEREÇOS DAS SECCIONAIS DA PROCURADORIA DA FAZENDA NACIONAL DA 2ª REGIÃO</t>
  </si>
  <si>
    <t>DISTANCIA (Km)</t>
  </si>
  <si>
    <t>DESLOCAMENTO MENSAL</t>
  </si>
  <si>
    <t>DISTANCIA MENSAL PERCORRIDA - IDA E VOLTA (Km)</t>
  </si>
  <si>
    <t>CONSUMO DO VEÍCULO (KM/LITRO):</t>
  </si>
  <si>
    <t>PREÇO DO COMBUSTÍVEL (R$/LITRO):</t>
  </si>
  <si>
    <t>GASTO MENSAL COM COMBUSTÍVEL:</t>
  </si>
  <si>
    <t>GASTO ANUAL COM COMBUSTÍVEL:</t>
  </si>
  <si>
    <t>Rua São Salvador no.62, 4° e 5 ° andares - Campos dos Goytacazes</t>
  </si>
  <si>
    <t>Rua Nossa Senhora  Aparecida, no. 500 lojas 5 a 11 e 13 - Cabo Frio</t>
  </si>
  <si>
    <t>Rua Ladeira Robadey, no. 3 - Nova Friburgo</t>
  </si>
  <si>
    <t>Rua Almirante Teffé, nº 668, 5ª andar - Niterói</t>
  </si>
  <si>
    <t>TOTAL :</t>
  </si>
  <si>
    <t>DESPESA DE PEDÁGIO</t>
  </si>
  <si>
    <t>UNIDADE ADMINISTRATIVA</t>
  </si>
  <si>
    <t>PEDAGIO</t>
  </si>
  <si>
    <t>PREÇO PEDAGIO</t>
  </si>
  <si>
    <t>TOTAL MENSAL</t>
  </si>
  <si>
    <t>DESPESA DE MANUTENÇÃO DO VEÍCULO</t>
  </si>
  <si>
    <t>RESUMO DAS DESPESAS</t>
  </si>
  <si>
    <t>UNIDADES SECCIONAL</t>
  </si>
  <si>
    <t>CUSTO POR SECCIONAL</t>
  </si>
  <si>
    <t>SEGURO (5%)</t>
  </si>
  <si>
    <t xml:space="preserve">IPVA (3,5%) </t>
  </si>
  <si>
    <t xml:space="preserve">DPVAT </t>
  </si>
  <si>
    <t>MANUTENÇÃO  (2%)</t>
  </si>
  <si>
    <t xml:space="preserve">DEPRECIAÇÃO (10%) </t>
  </si>
  <si>
    <t>TOTAL ANUAL DE DESPESAS:</t>
  </si>
  <si>
    <t>TOTAL MENSAL DE DESPESA:</t>
  </si>
  <si>
    <t>DESPESA POR DESLOCAMENTO</t>
  </si>
  <si>
    <t>RESUMO DAS DESPESAS POR SECCIONAL</t>
  </si>
  <si>
    <t>COMBUSTÍVEL</t>
  </si>
  <si>
    <t>PEDÁGIO</t>
  </si>
  <si>
    <t>CUSTO DE DESLOCAMENTO POR SECCIOAL S/ BDI</t>
  </si>
  <si>
    <r>
      <t>BDI (22,12%)</t>
    </r>
    <r>
      <rPr>
        <b/>
        <sz val="8"/>
        <color rgb="FFFF0000"/>
        <rFont val="Arial"/>
        <family val="2"/>
      </rPr>
      <t>*</t>
    </r>
  </si>
  <si>
    <t>VALOR TOTAL DE DESLOCAMENTO C/ BDI</t>
  </si>
  <si>
    <t>* O BDI final será o adotado pelo órgão para a licitação. Geralmente esse custo de descolamento é inserido no custo do calculo da mão de obra, no caso de manutenção contínua (fixa), junto aos percentuais de tributos e lucro da planilha. Com isso, deverá ser adotado o BDI sobre os custos do deslocamento. Sugiro adotar BDI único para os materiais e para o deslocamento.</t>
  </si>
  <si>
    <t>UNIFORMES</t>
  </si>
  <si>
    <t>Quantidade de postos:</t>
  </si>
  <si>
    <t>Item</t>
  </si>
  <si>
    <t>Tipo</t>
  </si>
  <si>
    <t>Qtde</t>
  </si>
  <si>
    <t>Valor Unitário</t>
  </si>
  <si>
    <t>Valor Total</t>
  </si>
  <si>
    <t>calças, tipo brim, cor azul marinho</t>
  </si>
  <si>
    <t xml:space="preserve">camiseta malha fria </t>
  </si>
  <si>
    <t>Bota profissional 1/2 Cano - Elástico - Bico de Plástico Preta</t>
  </si>
  <si>
    <t>Total / Total por funcionário (02):</t>
  </si>
  <si>
    <t>Valor por funcionário / mensal (dividido por 12):</t>
  </si>
  <si>
    <t>EPI</t>
  </si>
  <si>
    <t>Luva de couro (par)</t>
  </si>
  <si>
    <t>Capacete</t>
  </si>
  <si>
    <t>Óculos de proteção</t>
  </si>
  <si>
    <t>Protetor auricular</t>
  </si>
  <si>
    <t>Máscara filtradora s/válula</t>
  </si>
  <si>
    <t>COMPOSIÇÃO DE CAFÉ DA MANHÃ</t>
  </si>
  <si>
    <t>UNID.</t>
  </si>
  <si>
    <t>QUANT.</t>
  </si>
  <si>
    <t>PREÇO UNT</t>
  </si>
  <si>
    <t>PREÇO TOTAL</t>
  </si>
  <si>
    <t>Margarina 500 g</t>
  </si>
  <si>
    <t>Unid.</t>
  </si>
  <si>
    <t>Açúcar</t>
  </si>
  <si>
    <t>Kg</t>
  </si>
  <si>
    <t>Pão frances</t>
  </si>
  <si>
    <t>Café 500g</t>
  </si>
  <si>
    <t>Leite</t>
  </si>
  <si>
    <t>Total (mês)</t>
  </si>
  <si>
    <t>Total (mês) / Total por funcionário (02):</t>
  </si>
  <si>
    <t>VALE TRANSPORTE PERIMETRO URBANO</t>
  </si>
  <si>
    <t>VALOR UNITÁRIO DO VALE TRANSPORTE</t>
  </si>
  <si>
    <t>*Fornecimento de Vale transporte conforme Decreto nº 95.247, de 17 de novembro de 1987 Regulamenta a Lei nº 7418, de 16 de dezembro de 1985, que institui o Vale-Transporte, com a alteração da Lei nº 7619, de 30 de setembro de 1987.</t>
  </si>
  <si>
    <t>CATEGORIA PROFISSIONAL</t>
  </si>
  <si>
    <t>SALÁRIO BASE</t>
  </si>
  <si>
    <t>QTD VALE TRANSPORTE MÊS</t>
  </si>
  <si>
    <t>VALOR TOTAL DO VALE TRANSPORTE</t>
  </si>
  <si>
    <t>DESCONTO DO TRABALHADOR 6%</t>
  </si>
  <si>
    <t>VALOR A SER CONSIDERADO</t>
  </si>
  <si>
    <t xml:space="preserve">SERVIÇOS DIVERSOS </t>
  </si>
  <si>
    <t>VALE ALIMENTAÇÃO</t>
  </si>
  <si>
    <t>Valor de Vale-Alimentação/dia</t>
  </si>
  <si>
    <t>Desconto do traballhador (desconto 0,25*22)</t>
  </si>
  <si>
    <t>valor total do auxilio alimentação</t>
  </si>
  <si>
    <t>Ajudante</t>
  </si>
  <si>
    <t>Engenheiro Civil</t>
  </si>
  <si>
    <t>2142-05</t>
  </si>
  <si>
    <t>Elaboram projetos de engenharia civil, gerenciam obras, controlam a qualidade de empreendimentos. Coordenam a operação e manutenção do empreendimento. Podem prestar consultoria, assistência e assessoria e elaborar pesquisas tecnológicas.</t>
  </si>
  <si>
    <t>VALOR UNITÁRIO MÉDIO TOTAL DOS ITENS DE MERCADO</t>
  </si>
  <si>
    <t>TOTAL SINAPI</t>
  </si>
  <si>
    <t>FONTE DO DADO</t>
  </si>
  <si>
    <t>SINAPI</t>
  </si>
  <si>
    <t>SCO RIO</t>
  </si>
  <si>
    <t>TOTAL SCO RIO</t>
  </si>
  <si>
    <t>TOTAL MERCADO</t>
  </si>
  <si>
    <t>TOTAL GLOBAL MENSAL</t>
  </si>
  <si>
    <t>TOTAL GLOBAL ANUAL</t>
  </si>
  <si>
    <t>TOTAL CIVIL</t>
  </si>
  <si>
    <t>TOTAL HIDROSSANITÁRIA</t>
  </si>
  <si>
    <t>TOTAL  AR CONDICIONADO</t>
  </si>
  <si>
    <t>TOTAL ELÉTRICA</t>
  </si>
  <si>
    <t>TOTAL AR CONDICIONADO</t>
  </si>
  <si>
    <t>VALOR ANUAL CONTRATO</t>
  </si>
  <si>
    <t>LOCALIZAÇÕES DAS SECCIONAL QUANTIDADE DE PROFISSIONAIS POR SECCIONAIS E MATERIAIS (PERÍODO ANUAL) AJUDANTE - PEDREIRO - ELETRICISTA DE INSTALAÇÕES - BOMBEIRO HIDRÁULICO - MECÂNICO DE REFRIGERAÇÃO ENGENHEIRO VALOR ANUAL DOS MATERIAIS EMPREGADOS NO CONTRATO POR SECCIONAL</t>
  </si>
  <si>
    <t>Rua São Salvador no.62, 4° e 5 ° andares -</t>
  </si>
  <si>
    <t>Rua Nossa Senhora Aparecida, no. 500 lojas 5</t>
  </si>
  <si>
    <t>$L$*</t>
  </si>
  <si>
    <t>MONITORAMENTO QUALIDADE DO AR / ANÁLISE MICROBIOLÓGICA (PSFNs NITERÓI E CAMPOS)</t>
  </si>
  <si>
    <t>PONTO</t>
  </si>
  <si>
    <t>LIMPEZA E HIGIENIZAÇÃO DE DUTOS DE REFRIGERAÇÃO (PSFNs NITERÓI E CAMPOS)</t>
  </si>
  <si>
    <t>ONDE:</t>
  </si>
  <si>
    <t xml:space="preserve">TOTAL </t>
  </si>
  <si>
    <t>Campos dos Goytacazes 6 1 R$ 46.244,49</t>
  </si>
  <si>
    <t>Rua Ladeira Robadey, no. 3 - Nova Friburgo 6 1 R$ 45.225,88</t>
  </si>
  <si>
    <t>Rua Almirante Teffé, nº 668, 5ª andar - Niterói 6 1 R$ 44.112,54</t>
  </si>
  <si>
    <t>a 11 e 13 - Cabo Frio 6 1 R$ 45.111,54</t>
  </si>
  <si>
    <t>VALOR GLOBAL ANUAL: R$ 180.694,45</t>
  </si>
  <si>
    <t>www.ambientair.com.br</t>
  </si>
  <si>
    <t>rtm@realtecnologiamestre.com.br</t>
  </si>
  <si>
    <t>www.cedrotecambiental.com.br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</si>
</sst>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0"/>
    <numFmt numFmtId="169" formatCode="[$R$-416]\ #,##0.00;[Red]\-[$R$-416]\ #,##0.00"/>
    <numFmt numFmtId="170" formatCode="[$R$-416]#,##0.00;[Red]\-[$R$-416]#,##0.00"/>
    <numFmt numFmtId="171" formatCode="0.000%"/>
    <numFmt numFmtId="172" formatCode="0.00000%"/>
    <numFmt numFmtId="173" formatCode="&quot;R$&quot;\ #,##0.00"/>
    <numFmt numFmtId="174" formatCode="&quot;R$&quot;#,##0.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 MT"/>
      <family val="2"/>
    </font>
    <font>
      <b/>
      <sz val="10"/>
      <name val="Arial MT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i/>
      <sz val="11"/>
      <color rgb="FF7F7F7F"/>
      <name val="Calibri"/>
      <family val="2"/>
      <scheme val="minor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13"/>
      </patternFill>
    </fill>
    <fill>
      <patternFill patternType="solid">
        <fgColor rgb="FF808080"/>
        <bgColor rgb="FF558ED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517">
    <xf numFmtId="0" fontId="0" fillId="0" borderId="0" xfId="0"/>
    <xf numFmtId="165" fontId="0" fillId="0" borderId="0" xfId="2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5" fontId="1" fillId="0" borderId="6" xfId="2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165" fontId="1" fillId="3" borderId="6" xfId="2" applyFill="1" applyBorder="1" applyAlignment="1" applyProtection="1">
      <alignment horizontal="right"/>
    </xf>
    <xf numFmtId="9" fontId="0" fillId="0" borderId="6" xfId="3" applyFont="1" applyFill="1" applyBorder="1" applyAlignment="1" applyProtection="1">
      <alignment horizontal="center"/>
    </xf>
    <xf numFmtId="165" fontId="1" fillId="0" borderId="6" xfId="2" applyBorder="1" applyAlignment="1">
      <alignment horizontal="right"/>
    </xf>
    <xf numFmtId="0" fontId="0" fillId="0" borderId="10" xfId="0" applyBorder="1" applyAlignment="1">
      <alignment horizontal="center"/>
    </xf>
    <xf numFmtId="9" fontId="0" fillId="0" borderId="10" xfId="3" applyFont="1" applyFill="1" applyBorder="1" applyAlignment="1" applyProtection="1">
      <alignment horizontal="center"/>
    </xf>
    <xf numFmtId="165" fontId="1" fillId="0" borderId="10" xfId="2" applyBorder="1" applyAlignment="1">
      <alignment horizontal="right"/>
    </xf>
    <xf numFmtId="0" fontId="0" fillId="2" borderId="11" xfId="0" applyFill="1" applyBorder="1" applyAlignment="1">
      <alignment horizontal="center"/>
    </xf>
    <xf numFmtId="165" fontId="1" fillId="2" borderId="11" xfId="2" applyFill="1" applyBorder="1" applyAlignment="1">
      <alignment horizontal="right"/>
    </xf>
    <xf numFmtId="0" fontId="4" fillId="0" borderId="0" xfId="0" applyFont="1" applyAlignment="1">
      <alignment horizontal="center"/>
    </xf>
    <xf numFmtId="165" fontId="1" fillId="0" borderId="0" xfId="2" applyFill="1" applyBorder="1" applyAlignment="1">
      <alignment horizontal="right"/>
    </xf>
    <xf numFmtId="10" fontId="0" fillId="0" borderId="6" xfId="3" applyNumberFormat="1" applyFont="1" applyFill="1" applyBorder="1" applyAlignment="1" applyProtection="1">
      <alignment horizontal="center"/>
    </xf>
    <xf numFmtId="165" fontId="1" fillId="0" borderId="6" xfId="2" applyFill="1" applyBorder="1" applyAlignment="1" applyProtection="1"/>
    <xf numFmtId="165" fontId="0" fillId="0" borderId="0" xfId="0" applyNumberFormat="1"/>
    <xf numFmtId="0" fontId="8" fillId="0" borderId="0" xfId="0" applyFont="1" applyAlignment="1">
      <alignment horizontal="center"/>
    </xf>
    <xf numFmtId="10" fontId="6" fillId="0" borderId="0" xfId="3" applyNumberFormat="1" applyFont="1" applyFill="1" applyBorder="1" applyAlignment="1" applyProtection="1">
      <alignment horizontal="center"/>
    </xf>
    <xf numFmtId="165" fontId="1" fillId="0" borderId="0" xfId="2" applyFill="1" applyBorder="1"/>
    <xf numFmtId="165" fontId="1" fillId="0" borderId="6" xfId="2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8" fillId="0" borderId="6" xfId="0" applyFont="1" applyBorder="1" applyAlignment="1">
      <alignment horizontal="center"/>
    </xf>
    <xf numFmtId="0" fontId="9" fillId="4" borderId="0" xfId="0" applyFont="1" applyFill="1" applyAlignment="1">
      <alignment vertical="center"/>
    </xf>
    <xf numFmtId="0" fontId="0" fillId="0" borderId="7" xfId="0" applyBorder="1" applyAlignment="1">
      <alignment horizontal="center"/>
    </xf>
    <xf numFmtId="10" fontId="10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1" fillId="0" borderId="6" xfId="2" applyFill="1" applyBorder="1" applyAlignment="1" applyProtection="1">
      <alignment horizontal="right" vertical="center" wrapText="1"/>
      <protection hidden="1"/>
    </xf>
    <xf numFmtId="0" fontId="0" fillId="0" borderId="9" xfId="0" applyBorder="1" applyAlignment="1">
      <alignment horizontal="left"/>
    </xf>
    <xf numFmtId="10" fontId="10" fillId="0" borderId="6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/>
    <xf numFmtId="0" fontId="0" fillId="0" borderId="15" xfId="0" applyBorder="1" applyAlignment="1">
      <alignment horizontal="center"/>
    </xf>
    <xf numFmtId="0" fontId="5" fillId="0" borderId="0" xfId="0" applyFont="1"/>
    <xf numFmtId="165" fontId="1" fillId="0" borderId="6" xfId="2" applyFill="1" applyBorder="1"/>
    <xf numFmtId="165" fontId="4" fillId="2" borderId="6" xfId="2" applyFont="1" applyFill="1" applyBorder="1"/>
    <xf numFmtId="165" fontId="4" fillId="0" borderId="0" xfId="2" applyFont="1" applyFill="1" applyBorder="1"/>
    <xf numFmtId="0" fontId="8" fillId="0" borderId="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9" fontId="8" fillId="0" borderId="5" xfId="3" applyFont="1" applyFill="1" applyBorder="1" applyAlignment="1" applyProtection="1">
      <alignment horizontal="center"/>
    </xf>
    <xf numFmtId="2" fontId="0" fillId="0" borderId="6" xfId="0" applyNumberFormat="1" applyBorder="1"/>
    <xf numFmtId="0" fontId="0" fillId="0" borderId="6" xfId="0" applyBorder="1"/>
    <xf numFmtId="43" fontId="0" fillId="0" borderId="6" xfId="1" applyFont="1" applyFill="1" applyBorder="1" applyAlignment="1" applyProtection="1"/>
    <xf numFmtId="0" fontId="4" fillId="0" borderId="6" xfId="0" applyFont="1" applyBorder="1" applyAlignment="1">
      <alignment horizontal="center"/>
    </xf>
    <xf numFmtId="10" fontId="4" fillId="0" borderId="9" xfId="3" applyNumberFormat="1" applyFont="1" applyFill="1" applyBorder="1" applyAlignment="1" applyProtection="1">
      <alignment horizontal="center"/>
    </xf>
    <xf numFmtId="43" fontId="4" fillId="0" borderId="6" xfId="1" applyFont="1" applyFill="1" applyBorder="1" applyAlignment="1" applyProtection="1"/>
    <xf numFmtId="165" fontId="1" fillId="5" borderId="6" xfId="2" applyFill="1" applyBorder="1" applyAlignment="1" applyProtection="1">
      <alignment horizontal="center"/>
    </xf>
    <xf numFmtId="165" fontId="1" fillId="0" borderId="9" xfId="2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1" fillId="0" borderId="6" xfId="2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4" fillId="6" borderId="0" xfId="0" applyFont="1" applyFill="1" applyAlignment="1">
      <alignment horizontal="center"/>
    </xf>
    <xf numFmtId="165" fontId="1" fillId="6" borderId="0" xfId="2" applyFill="1" applyBorder="1" applyAlignment="1" applyProtection="1"/>
    <xf numFmtId="0" fontId="2" fillId="0" borderId="20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8" fillId="6" borderId="0" xfId="0" applyFont="1" applyFill="1" applyAlignment="1">
      <alignment horizontal="center"/>
    </xf>
    <xf numFmtId="10" fontId="11" fillId="6" borderId="0" xfId="0" applyNumberFormat="1" applyFont="1" applyFill="1" applyAlignment="1" applyProtection="1">
      <alignment horizontal="center" vertical="center" wrapText="1"/>
      <protection hidden="1"/>
    </xf>
    <xf numFmtId="165" fontId="1" fillId="6" borderId="0" xfId="2" applyFill="1" applyBorder="1" applyAlignment="1" applyProtection="1">
      <alignment horizontal="right"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10" fontId="15" fillId="7" borderId="6" xfId="3" applyNumberFormat="1" applyFont="1" applyFill="1" applyBorder="1" applyAlignment="1" applyProtection="1">
      <alignment horizontal="center"/>
    </xf>
    <xf numFmtId="44" fontId="0" fillId="0" borderId="0" xfId="0" applyNumberFormat="1"/>
    <xf numFmtId="165" fontId="1" fillId="0" borderId="6" xfId="2" applyFill="1" applyBorder="1" applyAlignment="1" applyProtection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10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0" fontId="0" fillId="0" borderId="4" xfId="3" applyNumberFormat="1" applyFont="1" applyFill="1" applyBorder="1" applyAlignment="1" applyProtection="1">
      <alignment horizontal="center" vertical="center"/>
    </xf>
    <xf numFmtId="165" fontId="1" fillId="0" borderId="4" xfId="2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19" xfId="0" applyBorder="1" applyAlignment="1">
      <alignment horizontal="center"/>
    </xf>
    <xf numFmtId="165" fontId="2" fillId="0" borderId="0" xfId="0" applyNumberFormat="1" applyFont="1" applyAlignment="1">
      <alignment vertical="center" wrapText="1"/>
    </xf>
    <xf numFmtId="165" fontId="1" fillId="0" borderId="5" xfId="2" applyFill="1" applyBorder="1" applyAlignment="1" applyProtection="1"/>
    <xf numFmtId="0" fontId="8" fillId="0" borderId="4" xfId="0" applyFont="1" applyBorder="1" applyAlignment="1">
      <alignment horizontal="center"/>
    </xf>
    <xf numFmtId="165" fontId="1" fillId="0" borderId="4" xfId="2" applyFill="1" applyBorder="1" applyAlignment="1" applyProtection="1"/>
    <xf numFmtId="171" fontId="20" fillId="6" borderId="0" xfId="0" applyNumberFormat="1" applyFont="1" applyFill="1" applyAlignment="1">
      <alignment horizontal="center" vertical="center"/>
    </xf>
    <xf numFmtId="0" fontId="21" fillId="6" borderId="0" xfId="0" applyFont="1" applyFill="1"/>
    <xf numFmtId="43" fontId="21" fillId="0" borderId="0" xfId="1" applyFont="1"/>
    <xf numFmtId="172" fontId="21" fillId="0" borderId="0" xfId="3" applyNumberFormat="1" applyFont="1"/>
    <xf numFmtId="43" fontId="21" fillId="0" borderId="0" xfId="0" applyNumberFormat="1" applyFont="1"/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2" fillId="8" borderId="6" xfId="0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vertical="center" wrapText="1"/>
    </xf>
    <xf numFmtId="0" fontId="4" fillId="10" borderId="4" xfId="0" applyFont="1" applyFill="1" applyBorder="1" applyAlignment="1">
      <alignment horizontal="center" vertical="center"/>
    </xf>
    <xf numFmtId="10" fontId="15" fillId="0" borderId="4" xfId="0" applyNumberFormat="1" applyFont="1" applyBorder="1" applyAlignment="1">
      <alignment vertical="center"/>
    </xf>
    <xf numFmtId="165" fontId="15" fillId="0" borderId="4" xfId="2" applyFont="1" applyFill="1" applyBorder="1" applyAlignment="1">
      <alignment vertical="center"/>
    </xf>
    <xf numFmtId="10" fontId="11" fillId="0" borderId="6" xfId="0" applyNumberFormat="1" applyFont="1" applyBorder="1" applyAlignment="1" applyProtection="1">
      <alignment horizontal="center" vertical="center" wrapText="1"/>
      <protection hidden="1"/>
    </xf>
    <xf numFmtId="165" fontId="15" fillId="0" borderId="6" xfId="2" applyFont="1" applyFill="1" applyBorder="1" applyAlignment="1" applyProtection="1">
      <alignment horizontal="right" vertical="center" wrapText="1"/>
      <protection hidden="1"/>
    </xf>
    <xf numFmtId="0" fontId="2" fillId="10" borderId="4" xfId="0" applyFont="1" applyFill="1" applyBorder="1" applyAlignment="1">
      <alignment vertical="center" wrapText="1"/>
    </xf>
    <xf numFmtId="165" fontId="20" fillId="0" borderId="6" xfId="2" applyFont="1" applyFill="1" applyBorder="1"/>
    <xf numFmtId="0" fontId="0" fillId="7" borderId="6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25" fillId="0" borderId="0" xfId="0" applyFont="1"/>
    <xf numFmtId="0" fontId="24" fillId="0" borderId="0" xfId="0" applyFont="1"/>
    <xf numFmtId="0" fontId="25" fillId="0" borderId="4" xfId="0" applyFont="1" applyBorder="1" applyAlignment="1">
      <alignment horizontal="center" wrapText="1"/>
    </xf>
    <xf numFmtId="0" fontId="25" fillId="0" borderId="4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center" vertical="center" wrapText="1"/>
    </xf>
    <xf numFmtId="165" fontId="25" fillId="0" borderId="4" xfId="2" applyFont="1" applyBorder="1" applyAlignment="1">
      <alignment horizontal="center" vertical="center" wrapText="1"/>
    </xf>
    <xf numFmtId="165" fontId="24" fillId="0" borderId="4" xfId="2" applyFont="1" applyBorder="1" applyAlignment="1">
      <alignment horizontal="center" vertical="center" wrapText="1"/>
    </xf>
    <xf numFmtId="165" fontId="24" fillId="0" borderId="4" xfId="2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14" fillId="8" borderId="4" xfId="0" applyFont="1" applyFill="1" applyBorder="1" applyAlignment="1">
      <alignment vertical="center"/>
    </xf>
    <xf numFmtId="165" fontId="1" fillId="7" borderId="6" xfId="2" applyFill="1" applyBorder="1" applyAlignment="1" applyProtection="1">
      <alignment horizontal="center"/>
    </xf>
    <xf numFmtId="43" fontId="0" fillId="7" borderId="6" xfId="1" applyFont="1" applyFill="1" applyBorder="1" applyAlignment="1" applyProtection="1">
      <alignment horizontal="center"/>
    </xf>
    <xf numFmtId="14" fontId="0" fillId="7" borderId="6" xfId="0" applyNumberFormat="1" applyFill="1" applyBorder="1" applyAlignment="1">
      <alignment horizontal="center"/>
    </xf>
    <xf numFmtId="10" fontId="15" fillId="0" borderId="6" xfId="0" applyNumberFormat="1" applyFont="1" applyBorder="1" applyAlignment="1">
      <alignment horizontal="center"/>
    </xf>
    <xf numFmtId="165" fontId="15" fillId="0" borderId="6" xfId="2" applyFont="1" applyFill="1" applyBorder="1"/>
    <xf numFmtId="10" fontId="4" fillId="0" borderId="6" xfId="3" applyNumberFormat="1" applyFont="1" applyFill="1" applyBorder="1" applyAlignment="1" applyProtection="1">
      <alignment horizontal="center"/>
    </xf>
    <xf numFmtId="165" fontId="15" fillId="0" borderId="6" xfId="2" applyFont="1" applyFill="1" applyBorder="1" applyAlignment="1" applyProtection="1"/>
    <xf numFmtId="10" fontId="0" fillId="7" borderId="6" xfId="3" applyNumberFormat="1" applyFont="1" applyFill="1" applyBorder="1" applyAlignment="1" applyProtection="1">
      <alignment horizontal="center"/>
    </xf>
    <xf numFmtId="0" fontId="0" fillId="7" borderId="6" xfId="0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0" fillId="0" borderId="4" xfId="0" applyBorder="1"/>
    <xf numFmtId="43" fontId="0" fillId="0" borderId="4" xfId="1" applyFont="1" applyBorder="1"/>
    <xf numFmtId="43" fontId="0" fillId="0" borderId="0" xfId="1" applyFont="1"/>
    <xf numFmtId="0" fontId="0" fillId="0" borderId="0" xfId="0" applyAlignment="1">
      <alignment horizontal="center" vertical="center"/>
    </xf>
    <xf numFmtId="43" fontId="15" fillId="11" borderId="4" xfId="1" applyFont="1" applyFill="1" applyBorder="1"/>
    <xf numFmtId="43" fontId="0" fillId="0" borderId="4" xfId="1" applyFont="1" applyBorder="1" applyAlignment="1">
      <alignment vertical="center"/>
    </xf>
    <xf numFmtId="43" fontId="15" fillId="0" borderId="4" xfId="1" applyFont="1" applyBorder="1" applyAlignment="1">
      <alignment vertical="center"/>
    </xf>
    <xf numFmtId="0" fontId="0" fillId="0" borderId="4" xfId="0" applyBorder="1" applyAlignment="1">
      <alignment vertical="center"/>
    </xf>
    <xf numFmtId="43" fontId="15" fillId="11" borderId="4" xfId="1" applyFont="1" applyFill="1" applyBorder="1" applyAlignment="1">
      <alignment vertical="center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9" fillId="0" borderId="4" xfId="0" applyFont="1" applyBorder="1" applyAlignment="1">
      <alignment vertical="center" wrapText="1"/>
    </xf>
    <xf numFmtId="165" fontId="29" fillId="0" borderId="4" xfId="2" applyFont="1" applyBorder="1" applyAlignment="1" applyProtection="1">
      <alignment horizontal="center" vertical="center" wrapText="1"/>
      <protection locked="0"/>
    </xf>
    <xf numFmtId="165" fontId="29" fillId="0" borderId="4" xfId="2" applyFont="1" applyBorder="1" applyAlignment="1">
      <alignment horizontal="center" vertical="center" wrapText="1"/>
    </xf>
    <xf numFmtId="165" fontId="31" fillId="12" borderId="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6" fillId="8" borderId="4" xfId="0" applyFont="1" applyFill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3" fillId="0" borderId="4" xfId="0" applyFont="1" applyBorder="1" applyAlignment="1">
      <alignment horizontal="center" vertical="center" wrapText="1"/>
    </xf>
    <xf numFmtId="169" fontId="32" fillId="0" borderId="4" xfId="0" applyNumberFormat="1" applyFont="1" applyBorder="1" applyAlignment="1" applyProtection="1">
      <alignment horizontal="center" vertical="center" wrapText="1"/>
      <protection locked="0"/>
    </xf>
    <xf numFmtId="169" fontId="32" fillId="0" borderId="4" xfId="0" applyNumberFormat="1" applyFont="1" applyBorder="1" applyAlignment="1">
      <alignment horizontal="center" vertical="center" wrapText="1"/>
    </xf>
    <xf numFmtId="169" fontId="33" fillId="0" borderId="4" xfId="0" applyNumberFormat="1" applyFont="1" applyBorder="1" applyAlignment="1">
      <alignment horizontal="center" vertical="center" wrapText="1"/>
    </xf>
    <xf numFmtId="170" fontId="33" fillId="2" borderId="4" xfId="0" applyNumberFormat="1" applyFont="1" applyFill="1" applyBorder="1" applyAlignment="1">
      <alignment horizontal="center" vertical="center"/>
    </xf>
    <xf numFmtId="0" fontId="25" fillId="6" borderId="0" xfId="4" applyFont="1" applyFill="1"/>
    <xf numFmtId="0" fontId="25" fillId="6" borderId="0" xfId="6" applyFont="1" applyFill="1" applyAlignment="1">
      <alignment vertical="center" wrapText="1"/>
    </xf>
    <xf numFmtId="9" fontId="25" fillId="6" borderId="4" xfId="3" applyFont="1" applyFill="1" applyBorder="1" applyAlignment="1">
      <alignment horizontal="center" vertical="center" wrapText="1"/>
    </xf>
    <xf numFmtId="49" fontId="25" fillId="6" borderId="3" xfId="4" applyNumberFormat="1" applyFont="1" applyFill="1" applyBorder="1" applyAlignment="1">
      <alignment vertical="center" wrapText="1"/>
    </xf>
    <xf numFmtId="0" fontId="25" fillId="6" borderId="4" xfId="4" applyFont="1" applyFill="1" applyBorder="1"/>
    <xf numFmtId="167" fontId="25" fillId="6" borderId="4" xfId="7" applyFont="1" applyFill="1" applyBorder="1"/>
    <xf numFmtId="0" fontId="25" fillId="6" borderId="4" xfId="4" applyFont="1" applyFill="1" applyBorder="1" applyAlignment="1">
      <alignment horizontal="center"/>
    </xf>
    <xf numFmtId="167" fontId="25" fillId="6" borderId="4" xfId="7" applyFont="1" applyFill="1" applyBorder="1" applyAlignment="1">
      <alignment vertical="center"/>
    </xf>
    <xf numFmtId="167" fontId="25" fillId="6" borderId="0" xfId="7" applyFont="1" applyFill="1" applyBorder="1"/>
    <xf numFmtId="0" fontId="25" fillId="6" borderId="0" xfId="4" applyFont="1" applyFill="1" applyAlignment="1">
      <alignment horizontal="center"/>
    </xf>
    <xf numFmtId="167" fontId="25" fillId="6" borderId="0" xfId="7" applyFont="1" applyFill="1" applyBorder="1" applyAlignment="1">
      <alignment vertical="center"/>
    </xf>
    <xf numFmtId="0" fontId="25" fillId="6" borderId="0" xfId="4" applyFont="1" applyFill="1" applyAlignment="1">
      <alignment horizontal="center" vertical="center"/>
    </xf>
    <xf numFmtId="166" fontId="25" fillId="6" borderId="0" xfId="5" applyFont="1" applyFill="1" applyBorder="1"/>
    <xf numFmtId="0" fontId="25" fillId="9" borderId="4" xfId="4" applyFont="1" applyFill="1" applyBorder="1" applyAlignment="1">
      <alignment horizontal="center"/>
    </xf>
    <xf numFmtId="4" fontId="25" fillId="6" borderId="0" xfId="4" applyNumberFormat="1" applyFont="1" applyFill="1" applyAlignment="1" applyProtection="1">
      <alignment horizontal="center"/>
      <protection locked="0"/>
    </xf>
    <xf numFmtId="4" fontId="25" fillId="6" borderId="0" xfId="4" applyNumberFormat="1" applyFont="1" applyFill="1"/>
    <xf numFmtId="43" fontId="25" fillId="6" borderId="0" xfId="4" applyNumberFormat="1" applyFont="1" applyFill="1"/>
    <xf numFmtId="0" fontId="25" fillId="6" borderId="4" xfId="4" applyFont="1" applyFill="1" applyBorder="1" applyAlignment="1">
      <alignment horizontal="justify" vertical="justify"/>
    </xf>
    <xf numFmtId="4" fontId="25" fillId="6" borderId="0" xfId="4" applyNumberFormat="1" applyFont="1" applyFill="1" applyAlignment="1">
      <alignment horizontal="justify" vertical="justify"/>
    </xf>
    <xf numFmtId="0" fontId="25" fillId="6" borderId="0" xfId="4" applyFont="1" applyFill="1" applyAlignment="1">
      <alignment horizontal="justify" vertical="justify"/>
    </xf>
    <xf numFmtId="0" fontId="34" fillId="6" borderId="0" xfId="4" applyFont="1" applyFill="1"/>
    <xf numFmtId="0" fontId="26" fillId="8" borderId="29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5" fontId="4" fillId="0" borderId="6" xfId="2" applyFont="1" applyFill="1" applyBorder="1" applyAlignment="1" applyProtection="1">
      <alignment horizontal="center"/>
    </xf>
    <xf numFmtId="0" fontId="36" fillId="13" borderId="4" xfId="0" applyFont="1" applyFill="1" applyBorder="1" applyAlignment="1">
      <alignment horizontal="center" vertical="center" wrapText="1"/>
    </xf>
    <xf numFmtId="0" fontId="36" fillId="13" borderId="4" xfId="0" applyFont="1" applyFill="1" applyBorder="1" applyAlignment="1">
      <alignment horizontal="left" vertical="center" wrapText="1"/>
    </xf>
    <xf numFmtId="165" fontId="36" fillId="13" borderId="4" xfId="2" applyFont="1" applyFill="1" applyBorder="1" applyAlignment="1">
      <alignment horizontal="center" vertical="center" wrapText="1"/>
    </xf>
    <xf numFmtId="2" fontId="36" fillId="13" borderId="4" xfId="0" applyNumberFormat="1" applyFont="1" applyFill="1" applyBorder="1" applyAlignment="1">
      <alignment horizontal="center" vertical="center" wrapText="1"/>
    </xf>
    <xf numFmtId="0" fontId="36" fillId="14" borderId="4" xfId="0" applyFont="1" applyFill="1" applyBorder="1" applyAlignment="1">
      <alignment horizontal="center" vertical="center" wrapText="1"/>
    </xf>
    <xf numFmtId="0" fontId="36" fillId="14" borderId="4" xfId="0" applyFont="1" applyFill="1" applyBorder="1" applyAlignment="1">
      <alignment horizontal="left" vertical="center" wrapText="1"/>
    </xf>
    <xf numFmtId="165" fontId="36" fillId="14" borderId="4" xfId="2" applyFont="1" applyFill="1" applyBorder="1" applyAlignment="1">
      <alignment horizontal="center" vertical="center" wrapText="1"/>
    </xf>
    <xf numFmtId="2" fontId="36" fillId="14" borderId="4" xfId="0" applyNumberFormat="1" applyFont="1" applyFill="1" applyBorder="1" applyAlignment="1">
      <alignment horizontal="center" vertical="center" wrapText="1"/>
    </xf>
    <xf numFmtId="0" fontId="36" fillId="15" borderId="4" xfId="0" applyFont="1" applyFill="1" applyBorder="1" applyAlignment="1">
      <alignment horizontal="center" vertical="center" wrapText="1"/>
    </xf>
    <xf numFmtId="0" fontId="36" fillId="15" borderId="4" xfId="0" applyFont="1" applyFill="1" applyBorder="1" applyAlignment="1">
      <alignment horizontal="left" vertical="center" wrapText="1"/>
    </xf>
    <xf numFmtId="165" fontId="36" fillId="15" borderId="4" xfId="2" applyFont="1" applyFill="1" applyBorder="1" applyAlignment="1">
      <alignment horizontal="center" vertical="center" wrapText="1"/>
    </xf>
    <xf numFmtId="2" fontId="36" fillId="15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0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1" fillId="0" borderId="4" xfId="0" applyFont="1" applyBorder="1" applyAlignment="1">
      <alignment horizontal="center" vertical="center"/>
    </xf>
    <xf numFmtId="173" fontId="21" fillId="0" borderId="4" xfId="0" applyNumberFormat="1" applyFont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 wrapText="1"/>
    </xf>
    <xf numFmtId="0" fontId="27" fillId="17" borderId="4" xfId="0" applyFont="1" applyFill="1" applyBorder="1" applyAlignment="1">
      <alignment horizontal="center" vertical="center" wrapText="1"/>
    </xf>
    <xf numFmtId="0" fontId="28" fillId="17" borderId="4" xfId="0" applyFont="1" applyFill="1" applyBorder="1" applyAlignment="1">
      <alignment horizontal="center" vertical="center" wrapText="1"/>
    </xf>
    <xf numFmtId="0" fontId="15" fillId="17" borderId="4" xfId="0" applyFont="1" applyFill="1" applyBorder="1" applyAlignment="1">
      <alignment horizontal="center" vertical="center"/>
    </xf>
    <xf numFmtId="0" fontId="27" fillId="17" borderId="4" xfId="0" applyFont="1" applyFill="1" applyBorder="1" applyAlignment="1">
      <alignment horizontal="center" vertical="center"/>
    </xf>
    <xf numFmtId="0" fontId="28" fillId="17" borderId="4" xfId="0" applyFont="1" applyFill="1" applyBorder="1" applyAlignment="1">
      <alignment horizontal="center" vertical="center"/>
    </xf>
    <xf numFmtId="43" fontId="15" fillId="15" borderId="4" xfId="1" applyFont="1" applyFill="1" applyBorder="1" applyAlignment="1">
      <alignment vertical="center"/>
    </xf>
    <xf numFmtId="49" fontId="24" fillId="15" borderId="4" xfId="4" applyNumberFormat="1" applyFont="1" applyFill="1" applyBorder="1" applyAlignment="1">
      <alignment horizontal="center" vertical="center" wrapText="1"/>
    </xf>
    <xf numFmtId="0" fontId="24" fillId="15" borderId="4" xfId="4" applyFont="1" applyFill="1" applyBorder="1" applyAlignment="1">
      <alignment horizontal="center" vertical="center" wrapText="1"/>
    </xf>
    <xf numFmtId="0" fontId="33" fillId="15" borderId="4" xfId="0" applyFont="1" applyFill="1" applyBorder="1" applyAlignment="1">
      <alignment horizontal="center" vertical="center" wrapText="1"/>
    </xf>
    <xf numFmtId="168" fontId="33" fillId="15" borderId="4" xfId="0" applyNumberFormat="1" applyFont="1" applyFill="1" applyBorder="1" applyAlignment="1">
      <alignment horizontal="center" vertical="center" wrapText="1"/>
    </xf>
    <xf numFmtId="0" fontId="33" fillId="18" borderId="4" xfId="0" applyFont="1" applyFill="1" applyBorder="1" applyAlignment="1">
      <alignment horizontal="center" vertical="center" wrapText="1"/>
    </xf>
    <xf numFmtId="0" fontId="24" fillId="15" borderId="4" xfId="0" applyFont="1" applyFill="1" applyBorder="1" applyAlignment="1">
      <alignment horizontal="center" vertical="center" wrapText="1"/>
    </xf>
    <xf numFmtId="165" fontId="1" fillId="2" borderId="6" xfId="2" applyFill="1" applyBorder="1" applyAlignment="1" applyProtection="1"/>
    <xf numFmtId="10" fontId="22" fillId="8" borderId="4" xfId="3" applyNumberFormat="1" applyFont="1" applyFill="1" applyBorder="1" applyAlignment="1">
      <alignment horizontal="center" vertical="center"/>
    </xf>
    <xf numFmtId="173" fontId="20" fillId="2" borderId="4" xfId="0" applyNumberFormat="1" applyFont="1" applyFill="1" applyBorder="1" applyAlignment="1">
      <alignment horizontal="center" vertical="center"/>
    </xf>
    <xf numFmtId="0" fontId="35" fillId="0" borderId="0" xfId="0" applyFont="1"/>
    <xf numFmtId="0" fontId="4" fillId="17" borderId="4" xfId="0" applyFont="1" applyFill="1" applyBorder="1" applyAlignment="1">
      <alignment vertical="center"/>
    </xf>
    <xf numFmtId="165" fontId="0" fillId="0" borderId="0" xfId="2" applyFont="1" applyBorder="1" applyAlignment="1">
      <alignment horizontal="center"/>
    </xf>
    <xf numFmtId="43" fontId="29" fillId="0" borderId="4" xfId="0" applyNumberFormat="1" applyFont="1" applyBorder="1" applyAlignment="1">
      <alignment horizontal="center" vertical="center" wrapText="1"/>
    </xf>
    <xf numFmtId="165" fontId="0" fillId="0" borderId="4" xfId="2" applyFont="1" applyBorder="1"/>
    <xf numFmtId="43" fontId="15" fillId="0" borderId="4" xfId="0" applyNumberFormat="1" applyFont="1" applyBorder="1"/>
    <xf numFmtId="43" fontId="1" fillId="0" borderId="4" xfId="1" applyFont="1" applyBorder="1"/>
    <xf numFmtId="10" fontId="29" fillId="0" borderId="4" xfId="3" applyNumberFormat="1" applyFont="1" applyBorder="1" applyAlignment="1">
      <alignment horizontal="center" vertical="center" wrapText="1"/>
    </xf>
    <xf numFmtId="0" fontId="41" fillId="0" borderId="0" xfId="11" applyFont="1" applyBorder="1" applyAlignment="1">
      <alignment vertical="center" wrapText="1"/>
    </xf>
    <xf numFmtId="2" fontId="42" fillId="0" borderId="0" xfId="11" applyNumberFormat="1" applyFont="1" applyBorder="1" applyAlignment="1">
      <alignment vertical="center"/>
    </xf>
    <xf numFmtId="2" fontId="42" fillId="0" borderId="4" xfId="11" applyNumberFormat="1" applyFont="1" applyBorder="1" applyAlignment="1">
      <alignment vertical="center"/>
    </xf>
    <xf numFmtId="0" fontId="43" fillId="0" borderId="0" xfId="11" applyFont="1" applyBorder="1" applyAlignment="1">
      <alignment vertical="center"/>
    </xf>
    <xf numFmtId="0" fontId="44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wrapText="1"/>
    </xf>
    <xf numFmtId="0" fontId="35" fillId="0" borderId="0" xfId="0" applyFont="1" applyAlignment="1">
      <alignment horizontal="left"/>
    </xf>
    <xf numFmtId="0" fontId="45" fillId="13" borderId="4" xfId="0" applyFont="1" applyFill="1" applyBorder="1" applyAlignment="1">
      <alignment horizontal="center" vertical="center" wrapText="1"/>
    </xf>
    <xf numFmtId="2" fontId="6" fillId="15" borderId="4" xfId="0" applyNumberFormat="1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left" vertical="center" wrapText="1"/>
    </xf>
    <xf numFmtId="165" fontId="6" fillId="15" borderId="4" xfId="2" applyFont="1" applyFill="1" applyBorder="1" applyAlignment="1">
      <alignment horizontal="center" vertical="center" wrapText="1"/>
    </xf>
    <xf numFmtId="0" fontId="45" fillId="15" borderId="4" xfId="0" applyFont="1" applyFill="1" applyBorder="1" applyAlignment="1">
      <alignment horizontal="center" vertical="center" wrapText="1"/>
    </xf>
    <xf numFmtId="165" fontId="0" fillId="13" borderId="4" xfId="2" applyFont="1" applyFill="1" applyBorder="1" applyAlignment="1">
      <alignment horizontal="center" vertical="center"/>
    </xf>
    <xf numFmtId="165" fontId="0" fillId="14" borderId="4" xfId="2" applyFont="1" applyFill="1" applyBorder="1" applyAlignment="1">
      <alignment horizontal="center" vertical="center"/>
    </xf>
    <xf numFmtId="165" fontId="0" fillId="15" borderId="4" xfId="2" applyFont="1" applyFill="1" applyBorder="1" applyAlignment="1">
      <alignment horizontal="center" vertical="center"/>
    </xf>
    <xf numFmtId="165" fontId="46" fillId="15" borderId="4" xfId="2" applyFont="1" applyFill="1" applyBorder="1" applyAlignment="1">
      <alignment horizontal="center" vertical="center"/>
    </xf>
    <xf numFmtId="2" fontId="45" fillId="13" borderId="4" xfId="0" applyNumberFormat="1" applyFont="1" applyFill="1" applyBorder="1" applyAlignment="1">
      <alignment horizontal="center" vertical="center" wrapText="1"/>
    </xf>
    <xf numFmtId="2" fontId="45" fillId="14" borderId="4" xfId="0" applyNumberFormat="1" applyFont="1" applyFill="1" applyBorder="1" applyAlignment="1">
      <alignment horizontal="center" vertical="center" wrapText="1"/>
    </xf>
    <xf numFmtId="2" fontId="45" fillId="15" borderId="4" xfId="0" applyNumberFormat="1" applyFont="1" applyFill="1" applyBorder="1" applyAlignment="1">
      <alignment horizontal="center" vertical="center" wrapText="1"/>
    </xf>
    <xf numFmtId="2" fontId="36" fillId="20" borderId="4" xfId="0" applyNumberFormat="1" applyFont="1" applyFill="1" applyBorder="1" applyAlignment="1">
      <alignment horizontal="center" vertical="center" wrapText="1"/>
    </xf>
    <xf numFmtId="0" fontId="36" fillId="20" borderId="4" xfId="0" applyFont="1" applyFill="1" applyBorder="1" applyAlignment="1">
      <alignment horizontal="left" vertical="center" wrapText="1"/>
    </xf>
    <xf numFmtId="0" fontId="36" fillId="20" borderId="4" xfId="0" applyFont="1" applyFill="1" applyBorder="1" applyAlignment="1">
      <alignment horizontal="center" vertical="center" wrapText="1"/>
    </xf>
    <xf numFmtId="2" fontId="45" fillId="20" borderId="4" xfId="0" applyNumberFormat="1" applyFont="1" applyFill="1" applyBorder="1" applyAlignment="1">
      <alignment horizontal="center" vertical="center" wrapText="1"/>
    </xf>
    <xf numFmtId="165" fontId="36" fillId="20" borderId="4" xfId="2" applyFont="1" applyFill="1" applyBorder="1" applyAlignment="1">
      <alignment horizontal="center" vertical="center" wrapText="1"/>
    </xf>
    <xf numFmtId="165" fontId="0" fillId="20" borderId="4" xfId="2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horizontal="left" vertical="center" wrapText="1"/>
    </xf>
    <xf numFmtId="0" fontId="45" fillId="14" borderId="4" xfId="0" applyFont="1" applyFill="1" applyBorder="1" applyAlignment="1">
      <alignment horizontal="center" vertical="center" wrapText="1"/>
    </xf>
    <xf numFmtId="0" fontId="45" fillId="20" borderId="4" xfId="0" applyFont="1" applyFill="1" applyBorder="1" applyAlignment="1">
      <alignment horizontal="center" vertical="center" wrapText="1"/>
    </xf>
    <xf numFmtId="2" fontId="42" fillId="0" borderId="1" xfId="11" applyNumberFormat="1" applyFont="1" applyBorder="1" applyAlignment="1">
      <alignment vertical="center"/>
    </xf>
    <xf numFmtId="2" fontId="19" fillId="13" borderId="4" xfId="0" applyNumberFormat="1" applyFont="1" applyFill="1" applyBorder="1" applyAlignment="1">
      <alignment horizontal="center" vertical="center" wrapText="1"/>
    </xf>
    <xf numFmtId="0" fontId="47" fillId="13" borderId="4" xfId="0" applyFont="1" applyFill="1" applyBorder="1" applyAlignment="1">
      <alignment horizontal="left" vertical="center" wrapText="1"/>
    </xf>
    <xf numFmtId="2" fontId="19" fillId="20" borderId="4" xfId="0" applyNumberFormat="1" applyFont="1" applyFill="1" applyBorder="1" applyAlignment="1">
      <alignment horizontal="center" vertical="center" wrapText="1"/>
    </xf>
    <xf numFmtId="2" fontId="19" fillId="14" borderId="4" xfId="0" applyNumberFormat="1" applyFont="1" applyFill="1" applyBorder="1" applyAlignment="1">
      <alignment horizontal="center" vertical="center" wrapText="1"/>
    </xf>
    <xf numFmtId="0" fontId="47" fillId="20" borderId="4" xfId="0" applyFont="1" applyFill="1" applyBorder="1" applyAlignment="1">
      <alignment horizontal="left" vertical="center" wrapText="1"/>
    </xf>
    <xf numFmtId="0" fontId="47" fillId="14" borderId="4" xfId="0" applyFont="1" applyFill="1" applyBorder="1" applyAlignment="1">
      <alignment horizontal="left" vertical="center" wrapText="1"/>
    </xf>
    <xf numFmtId="0" fontId="48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2" fontId="42" fillId="0" borderId="1" xfId="11" applyNumberFormat="1" applyFont="1" applyBorder="1" applyAlignment="1">
      <alignment horizontal="center" vertical="center"/>
    </xf>
    <xf numFmtId="0" fontId="38" fillId="13" borderId="4" xfId="10" applyFill="1" applyBorder="1" applyAlignment="1">
      <alignment horizontal="center" vertical="center" wrapText="1"/>
    </xf>
    <xf numFmtId="174" fontId="47" fillId="13" borderId="4" xfId="0" applyNumberFormat="1" applyFont="1" applyFill="1" applyBorder="1" applyAlignment="1">
      <alignment horizontal="center" vertical="center" wrapText="1"/>
    </xf>
    <xf numFmtId="0" fontId="47" fillId="13" borderId="4" xfId="0" applyFont="1" applyFill="1" applyBorder="1" applyAlignment="1">
      <alignment horizontal="center" vertical="center"/>
    </xf>
    <xf numFmtId="174" fontId="47" fillId="14" borderId="4" xfId="0" applyNumberFormat="1" applyFont="1" applyFill="1" applyBorder="1" applyAlignment="1">
      <alignment horizontal="center" vertical="center" wrapText="1"/>
    </xf>
    <xf numFmtId="0" fontId="47" fillId="14" borderId="4" xfId="0" applyFont="1" applyFill="1" applyBorder="1" applyAlignment="1">
      <alignment horizontal="center" vertical="center"/>
    </xf>
    <xf numFmtId="174" fontId="47" fillId="20" borderId="4" xfId="0" applyNumberFormat="1" applyFont="1" applyFill="1" applyBorder="1" applyAlignment="1">
      <alignment horizontal="center" vertical="center" wrapText="1"/>
    </xf>
    <xf numFmtId="0" fontId="47" fillId="20" borderId="4" xfId="0" applyFont="1" applyFill="1" applyBorder="1" applyAlignment="1">
      <alignment horizontal="center" vertical="center"/>
    </xf>
    <xf numFmtId="0" fontId="49" fillId="13" borderId="4" xfId="0" applyFont="1" applyFill="1" applyBorder="1" applyAlignment="1">
      <alignment horizontal="center" vertical="center" wrapText="1"/>
    </xf>
    <xf numFmtId="0" fontId="38" fillId="14" borderId="4" xfId="10" applyFill="1" applyBorder="1" applyAlignment="1">
      <alignment horizontal="center" vertical="center" wrapText="1"/>
    </xf>
    <xf numFmtId="0" fontId="49" fillId="14" borderId="4" xfId="0" applyFont="1" applyFill="1" applyBorder="1" applyAlignment="1">
      <alignment horizontal="center" vertical="center" wrapText="1"/>
    </xf>
    <xf numFmtId="0" fontId="38" fillId="20" borderId="4" xfId="10" applyFill="1" applyBorder="1" applyAlignment="1">
      <alignment horizontal="center" vertical="center" wrapText="1"/>
    </xf>
    <xf numFmtId="14" fontId="47" fillId="13" borderId="4" xfId="0" applyNumberFormat="1" applyFont="1" applyFill="1" applyBorder="1" applyAlignment="1">
      <alignment horizontal="center" vertical="center" wrapText="1"/>
    </xf>
    <xf numFmtId="14" fontId="47" fillId="14" borderId="4" xfId="0" applyNumberFormat="1" applyFont="1" applyFill="1" applyBorder="1" applyAlignment="1">
      <alignment horizontal="center" vertical="center" wrapText="1"/>
    </xf>
    <xf numFmtId="14" fontId="47" fillId="20" borderId="4" xfId="0" applyNumberFormat="1" applyFont="1" applyFill="1" applyBorder="1" applyAlignment="1">
      <alignment horizontal="center" vertical="center" wrapText="1"/>
    </xf>
    <xf numFmtId="2" fontId="0" fillId="20" borderId="4" xfId="0" applyNumberFormat="1" applyFill="1" applyBorder="1" applyAlignment="1">
      <alignment horizontal="center" vertical="center" wrapText="1"/>
    </xf>
    <xf numFmtId="0" fontId="50" fillId="20" borderId="4" xfId="0" applyFont="1" applyFill="1" applyBorder="1" applyAlignment="1">
      <alignment horizontal="left" vertical="center" wrapText="1"/>
    </xf>
    <xf numFmtId="174" fontId="50" fillId="20" borderId="4" xfId="0" applyNumberFormat="1" applyFont="1" applyFill="1" applyBorder="1" applyAlignment="1">
      <alignment horizontal="center" vertical="center" wrapText="1"/>
    </xf>
    <xf numFmtId="14" fontId="50" fillId="20" borderId="4" xfId="0" applyNumberFormat="1" applyFont="1" applyFill="1" applyBorder="1" applyAlignment="1">
      <alignment horizontal="center" vertical="center" wrapText="1"/>
    </xf>
    <xf numFmtId="0" fontId="50" fillId="20" borderId="4" xfId="0" applyFont="1" applyFill="1" applyBorder="1" applyAlignment="1">
      <alignment horizontal="center" vertical="center"/>
    </xf>
    <xf numFmtId="0" fontId="49" fillId="20" borderId="4" xfId="0" applyFont="1" applyFill="1" applyBorder="1" applyAlignment="1">
      <alignment horizontal="left" vertical="center" wrapText="1"/>
    </xf>
    <xf numFmtId="0" fontId="49" fillId="20" borderId="4" xfId="0" applyFont="1" applyFill="1" applyBorder="1" applyAlignment="1">
      <alignment horizontal="center" vertical="center" wrapText="1"/>
    </xf>
    <xf numFmtId="165" fontId="49" fillId="20" borderId="4" xfId="2" applyFont="1" applyFill="1" applyBorder="1" applyAlignment="1">
      <alignment horizontal="center" vertical="center" wrapText="1"/>
    </xf>
    <xf numFmtId="0" fontId="36" fillId="20" borderId="4" xfId="0" applyFont="1" applyFill="1" applyBorder="1" applyAlignment="1">
      <alignment horizontal="center" vertical="center"/>
    </xf>
    <xf numFmtId="49" fontId="0" fillId="13" borderId="4" xfId="0" applyNumberFormat="1" applyFill="1" applyBorder="1" applyAlignment="1">
      <alignment horizontal="center" vertical="center" wrapText="1"/>
    </xf>
    <xf numFmtId="49" fontId="0" fillId="14" borderId="4" xfId="0" applyNumberFormat="1" applyFill="1" applyBorder="1" applyAlignment="1">
      <alignment horizontal="center" vertical="center" wrapText="1"/>
    </xf>
    <xf numFmtId="49" fontId="0" fillId="20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2" fontId="51" fillId="21" borderId="4" xfId="0" applyNumberFormat="1" applyFont="1" applyFill="1" applyBorder="1" applyAlignment="1">
      <alignment horizontal="center" vertical="center" wrapText="1"/>
    </xf>
    <xf numFmtId="49" fontId="0" fillId="21" borderId="4" xfId="0" applyNumberFormat="1" applyFill="1" applyBorder="1" applyAlignment="1">
      <alignment horizontal="center" vertical="center" wrapText="1"/>
    </xf>
    <xf numFmtId="0" fontId="47" fillId="21" borderId="4" xfId="0" applyFont="1" applyFill="1" applyBorder="1" applyAlignment="1">
      <alignment horizontal="left" vertical="center" wrapText="1"/>
    </xf>
    <xf numFmtId="0" fontId="38" fillId="21" borderId="4" xfId="10" applyFill="1" applyBorder="1" applyAlignment="1">
      <alignment horizontal="center" vertical="center" wrapText="1"/>
    </xf>
    <xf numFmtId="174" fontId="47" fillId="21" borderId="4" xfId="0" applyNumberFormat="1" applyFont="1" applyFill="1" applyBorder="1" applyAlignment="1">
      <alignment horizontal="center" vertical="center" wrapText="1"/>
    </xf>
    <xf numFmtId="14" fontId="47" fillId="21" borderId="4" xfId="0" applyNumberFormat="1" applyFont="1" applyFill="1" applyBorder="1" applyAlignment="1">
      <alignment horizontal="center" vertical="center" wrapText="1"/>
    </xf>
    <xf numFmtId="0" fontId="47" fillId="21" borderId="4" xfId="0" applyFont="1" applyFill="1" applyBorder="1" applyAlignment="1">
      <alignment horizontal="center" vertical="center"/>
    </xf>
    <xf numFmtId="174" fontId="52" fillId="21" borderId="4" xfId="0" applyNumberFormat="1" applyFont="1" applyFill="1" applyBorder="1" applyAlignment="1">
      <alignment horizontal="center" vertical="center" wrapText="1"/>
    </xf>
    <xf numFmtId="0" fontId="22" fillId="8" borderId="29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5" fontId="15" fillId="0" borderId="3" xfId="2" applyFont="1" applyBorder="1" applyAlignment="1">
      <alignment horizontal="left" vertical="center"/>
    </xf>
    <xf numFmtId="0" fontId="36" fillId="20" borderId="29" xfId="0" applyFont="1" applyFill="1" applyBorder="1" applyAlignment="1">
      <alignment horizontal="center" vertical="center"/>
    </xf>
    <xf numFmtId="0" fontId="45" fillId="20" borderId="29" xfId="0" applyFont="1" applyFill="1" applyBorder="1" applyAlignment="1">
      <alignment horizontal="center" vertical="center" wrapText="1"/>
    </xf>
    <xf numFmtId="0" fontId="36" fillId="20" borderId="29" xfId="0" applyFont="1" applyFill="1" applyBorder="1" applyAlignment="1">
      <alignment horizontal="left" vertical="center" wrapText="1"/>
    </xf>
    <xf numFmtId="0" fontId="36" fillId="20" borderId="29" xfId="0" applyFont="1" applyFill="1" applyBorder="1" applyAlignment="1">
      <alignment horizontal="center" vertical="center" wrapText="1"/>
    </xf>
    <xf numFmtId="2" fontId="45" fillId="20" borderId="29" xfId="0" applyNumberFormat="1" applyFont="1" applyFill="1" applyBorder="1" applyAlignment="1">
      <alignment horizontal="center" vertical="center" wrapText="1"/>
    </xf>
    <xf numFmtId="165" fontId="36" fillId="20" borderId="29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165" fontId="15" fillId="5" borderId="3" xfId="2" applyFont="1" applyFill="1" applyBorder="1" applyAlignment="1">
      <alignment horizontal="left" vertical="center"/>
    </xf>
    <xf numFmtId="0" fontId="15" fillId="5" borderId="1" xfId="0" applyFont="1" applyFill="1" applyBorder="1" applyAlignment="1">
      <alignment vertical="center"/>
    </xf>
    <xf numFmtId="0" fontId="15" fillId="5" borderId="2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26" fillId="8" borderId="4" xfId="0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center" vertical="center"/>
    </xf>
    <xf numFmtId="165" fontId="22" fillId="8" borderId="4" xfId="2" applyFont="1" applyFill="1" applyBorder="1" applyAlignment="1">
      <alignment horizontal="center" vertical="center"/>
    </xf>
    <xf numFmtId="0" fontId="15" fillId="0" borderId="0" xfId="0" applyFont="1"/>
    <xf numFmtId="44" fontId="0" fillId="2" borderId="0" xfId="0" applyNumberFormat="1" applyFill="1"/>
    <xf numFmtId="44" fontId="15" fillId="2" borderId="0" xfId="0" applyNumberFormat="1" applyFont="1" applyFill="1"/>
    <xf numFmtId="0" fontId="15" fillId="0" borderId="0" xfId="0" applyFont="1" applyFill="1" applyBorder="1" applyAlignment="1">
      <alignment vertical="center"/>
    </xf>
    <xf numFmtId="165" fontId="15" fillId="0" borderId="0" xfId="2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165" fontId="15" fillId="5" borderId="4" xfId="2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165" fontId="0" fillId="0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5" fontId="0" fillId="0" borderId="4" xfId="2" applyFont="1" applyFill="1" applyBorder="1"/>
    <xf numFmtId="44" fontId="0" fillId="6" borderId="0" xfId="0" applyNumberFormat="1" applyFill="1"/>
    <xf numFmtId="0" fontId="29" fillId="21" borderId="4" xfId="0" applyFont="1" applyFill="1" applyBorder="1" applyAlignment="1">
      <alignment horizontal="center" vertical="center" wrapText="1"/>
    </xf>
    <xf numFmtId="0" fontId="29" fillId="21" borderId="4" xfId="0" applyFont="1" applyFill="1" applyBorder="1" applyAlignment="1">
      <alignment vertical="center" wrapText="1"/>
    </xf>
    <xf numFmtId="43" fontId="29" fillId="21" borderId="4" xfId="0" applyNumberFormat="1" applyFont="1" applyFill="1" applyBorder="1" applyAlignment="1">
      <alignment horizontal="center" vertical="center" wrapText="1"/>
    </xf>
    <xf numFmtId="165" fontId="29" fillId="21" borderId="4" xfId="2" applyFont="1" applyFill="1" applyBorder="1" applyAlignment="1" applyProtection="1">
      <alignment horizontal="center" vertical="center" wrapText="1"/>
      <protection locked="0"/>
    </xf>
    <xf numFmtId="165" fontId="29" fillId="21" borderId="4" xfId="2" applyFont="1" applyFill="1" applyBorder="1" applyAlignment="1">
      <alignment horizontal="center" vertical="center" wrapText="1"/>
    </xf>
    <xf numFmtId="44" fontId="0" fillId="2" borderId="29" xfId="0" applyNumberFormat="1" applyFill="1" applyBorder="1"/>
    <xf numFmtId="44" fontId="0" fillId="2" borderId="31" xfId="0" applyNumberFormat="1" applyFill="1" applyBorder="1"/>
    <xf numFmtId="0" fontId="15" fillId="21" borderId="1" xfId="0" applyFont="1" applyFill="1" applyBorder="1" applyAlignment="1">
      <alignment vertical="center"/>
    </xf>
    <xf numFmtId="0" fontId="15" fillId="21" borderId="2" xfId="0" applyFont="1" applyFill="1" applyBorder="1" applyAlignment="1">
      <alignment vertical="center"/>
    </xf>
    <xf numFmtId="0" fontId="15" fillId="21" borderId="3" xfId="0" applyFont="1" applyFill="1" applyBorder="1" applyAlignment="1">
      <alignment vertical="center"/>
    </xf>
    <xf numFmtId="165" fontId="15" fillId="21" borderId="3" xfId="2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165" fontId="15" fillId="6" borderId="0" xfId="2" applyFont="1" applyFill="1" applyBorder="1" applyAlignment="1">
      <alignment horizontal="left" vertical="center"/>
    </xf>
    <xf numFmtId="0" fontId="0" fillId="6" borderId="0" xfId="0" applyFill="1"/>
    <xf numFmtId="165" fontId="15" fillId="21" borderId="4" xfId="2" applyFont="1" applyFill="1" applyBorder="1" applyAlignment="1">
      <alignment horizontal="left" vertical="center"/>
    </xf>
    <xf numFmtId="44" fontId="15" fillId="6" borderId="0" xfId="0" applyNumberFormat="1" applyFont="1" applyFill="1"/>
    <xf numFmtId="44" fontId="0" fillId="6" borderId="0" xfId="0" applyNumberFormat="1" applyFill="1" applyBorder="1"/>
    <xf numFmtId="0" fontId="0" fillId="6" borderId="0" xfId="0" applyFill="1" applyBorder="1"/>
    <xf numFmtId="0" fontId="14" fillId="16" borderId="1" xfId="0" applyFont="1" applyFill="1" applyBorder="1" applyAlignment="1">
      <alignment horizontal="center"/>
    </xf>
    <xf numFmtId="0" fontId="14" fillId="16" borderId="2" xfId="0" applyFont="1" applyFill="1" applyBorder="1" applyAlignment="1">
      <alignment horizontal="center"/>
    </xf>
    <xf numFmtId="0" fontId="14" fillId="16" borderId="3" xfId="0" applyFont="1" applyFill="1" applyBorder="1" applyAlignment="1">
      <alignment horizontal="center"/>
    </xf>
    <xf numFmtId="0" fontId="29" fillId="0" borderId="29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right" vertical="center"/>
    </xf>
    <xf numFmtId="0" fontId="14" fillId="16" borderId="4" xfId="0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2" borderId="6" xfId="0" applyFill="1" applyBorder="1" applyAlignment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4" fillId="0" borderId="6" xfId="0" applyFont="1" applyBorder="1" applyAlignment="1"/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23" fillId="8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22" fillId="8" borderId="7" xfId="0" applyFont="1" applyFill="1" applyBorder="1" applyAlignment="1">
      <alignment horizontal="center"/>
    </xf>
    <xf numFmtId="0" fontId="22" fillId="8" borderId="8" xfId="0" applyFont="1" applyFill="1" applyBorder="1" applyAlignment="1">
      <alignment horizontal="center"/>
    </xf>
    <xf numFmtId="0" fontId="22" fillId="8" borderId="9" xfId="0" applyFont="1" applyFill="1" applyBorder="1" applyAlignment="1">
      <alignment horizontal="center"/>
    </xf>
    <xf numFmtId="0" fontId="0" fillId="0" borderId="0" xfId="0" applyAlignment="1"/>
    <xf numFmtId="0" fontId="0" fillId="0" borderId="10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22" fillId="8" borderId="0" xfId="0" applyFont="1" applyFill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/>
    <xf numFmtId="0" fontId="4" fillId="0" borderId="0" xfId="0" applyFont="1" applyAlignment="1">
      <alignment horizontal="center"/>
    </xf>
    <xf numFmtId="0" fontId="0" fillId="7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37" fillId="0" borderId="0" xfId="0" applyFont="1" applyAlignment="1">
      <alignment horizontal="left" vertical="top" wrapText="1"/>
    </xf>
    <xf numFmtId="0" fontId="37" fillId="0" borderId="20" xfId="0" applyFont="1" applyBorder="1" applyAlignment="1">
      <alignment horizontal="left" vertical="center"/>
    </xf>
    <xf numFmtId="0" fontId="22" fillId="8" borderId="4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22" fillId="8" borderId="30" xfId="0" applyFont="1" applyFill="1" applyBorder="1" applyAlignment="1">
      <alignment horizontal="center" vertical="center"/>
    </xf>
    <xf numFmtId="165" fontId="22" fillId="8" borderId="4" xfId="2" applyFont="1" applyFill="1" applyBorder="1" applyAlignment="1">
      <alignment horizontal="center" vertical="center"/>
    </xf>
    <xf numFmtId="165" fontId="22" fillId="8" borderId="4" xfId="2" applyFont="1" applyFill="1" applyBorder="1" applyAlignment="1">
      <alignment horizontal="center" vertical="center" wrapText="1"/>
    </xf>
    <xf numFmtId="0" fontId="41" fillId="19" borderId="1" xfId="11" applyFont="1" applyFill="1" applyBorder="1" applyAlignment="1">
      <alignment horizontal="center" vertical="center" wrapText="1"/>
    </xf>
    <xf numFmtId="0" fontId="41" fillId="19" borderId="2" xfId="11" applyFont="1" applyFill="1" applyBorder="1" applyAlignment="1">
      <alignment horizontal="center" vertical="center" wrapText="1"/>
    </xf>
    <xf numFmtId="0" fontId="41" fillId="19" borderId="3" xfId="11" applyFont="1" applyFill="1" applyBorder="1" applyAlignment="1">
      <alignment horizontal="center" vertical="center" wrapText="1"/>
    </xf>
    <xf numFmtId="2" fontId="42" fillId="0" borderId="1" xfId="11" applyNumberFormat="1" applyFont="1" applyBorder="1" applyAlignment="1">
      <alignment horizontal="center" vertical="center" wrapText="1"/>
    </xf>
    <xf numFmtId="2" fontId="42" fillId="0" borderId="2" xfId="11" applyNumberFormat="1" applyFont="1" applyBorder="1" applyAlignment="1">
      <alignment horizontal="center" vertical="center" wrapText="1"/>
    </xf>
    <xf numFmtId="2" fontId="42" fillId="0" borderId="3" xfId="11" applyNumberFormat="1" applyFont="1" applyBorder="1" applyAlignment="1">
      <alignment horizontal="center" vertical="center" wrapText="1"/>
    </xf>
    <xf numFmtId="0" fontId="43" fillId="0" borderId="1" xfId="11" applyFont="1" applyBorder="1" applyAlignment="1">
      <alignment horizontal="left" vertical="center"/>
    </xf>
    <xf numFmtId="0" fontId="43" fillId="0" borderId="2" xfId="11" applyFont="1" applyBorder="1" applyAlignment="1">
      <alignment horizontal="left" vertical="center"/>
    </xf>
    <xf numFmtId="0" fontId="43" fillId="0" borderId="3" xfId="11" applyFont="1" applyBorder="1" applyAlignment="1">
      <alignment horizontal="left" vertical="center"/>
    </xf>
    <xf numFmtId="165" fontId="0" fillId="0" borderId="4" xfId="2" applyFont="1" applyBorder="1" applyAlignment="1">
      <alignment horizontal="right" wrapText="1"/>
    </xf>
    <xf numFmtId="0" fontId="35" fillId="0" borderId="22" xfId="0" applyFont="1" applyBorder="1" applyAlignment="1">
      <alignment horizontal="left" wrapText="1"/>
    </xf>
    <xf numFmtId="0" fontId="35" fillId="0" borderId="0" xfId="0" applyFont="1" applyAlignment="1">
      <alignment horizontal="left" wrapText="1"/>
    </xf>
    <xf numFmtId="0" fontId="22" fillId="16" borderId="1" xfId="0" applyFont="1" applyFill="1" applyBorder="1" applyAlignment="1">
      <alignment horizontal="center" vertical="center"/>
    </xf>
    <xf numFmtId="0" fontId="22" fillId="16" borderId="2" xfId="0" applyFont="1" applyFill="1" applyBorder="1" applyAlignment="1">
      <alignment horizontal="center" vertical="center"/>
    </xf>
    <xf numFmtId="0" fontId="22" fillId="16" borderId="3" xfId="0" applyFont="1" applyFill="1" applyBorder="1" applyAlignment="1">
      <alignment horizontal="center" vertical="center"/>
    </xf>
    <xf numFmtId="0" fontId="22" fillId="16" borderId="24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right" vertical="center"/>
    </xf>
    <xf numFmtId="0" fontId="15" fillId="15" borderId="4" xfId="0" applyFont="1" applyFill="1" applyBorder="1" applyAlignment="1">
      <alignment horizontal="right" vertical="center"/>
    </xf>
    <xf numFmtId="0" fontId="4" fillId="17" borderId="4" xfId="0" applyFont="1" applyFill="1" applyBorder="1" applyAlignment="1">
      <alignment horizontal="center" vertical="center"/>
    </xf>
    <xf numFmtId="0" fontId="14" fillId="16" borderId="26" xfId="0" applyFont="1" applyFill="1" applyBorder="1" applyAlignment="1">
      <alignment horizontal="center" vertical="center"/>
    </xf>
    <xf numFmtId="0" fontId="14" fillId="16" borderId="27" xfId="0" applyFont="1" applyFill="1" applyBorder="1" applyAlignment="1">
      <alignment horizontal="center" vertical="center"/>
    </xf>
    <xf numFmtId="0" fontId="14" fillId="16" borderId="2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17" fontId="0" fillId="0" borderId="4" xfId="0" applyNumberFormat="1" applyBorder="1" applyAlignment="1">
      <alignment horizontal="right"/>
    </xf>
    <xf numFmtId="165" fontId="0" fillId="0" borderId="4" xfId="2" applyFont="1" applyBorder="1" applyAlignment="1">
      <alignment horizontal="center"/>
    </xf>
    <xf numFmtId="43" fontId="0" fillId="0" borderId="4" xfId="1" applyFont="1" applyBorder="1" applyAlignment="1">
      <alignment horizontal="right" wrapText="1"/>
    </xf>
    <xf numFmtId="17" fontId="38" fillId="0" borderId="4" xfId="10" applyNumberFormat="1" applyBorder="1" applyAlignment="1">
      <alignment horizontal="right" vertical="center" wrapText="1"/>
    </xf>
    <xf numFmtId="17" fontId="0" fillId="0" borderId="4" xfId="0" applyNumberFormat="1" applyBorder="1" applyAlignment="1">
      <alignment horizontal="right" vertical="center" wrapText="1"/>
    </xf>
    <xf numFmtId="0" fontId="24" fillId="0" borderId="4" xfId="0" applyFont="1" applyBorder="1" applyAlignment="1">
      <alignment horizontal="center" vertical="center" wrapText="1"/>
    </xf>
    <xf numFmtId="165" fontId="25" fillId="11" borderId="4" xfId="2" applyFont="1" applyFill="1" applyBorder="1" applyAlignment="1">
      <alignment horizontal="right" vertical="center"/>
    </xf>
    <xf numFmtId="165" fontId="24" fillId="11" borderId="4" xfId="2" applyFont="1" applyFill="1" applyBorder="1" applyAlignment="1">
      <alignment horizontal="right" vertical="center"/>
    </xf>
    <xf numFmtId="169" fontId="33" fillId="0" borderId="4" xfId="0" applyNumberFormat="1" applyFont="1" applyBorder="1" applyAlignment="1">
      <alignment horizontal="right" vertical="center" wrapText="1"/>
    </xf>
    <xf numFmtId="0" fontId="33" fillId="0" borderId="4" xfId="0" applyFont="1" applyBorder="1" applyAlignment="1">
      <alignment horizontal="right" vertical="center"/>
    </xf>
    <xf numFmtId="49" fontId="24" fillId="6" borderId="1" xfId="4" applyNumberFormat="1" applyFont="1" applyFill="1" applyBorder="1" applyAlignment="1">
      <alignment horizontal="center" vertical="center" wrapText="1"/>
    </xf>
    <xf numFmtId="49" fontId="24" fillId="6" borderId="2" xfId="4" applyNumberFormat="1" applyFont="1" applyFill="1" applyBorder="1" applyAlignment="1">
      <alignment horizontal="center" vertical="center" wrapText="1"/>
    </xf>
    <xf numFmtId="49" fontId="24" fillId="6" borderId="3" xfId="4" applyNumberFormat="1" applyFont="1" applyFill="1" applyBorder="1" applyAlignment="1">
      <alignment horizontal="center" vertical="center" wrapText="1"/>
    </xf>
    <xf numFmtId="0" fontId="25" fillId="6" borderId="0" xfId="4" applyFont="1" applyFill="1" applyAlignment="1">
      <alignment horizontal="center"/>
    </xf>
    <xf numFmtId="0" fontId="26" fillId="8" borderId="4" xfId="4" applyFont="1" applyFill="1" applyBorder="1" applyAlignment="1">
      <alignment horizontal="center"/>
    </xf>
    <xf numFmtId="0" fontId="25" fillId="6" borderId="4" xfId="4" applyFont="1" applyFill="1" applyBorder="1" applyAlignment="1">
      <alignment horizontal="center" vertical="center"/>
    </xf>
    <xf numFmtId="166" fontId="25" fillId="6" borderId="4" xfId="5" applyFont="1" applyFill="1" applyBorder="1" applyAlignment="1">
      <alignment horizontal="center" vertical="center"/>
    </xf>
    <xf numFmtId="0" fontId="25" fillId="6" borderId="21" xfId="4" applyFont="1" applyFill="1" applyBorder="1" applyAlignment="1">
      <alignment horizontal="justify" vertical="justify" wrapText="1"/>
    </xf>
    <xf numFmtId="0" fontId="25" fillId="6" borderId="22" xfId="4" applyFont="1" applyFill="1" applyBorder="1" applyAlignment="1">
      <alignment horizontal="justify" vertical="justify"/>
    </xf>
    <xf numFmtId="0" fontId="25" fillId="6" borderId="23" xfId="4" applyFont="1" applyFill="1" applyBorder="1" applyAlignment="1">
      <alignment horizontal="justify" vertical="justify"/>
    </xf>
    <xf numFmtId="0" fontId="25" fillId="6" borderId="24" xfId="4" applyFont="1" applyFill="1" applyBorder="1" applyAlignment="1">
      <alignment horizontal="justify" vertical="justify"/>
    </xf>
    <xf numFmtId="0" fontId="25" fillId="6" borderId="20" xfId="4" applyFont="1" applyFill="1" applyBorder="1" applyAlignment="1">
      <alignment horizontal="justify" vertical="justify"/>
    </xf>
    <xf numFmtId="0" fontId="25" fillId="6" borderId="25" xfId="4" applyFont="1" applyFill="1" applyBorder="1" applyAlignment="1">
      <alignment horizontal="justify" vertical="justify"/>
    </xf>
    <xf numFmtId="0" fontId="25" fillId="6" borderId="0" xfId="4" applyFont="1" applyFill="1" applyAlignment="1">
      <alignment horizontal="left" wrapText="1"/>
    </xf>
  </cellXfs>
  <cellStyles count="12">
    <cellStyle name="Hiperlink" xfId="10" builtinId="8"/>
    <cellStyle name="Moeda" xfId="2" builtinId="4"/>
    <cellStyle name="Moeda 2 2" xfId="5"/>
    <cellStyle name="Normal" xfId="0" builtinId="0"/>
    <cellStyle name="Normal 3" xfId="6"/>
    <cellStyle name="Normal 3 2" xfId="8"/>
    <cellStyle name="Normal 4" xfId="4"/>
    <cellStyle name="Porcentagem" xfId="3" builtinId="5"/>
    <cellStyle name="Separador de milhares 2" xfId="9"/>
    <cellStyle name="Texto Explicativo" xfId="11" builtinId="53"/>
    <cellStyle name="Vírgula" xfId="1" builtinId="3"/>
    <cellStyle name="Vírgula 2" xfId="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ira.abdalad/AppData/Local/Temp/Temp1_Apendices_do_TR%20(2).zip/Ap&#234;ndice%20II%20-%20PLANILHA%20FORMA&#199;&#195;O%20PRE&#199;OS%20PSF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ira.abdalad/AppData/Local/Temp/Temp1_Apendices_do_TR%20(1).zip/Ap&#234;ndice%20II%20-%20PLANILHA%20FORMA&#199;&#195;O%20PRE&#199;OS%20PSF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ira.abdalad/AppData/Local/Temp/Temp1_Apendices_do_TR%20(6).zip/Ap&#234;ndice%20II%20-%20PLANILHA%20FORMA&#199;&#195;O%20PRE&#199;OS%20PSF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CBO"/>
      <sheetName val="AJUDANTE"/>
      <sheetName val="PEDREIRO"/>
      <sheetName val="ELETRICISTA"/>
      <sheetName val="BOMBEIRO"/>
      <sheetName val="MEC. DE REFRIGERAÇÃO"/>
      <sheetName val="ENGENHEIRO CIVIL"/>
      <sheetName val="INSUMOS"/>
      <sheetName val="MERCADO"/>
      <sheetName val="DESLOCAMENTO"/>
      <sheetName val="UNIFORME"/>
      <sheetName val="EPI"/>
      <sheetName val="CAFÉ DA MANHÃ"/>
      <sheetName val="TRANSPORTE"/>
    </sheetNames>
    <sheetDataSet>
      <sheetData sheetId="0" refreshError="1"/>
      <sheetData sheetId="1" refreshError="1"/>
      <sheetData sheetId="2">
        <row r="155">
          <cell r="G155">
            <v>191.14523809523811</v>
          </cell>
        </row>
      </sheetData>
      <sheetData sheetId="3">
        <row r="155">
          <cell r="G155">
            <v>259.6742857142857</v>
          </cell>
        </row>
      </sheetData>
      <sheetData sheetId="4">
        <row r="155">
          <cell r="G155">
            <v>259.6742857142857</v>
          </cell>
        </row>
      </sheetData>
      <sheetData sheetId="5">
        <row r="155">
          <cell r="G155">
            <v>259.6742857142857</v>
          </cell>
        </row>
      </sheetData>
      <sheetData sheetId="6">
        <row r="155">
          <cell r="G155">
            <v>262.67857142857144</v>
          </cell>
        </row>
      </sheetData>
      <sheetData sheetId="7">
        <row r="155">
          <cell r="G155">
            <v>870.77761904761917</v>
          </cell>
        </row>
      </sheetData>
      <sheetData sheetId="8">
        <row r="223">
          <cell r="K223">
            <v>137174.77112799991</v>
          </cell>
        </row>
      </sheetData>
      <sheetData sheetId="9" refreshError="1"/>
      <sheetData sheetId="10">
        <row r="51">
          <cell r="G51">
            <v>732.7942094017094</v>
          </cell>
        </row>
        <row r="52">
          <cell r="G52">
            <v>449.55574786324786</v>
          </cell>
        </row>
        <row r="53">
          <cell r="G53">
            <v>478.14087606837609</v>
          </cell>
        </row>
        <row r="54">
          <cell r="G54">
            <v>199.80549145299145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CBO"/>
      <sheetName val="AJUDANTE"/>
      <sheetName val="PEDREIRO"/>
      <sheetName val="ELETRICISTA"/>
      <sheetName val="BOMBEIRO"/>
      <sheetName val="MEC. DE REFRIGERAÇÃO"/>
      <sheetName val="ENGENHEIRO CIVIL"/>
      <sheetName val="INSUMOS"/>
      <sheetName val="MERCADO"/>
      <sheetName val="DESLOCAMENTO"/>
      <sheetName val="UNIFORME"/>
      <sheetName val="EPI"/>
      <sheetName val="CAFÉ DA MANHÃ"/>
      <sheetName val="TRANS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M6">
            <v>10.15</v>
          </cell>
        </row>
        <row r="7">
          <cell r="M7">
            <v>35.76</v>
          </cell>
        </row>
        <row r="8">
          <cell r="M8">
            <v>32.229999999999997</v>
          </cell>
        </row>
        <row r="9">
          <cell r="M9">
            <v>1.45</v>
          </cell>
        </row>
        <row r="10">
          <cell r="M10">
            <v>158.49</v>
          </cell>
        </row>
        <row r="11">
          <cell r="M11">
            <v>34.17</v>
          </cell>
        </row>
        <row r="12">
          <cell r="M12">
            <v>11.3</v>
          </cell>
        </row>
        <row r="13">
          <cell r="M13">
            <v>11.3</v>
          </cell>
        </row>
        <row r="14">
          <cell r="M14">
            <v>16.41</v>
          </cell>
        </row>
        <row r="15">
          <cell r="M15">
            <v>13.79</v>
          </cell>
        </row>
        <row r="16">
          <cell r="M16">
            <v>804.78</v>
          </cell>
        </row>
        <row r="17">
          <cell r="M17">
            <v>2138.0500000000002</v>
          </cell>
        </row>
        <row r="18">
          <cell r="M18">
            <v>3488.04</v>
          </cell>
        </row>
        <row r="19">
          <cell r="M19">
            <v>5127.62</v>
          </cell>
        </row>
        <row r="20">
          <cell r="M20">
            <v>30.89</v>
          </cell>
        </row>
        <row r="21">
          <cell r="M21">
            <v>27.3</v>
          </cell>
        </row>
        <row r="22">
          <cell r="M22">
            <v>29.88</v>
          </cell>
        </row>
        <row r="23">
          <cell r="M23">
            <v>30.48</v>
          </cell>
        </row>
        <row r="24">
          <cell r="M24">
            <v>42.45</v>
          </cell>
        </row>
        <row r="25">
          <cell r="M25">
            <v>35.369999999999997</v>
          </cell>
        </row>
        <row r="26">
          <cell r="M26">
            <v>36.97</v>
          </cell>
        </row>
        <row r="27">
          <cell r="M27">
            <v>35.81</v>
          </cell>
        </row>
        <row r="28">
          <cell r="M28">
            <v>39.700000000000003</v>
          </cell>
        </row>
        <row r="29">
          <cell r="M29">
            <v>28.99</v>
          </cell>
        </row>
        <row r="30">
          <cell r="M30">
            <v>26.96</v>
          </cell>
        </row>
        <row r="31">
          <cell r="M31">
            <v>29.38</v>
          </cell>
        </row>
        <row r="32">
          <cell r="M32">
            <v>35.090000000000003</v>
          </cell>
        </row>
        <row r="33">
          <cell r="M33">
            <v>37.67</v>
          </cell>
        </row>
        <row r="34">
          <cell r="M34">
            <v>38.29</v>
          </cell>
        </row>
        <row r="35">
          <cell r="M35">
            <v>44.5</v>
          </cell>
        </row>
        <row r="36">
          <cell r="M36">
            <v>46.85</v>
          </cell>
        </row>
        <row r="37">
          <cell r="M37">
            <v>24.81</v>
          </cell>
        </row>
        <row r="38">
          <cell r="M38">
            <v>30.31</v>
          </cell>
        </row>
        <row r="39">
          <cell r="M39">
            <v>21.15</v>
          </cell>
        </row>
        <row r="40">
          <cell r="M40">
            <v>30.29</v>
          </cell>
        </row>
        <row r="41">
          <cell r="M41">
            <v>13.23</v>
          </cell>
        </row>
        <row r="42">
          <cell r="M42">
            <v>32.020000000000003</v>
          </cell>
        </row>
        <row r="43">
          <cell r="M43">
            <v>45.46</v>
          </cell>
        </row>
        <row r="44">
          <cell r="M44">
            <v>11.54</v>
          </cell>
        </row>
        <row r="45">
          <cell r="M45">
            <v>146.43</v>
          </cell>
        </row>
        <row r="46">
          <cell r="M46">
            <v>195.15</v>
          </cell>
        </row>
        <row r="47">
          <cell r="M47">
            <v>309.3</v>
          </cell>
        </row>
        <row r="48">
          <cell r="M48">
            <v>380.57</v>
          </cell>
        </row>
        <row r="49">
          <cell r="M49">
            <v>505.93</v>
          </cell>
        </row>
        <row r="50">
          <cell r="M50">
            <v>16.7</v>
          </cell>
        </row>
        <row r="51">
          <cell r="M51">
            <v>18.96</v>
          </cell>
        </row>
        <row r="52">
          <cell r="M52">
            <v>22.18</v>
          </cell>
        </row>
        <row r="53">
          <cell r="M53">
            <v>17.010000000000002</v>
          </cell>
        </row>
        <row r="54">
          <cell r="M54">
            <v>18.54</v>
          </cell>
        </row>
        <row r="55">
          <cell r="M55">
            <v>19.98</v>
          </cell>
        </row>
        <row r="56">
          <cell r="M56">
            <v>21.31</v>
          </cell>
        </row>
        <row r="57">
          <cell r="M57">
            <v>21.23</v>
          </cell>
        </row>
        <row r="58">
          <cell r="M58">
            <v>20.3</v>
          </cell>
        </row>
        <row r="59">
          <cell r="M59">
            <v>21.66</v>
          </cell>
        </row>
        <row r="60">
          <cell r="M60">
            <v>12.9</v>
          </cell>
        </row>
        <row r="61">
          <cell r="M61">
            <v>9.51</v>
          </cell>
        </row>
        <row r="62">
          <cell r="M62">
            <v>15.33</v>
          </cell>
        </row>
        <row r="63">
          <cell r="M63">
            <v>13</v>
          </cell>
        </row>
        <row r="64">
          <cell r="M64">
            <v>731.57</v>
          </cell>
        </row>
        <row r="65">
          <cell r="M65">
            <v>894.9</v>
          </cell>
        </row>
        <row r="66">
          <cell r="M66">
            <v>650.82000000000005</v>
          </cell>
        </row>
        <row r="67">
          <cell r="M67">
            <v>1299.0999999999999</v>
          </cell>
        </row>
        <row r="68">
          <cell r="M68">
            <v>20.78</v>
          </cell>
        </row>
        <row r="69">
          <cell r="M69">
            <v>93.66</v>
          </cell>
        </row>
        <row r="70">
          <cell r="M70">
            <v>148.16</v>
          </cell>
        </row>
        <row r="71">
          <cell r="M71">
            <v>4.0999999999999996</v>
          </cell>
        </row>
        <row r="72">
          <cell r="M72">
            <v>5.9</v>
          </cell>
        </row>
        <row r="73">
          <cell r="M73">
            <v>8.16</v>
          </cell>
        </row>
        <row r="74">
          <cell r="M74">
            <v>10.14</v>
          </cell>
        </row>
        <row r="75">
          <cell r="M75">
            <v>14.52</v>
          </cell>
        </row>
        <row r="76">
          <cell r="M76">
            <v>27.52</v>
          </cell>
        </row>
        <row r="77">
          <cell r="M77">
            <v>4.59</v>
          </cell>
        </row>
        <row r="78">
          <cell r="M78">
            <v>7.7</v>
          </cell>
        </row>
        <row r="79">
          <cell r="M79">
            <v>11.18</v>
          </cell>
        </row>
        <row r="80">
          <cell r="M80">
            <v>17.47</v>
          </cell>
        </row>
        <row r="81">
          <cell r="M81">
            <v>22.84</v>
          </cell>
        </row>
        <row r="82">
          <cell r="M82">
            <v>63.25</v>
          </cell>
        </row>
        <row r="83">
          <cell r="M83">
            <v>65.83</v>
          </cell>
        </row>
        <row r="84">
          <cell r="M84">
            <v>19.559999999999999</v>
          </cell>
        </row>
        <row r="85">
          <cell r="M85">
            <v>103.73</v>
          </cell>
        </row>
        <row r="86">
          <cell r="M86">
            <v>74.930000000000007</v>
          </cell>
        </row>
        <row r="87">
          <cell r="M87">
            <v>3.29</v>
          </cell>
        </row>
        <row r="88">
          <cell r="M88">
            <v>3.64</v>
          </cell>
        </row>
        <row r="89">
          <cell r="M89">
            <v>23.31</v>
          </cell>
        </row>
        <row r="90">
          <cell r="M90">
            <v>58.63</v>
          </cell>
        </row>
        <row r="91">
          <cell r="M91">
            <v>150.99</v>
          </cell>
        </row>
        <row r="92">
          <cell r="M92">
            <v>29.46</v>
          </cell>
        </row>
        <row r="93">
          <cell r="M93">
            <v>55.98</v>
          </cell>
        </row>
        <row r="94">
          <cell r="M94">
            <v>81.739999999999995</v>
          </cell>
        </row>
        <row r="95">
          <cell r="M95">
            <v>35.33</v>
          </cell>
        </row>
        <row r="96">
          <cell r="M96">
            <v>64.8</v>
          </cell>
        </row>
        <row r="97">
          <cell r="M97">
            <v>1.61</v>
          </cell>
        </row>
        <row r="98">
          <cell r="M98">
            <v>102.87</v>
          </cell>
        </row>
        <row r="99">
          <cell r="M99">
            <v>381.33</v>
          </cell>
        </row>
        <row r="100">
          <cell r="M100">
            <v>173.14</v>
          </cell>
        </row>
        <row r="101">
          <cell r="M101">
            <v>140.62</v>
          </cell>
        </row>
        <row r="102">
          <cell r="M102">
            <v>346.27</v>
          </cell>
        </row>
        <row r="103">
          <cell r="M103">
            <v>171.79</v>
          </cell>
        </row>
        <row r="104">
          <cell r="M104">
            <v>9.5399999999999991</v>
          </cell>
        </row>
        <row r="105">
          <cell r="M105">
            <v>12</v>
          </cell>
        </row>
        <row r="106">
          <cell r="M106">
            <v>13.04</v>
          </cell>
        </row>
        <row r="107">
          <cell r="M107">
            <v>15.04</v>
          </cell>
        </row>
        <row r="108">
          <cell r="M108">
            <v>17.73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CBO"/>
      <sheetName val="AJUDANTE"/>
      <sheetName val="PEDREIRO"/>
      <sheetName val="ELETRICISTA"/>
      <sheetName val="BOMBEIRO"/>
      <sheetName val="MEC. DE REFRIGERAÇÃO"/>
      <sheetName val="ENGENHEIRO CIVIL"/>
      <sheetName val="INSUMOS"/>
      <sheetName val="MERCADO"/>
      <sheetName val="DESLOCAMENTO"/>
      <sheetName val="UNIFORME"/>
      <sheetName val="EPI"/>
      <sheetName val="CAFÉ DA MANHÃ"/>
      <sheetName val="TRANSPOR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">
          <cell r="A36" t="str">
            <v>ELÉTRICA</v>
          </cell>
          <cell r="B36">
            <v>1033</v>
          </cell>
          <cell r="C36" t="str">
            <v>MERCADO</v>
          </cell>
          <cell r="E36" t="str">
            <v>CANALETA SISTEMA X SEM DIVISÓRIA COM ADESIVO 20X12X2000 (LEGRAND - 30802ADX OU SIMILAR)</v>
          </cell>
        </row>
        <row r="42">
          <cell r="A42" t="str">
            <v>ELÉTRICA</v>
          </cell>
          <cell r="B42">
            <v>1039</v>
          </cell>
          <cell r="C42" t="str">
            <v>MERCADO</v>
          </cell>
          <cell r="E42" t="str">
            <v>TOMADA SISTEMA X 2P+T 20A 250V NBR14136 (LEGRAND - 675061 OU SIMILAR)</v>
          </cell>
        </row>
        <row r="45">
          <cell r="A45" t="str">
            <v>ELÉTRICA</v>
          </cell>
          <cell r="B45">
            <v>1042</v>
          </cell>
          <cell r="C45" t="str">
            <v>MERCADO</v>
          </cell>
          <cell r="E45" t="str">
            <v>CABO DE REDE (PATCH CORD) CATEGORIA 6, EXTENSÃO DE 10 METROS (PLUS CABLE PC-ETH6U100BL OU SIMILAR)</v>
          </cell>
        </row>
        <row r="50">
          <cell r="A50" t="str">
            <v>HIDROSANITÁRIA</v>
          </cell>
          <cell r="B50">
            <v>2005</v>
          </cell>
          <cell r="C50" t="str">
            <v>MERCADO</v>
          </cell>
          <cell r="E50" t="str">
            <v>CARRAPETA UNIVERSAL COM VEDANTE 3/4" (BLUKIT - 060514-450 OU SIMILAR)</v>
          </cell>
        </row>
        <row r="51">
          <cell r="A51" t="str">
            <v>HIDROSANITÁRIA</v>
          </cell>
          <cell r="B51">
            <v>2006</v>
          </cell>
          <cell r="C51" t="str">
            <v>MERCADO</v>
          </cell>
          <cell r="E51" t="str">
            <v>KIT UNIVERSAL DUPLO ACIONAMENTO CAIXA ACOPLADA (DECA - 1100.SI.60.01 OU SIMILAR)</v>
          </cell>
        </row>
        <row r="52">
          <cell r="A52" t="str">
            <v>HIDROSANITÁRIA</v>
          </cell>
          <cell r="B52">
            <v>2007</v>
          </cell>
          <cell r="C52" t="str">
            <v>MERCADO</v>
          </cell>
          <cell r="E52" t="str">
            <v>KIT BOTÃO DUPLO ACIONAMENTO PARA CAIXA DE DESCARGA ACOPLADA (DECA - 1100.SI.56.01 OU SIMILAR)</v>
          </cell>
        </row>
        <row r="53">
          <cell r="A53" t="str">
            <v>HIDROSANITÁRIA</v>
          </cell>
          <cell r="B53">
            <v>2008</v>
          </cell>
          <cell r="C53" t="str">
            <v>MERCADO</v>
          </cell>
          <cell r="E53" t="str">
            <v>GRELHA DE METAL INOX, PARA RALO, 15X15 CM, TAMPA QUADRADA, C/FECHO, S/CAIXILHO  (HIDROFIX OU SIMILAR)</v>
          </cell>
        </row>
        <row r="54">
          <cell r="A54" t="str">
            <v>HIDROSANITÁRIA</v>
          </cell>
          <cell r="B54">
            <v>2009</v>
          </cell>
          <cell r="C54" t="str">
            <v>MERCADO</v>
          </cell>
          <cell r="E54" t="str">
            <v>GRELHA DE METAL INOX, PARA RALO, 10X10 CM, TAMPA QUADRADA, C/FECHO, S/CAIXILHO  (HIDROFIX OU SIMILAR)</v>
          </cell>
        </row>
        <row r="55">
          <cell r="A55" t="str">
            <v>HIDROSANITÁRIA</v>
          </cell>
          <cell r="B55">
            <v>2010</v>
          </cell>
          <cell r="C55" t="str">
            <v>MERCADO</v>
          </cell>
          <cell r="E55" t="str">
            <v>CAIXILHO PARA GRELHA SUPORTE PARA RALO QUADRADO INOX 15X15 CM</v>
          </cell>
        </row>
        <row r="56">
          <cell r="A56" t="str">
            <v>HIDROSANITÁRIA</v>
          </cell>
          <cell r="B56">
            <v>2011</v>
          </cell>
          <cell r="C56" t="str">
            <v>MERCADO</v>
          </cell>
          <cell r="E56" t="str">
            <v>CAIXILHO PARA GRELHA SUPORTE PARA RALO QUADRADO INOX 10X10 CM</v>
          </cell>
        </row>
        <row r="127">
          <cell r="A127" t="str">
            <v>AR-CONDICIONADO</v>
          </cell>
          <cell r="B127">
            <v>4001</v>
          </cell>
          <cell r="C127" t="str">
            <v>MERCADO</v>
          </cell>
          <cell r="E127" t="str">
            <v>COMPRESSOR ROTATIVO, 12.000 BTUS, R22, 220V (TECUMSEH RGA5512EXD OU SIMILAR)</v>
          </cell>
        </row>
        <row r="128">
          <cell r="A128" t="str">
            <v>AR-CONDICIONADO</v>
          </cell>
          <cell r="B128">
            <v>4002</v>
          </cell>
          <cell r="C128" t="str">
            <v>MERCADO</v>
          </cell>
          <cell r="E128" t="str">
            <v>COMPRESSOR SCROLL 5TR, 60.000 BTUS, R22, TRIFÁSICO, 220V (INVOTECH OU SIMILAR)</v>
          </cell>
        </row>
        <row r="129">
          <cell r="A129" t="str">
            <v>AR-CONDICIONADO</v>
          </cell>
          <cell r="B129">
            <v>4003</v>
          </cell>
          <cell r="C129" t="str">
            <v>MERCADO</v>
          </cell>
          <cell r="E129" t="str">
            <v>COMPRESSOR SCROLL 7,5TR, 90.000 BTUS, R22, TRIFÁSICO, 220V (COPELAND OU SIMILAR)</v>
          </cell>
        </row>
        <row r="130">
          <cell r="A130" t="str">
            <v>AR-CONDICIONADO</v>
          </cell>
          <cell r="B130">
            <v>4004</v>
          </cell>
          <cell r="C130" t="str">
            <v>MERCADO</v>
          </cell>
          <cell r="E130" t="str">
            <v>COMPRESSOR SCROLL 10TR, 120.000 BTUS, R22, TRIFÁSICO, 220V (SANYO OU SIMILAR)</v>
          </cell>
        </row>
        <row r="131">
          <cell r="A131" t="str">
            <v>AR-CONDICIONADO</v>
          </cell>
          <cell r="B131">
            <v>4005</v>
          </cell>
          <cell r="C131" t="str">
            <v>MERCADO</v>
          </cell>
          <cell r="E131" t="str">
            <v>CAPACITOR SIMPLES DE 25UF, 450VAC, PARA COMPRESSOR DE AR CONDICIONADO</v>
          </cell>
        </row>
        <row r="132">
          <cell r="A132" t="str">
            <v>AR-CONDICIONADO</v>
          </cell>
          <cell r="B132">
            <v>4006</v>
          </cell>
          <cell r="C132" t="str">
            <v>MERCADO</v>
          </cell>
          <cell r="E132" t="str">
            <v>CAPACITOR SIMPLES DE 30UF, 440VAC, PARA COMPRESSOR DE AR CONDICIONADO</v>
          </cell>
        </row>
        <row r="133">
          <cell r="A133" t="str">
            <v>AR-CONDICIONADO</v>
          </cell>
          <cell r="B133">
            <v>4007</v>
          </cell>
          <cell r="C133" t="str">
            <v>MERCADO</v>
          </cell>
          <cell r="E133" t="str">
            <v>CAPACITOR SIMPLES DE 40UF, 440VAC, PARA COMPRESSOR DE AR CONDICIONADO</v>
          </cell>
        </row>
        <row r="134">
          <cell r="A134" t="str">
            <v>AR-CONDICIONADO</v>
          </cell>
          <cell r="B134">
            <v>4008</v>
          </cell>
          <cell r="C134" t="str">
            <v>MERCADO</v>
          </cell>
          <cell r="E134" t="str">
            <v>CAPACITOR SIMPLES DE 45UF, 440VAC, PARA COMPRESSOR DE AR CONDICIONADO</v>
          </cell>
        </row>
        <row r="135">
          <cell r="A135" t="str">
            <v>AR-CONDICIONADO</v>
          </cell>
          <cell r="B135">
            <v>4009</v>
          </cell>
          <cell r="C135" t="str">
            <v>MERCADO</v>
          </cell>
          <cell r="E135" t="str">
            <v>CAPACITOR SIMPLES DE 50UF, 380VAC, PARA COMPRESSOR DE AR CONDICIONADO</v>
          </cell>
        </row>
        <row r="136">
          <cell r="A136" t="str">
            <v>AR-CONDICIONADO</v>
          </cell>
          <cell r="B136">
            <v>4010</v>
          </cell>
          <cell r="C136" t="str">
            <v>MERCADO</v>
          </cell>
          <cell r="E136" t="str">
            <v>CAPACITOR SIMPLES DE 55UF, 380VAC, PARA COMPRESSOR DE AR CONDICIONADO</v>
          </cell>
        </row>
        <row r="137">
          <cell r="A137" t="str">
            <v>AR-CONDICIONADO</v>
          </cell>
          <cell r="B137">
            <v>4011</v>
          </cell>
          <cell r="C137" t="str">
            <v>MERCADO</v>
          </cell>
          <cell r="E137" t="str">
            <v>CAPACITOR SIMPLES DE 60UF, 380VAC, PARA COMPRESSOR DE AR CONDICIONADO</v>
          </cell>
        </row>
        <row r="138">
          <cell r="A138" t="str">
            <v>AR-CONDICIONADO</v>
          </cell>
          <cell r="B138">
            <v>4012</v>
          </cell>
          <cell r="C138" t="str">
            <v>MERCADO</v>
          </cell>
          <cell r="E138" t="str">
            <v>CAPACITOR DUPLO DE 25+2,5UF, 450VAC, PARA COMPRESSOR DE AR CONDICIONADO</v>
          </cell>
        </row>
        <row r="139">
          <cell r="A139" t="str">
            <v>AR-CONDICIONADO</v>
          </cell>
          <cell r="B139">
            <v>4013</v>
          </cell>
          <cell r="C139" t="str">
            <v>MERCADO</v>
          </cell>
          <cell r="E139" t="str">
            <v>CAPACITOR DUPLO DE 30+2,5UF, 440VAC, PARA COMPRESSOR DE AR CONDICIONADO</v>
          </cell>
        </row>
        <row r="140">
          <cell r="A140" t="str">
            <v>AR-CONDICIONADO</v>
          </cell>
          <cell r="B140">
            <v>4014</v>
          </cell>
          <cell r="C140" t="str">
            <v>MERCADO</v>
          </cell>
          <cell r="E140" t="str">
            <v>CAPACITOR DUPLO DE 30+5,0UF, 380VAC, PARA COMPRESSOR DE AR CONDICIONADO</v>
          </cell>
        </row>
        <row r="141">
          <cell r="A141" t="str">
            <v>AR-CONDICIONADO</v>
          </cell>
          <cell r="B141">
            <v>4015</v>
          </cell>
          <cell r="C141" t="str">
            <v>MERCADO</v>
          </cell>
          <cell r="E141" t="str">
            <v>CAPACITOR DUPLO DE 35+4,0UF, 440VAC, PARA COMPRESSOR DE AR CONDICIONADO</v>
          </cell>
        </row>
        <row r="142">
          <cell r="A142" t="str">
            <v>AR-CONDICIONADO</v>
          </cell>
          <cell r="B142">
            <v>4016</v>
          </cell>
          <cell r="C142" t="str">
            <v>MERCADO</v>
          </cell>
          <cell r="E142" t="str">
            <v>CAPACITOR DUPLO DE 35+5,0UF, 380VAC, PARA COMPRESSOR DE AR CONDICIONADO</v>
          </cell>
        </row>
        <row r="143">
          <cell r="A143" t="str">
            <v>AR-CONDICIONADO</v>
          </cell>
          <cell r="B143">
            <v>4017</v>
          </cell>
          <cell r="C143" t="str">
            <v>MERCADO</v>
          </cell>
          <cell r="E143" t="str">
            <v>CAPACITOR DUPLO DE 40+4,0UF, 440VAC, PARA COMPRESSOR DE AR CONDICIONADO</v>
          </cell>
        </row>
        <row r="144">
          <cell r="A144" t="str">
            <v>AR-CONDICIONADO</v>
          </cell>
          <cell r="B144">
            <v>4018</v>
          </cell>
          <cell r="C144" t="str">
            <v>MERCADO</v>
          </cell>
          <cell r="E144" t="str">
            <v>CAPACITOR DUPLO DE 40+5,0UF, 440VAC, PARA COMPRESSOR DE AR CONDICIONADO</v>
          </cell>
        </row>
        <row r="145">
          <cell r="A145" t="str">
            <v>AR-CONDICIONADO</v>
          </cell>
          <cell r="B145">
            <v>4019</v>
          </cell>
          <cell r="C145" t="str">
            <v>MERCADO</v>
          </cell>
          <cell r="E145" t="str">
            <v>CAPACITOR DUPLO DE 45+5,0UF, 380VAC, PARA COMPRESSOR DE AR CONDICIONADO</v>
          </cell>
        </row>
        <row r="146">
          <cell r="A146" t="str">
            <v>AR-CONDICIONADO</v>
          </cell>
          <cell r="B146">
            <v>4020</v>
          </cell>
          <cell r="C146" t="str">
            <v>MERCADO</v>
          </cell>
          <cell r="E146" t="str">
            <v>CAPACITOR DUPLO DE 50+5,0UF, 380VAC, PARA COMPRESSOR DE AR CONDICIONADO</v>
          </cell>
        </row>
        <row r="147">
          <cell r="A147" t="str">
            <v>AR-CONDICIONADO</v>
          </cell>
          <cell r="B147">
            <v>4021</v>
          </cell>
          <cell r="C147" t="str">
            <v>MERCADO</v>
          </cell>
          <cell r="E147" t="str">
            <v>CAPACITOR DUPLO DE 60+5,0UF, 380VAC, PARA COMPRESSOR DE AR CONDICIONADO</v>
          </cell>
        </row>
        <row r="148">
          <cell r="A148" t="str">
            <v>AR-CONDICIONADO</v>
          </cell>
          <cell r="B148">
            <v>4022</v>
          </cell>
          <cell r="C148" t="str">
            <v>MERCADO</v>
          </cell>
          <cell r="E148" t="str">
            <v>CAPACITOR DUPLO DE 17+2.5 MFD 450VAC, PARA COMPRESSOR AR CONDICIONADO 9.000BTU</v>
          </cell>
        </row>
        <row r="149">
          <cell r="A149" t="str">
            <v>AR-CONDICIONADO</v>
          </cell>
          <cell r="B149">
            <v>4023</v>
          </cell>
          <cell r="C149" t="str">
            <v>MERCADO</v>
          </cell>
          <cell r="E149" t="str">
            <v>CAPACITOR DE 17,5 MFD 380VAC PARA COMPRESSOR 9.000 OU 12.000BTU</v>
          </cell>
        </row>
        <row r="150">
          <cell r="A150" t="str">
            <v>AR-CONDICIONADO</v>
          </cell>
          <cell r="B150">
            <v>4024</v>
          </cell>
          <cell r="C150" t="str">
            <v>MERCADO</v>
          </cell>
          <cell r="E150" t="str">
            <v>CAPACITOR DE 35 MFD 380VAC / 440VAC PARA COMPRESSOR 18.000BTU</v>
          </cell>
        </row>
        <row r="151">
          <cell r="A151" t="str">
            <v>AR-CONDICIONADO</v>
          </cell>
          <cell r="B151">
            <v>4025</v>
          </cell>
          <cell r="C151" t="str">
            <v>MERCADO</v>
          </cell>
          <cell r="E151" t="str">
            <v>CAPACITOR SIMPLES DO MOTOR VENTILADOR 1,5UF 450VAC</v>
          </cell>
        </row>
        <row r="152">
          <cell r="A152" t="str">
            <v>AR-CONDICIONADO</v>
          </cell>
          <cell r="B152">
            <v>4026</v>
          </cell>
          <cell r="C152" t="str">
            <v>MERCADO</v>
          </cell>
          <cell r="E152" t="str">
            <v>CAPACITOR SIMPLES DO MOTOR VENTILADOR 2,5UF 450VAC</v>
          </cell>
        </row>
        <row r="153">
          <cell r="A153" t="str">
            <v>AR-CONDICIONADO</v>
          </cell>
          <cell r="B153">
            <v>4027</v>
          </cell>
          <cell r="C153" t="str">
            <v>MERCADO</v>
          </cell>
          <cell r="E153" t="str">
            <v>CAPACITOR SIMPLES DO MOTOR VENTILADOR 4UF 450VAC</v>
          </cell>
        </row>
        <row r="154">
          <cell r="A154" t="str">
            <v>AR-CONDICIONADO</v>
          </cell>
          <cell r="B154">
            <v>4028</v>
          </cell>
          <cell r="C154" t="str">
            <v>MERCADO</v>
          </cell>
          <cell r="E154" t="str">
            <v>CAPACITOR SIMPLES DO MOTOR VENTILADOR 8UF 450VAC</v>
          </cell>
        </row>
        <row r="155">
          <cell r="A155" t="str">
            <v>AR-CONDICIONADO</v>
          </cell>
          <cell r="B155">
            <v>4029</v>
          </cell>
          <cell r="C155" t="str">
            <v>MERCADO</v>
          </cell>
          <cell r="E155" t="str">
            <v>CAPACITOR 10MFD 380V C/TERMINAL 40X60</v>
          </cell>
        </row>
        <row r="156">
          <cell r="A156" t="str">
            <v>AR-CONDICIONADO</v>
          </cell>
          <cell r="B156">
            <v>4030</v>
          </cell>
          <cell r="C156" t="str">
            <v>MERCADO</v>
          </cell>
          <cell r="E156" t="str">
            <v>CONTATOR TRIPOLAR DE 9A 1NA 220V</v>
          </cell>
        </row>
        <row r="157">
          <cell r="A157" t="str">
            <v>AR-CONDICIONADO</v>
          </cell>
          <cell r="B157">
            <v>4031</v>
          </cell>
          <cell r="C157" t="str">
            <v>MERCADO</v>
          </cell>
          <cell r="E157" t="str">
            <v>CONTATOR TRIPOLAR DE 25A 220V</v>
          </cell>
        </row>
        <row r="158">
          <cell r="A158" t="str">
            <v>AR-CONDICIONADO</v>
          </cell>
          <cell r="B158">
            <v>4032</v>
          </cell>
          <cell r="C158" t="str">
            <v>MERCADO</v>
          </cell>
          <cell r="E158" t="str">
            <v>CONTATOR TRIPOLAR DE 32A 220V</v>
          </cell>
        </row>
        <row r="159">
          <cell r="A159" t="str">
            <v>AR-CONDICIONADO</v>
          </cell>
          <cell r="B159">
            <v>4033</v>
          </cell>
          <cell r="C159" t="str">
            <v>MERCADO</v>
          </cell>
          <cell r="E159" t="str">
            <v>CONTATOR TRIPOLAR DE 40A 220V</v>
          </cell>
        </row>
        <row r="160">
          <cell r="A160" t="str">
            <v>AR-CONDICIONADO</v>
          </cell>
          <cell r="B160">
            <v>4034</v>
          </cell>
          <cell r="C160" t="str">
            <v>MERCADO</v>
          </cell>
          <cell r="E160" t="str">
            <v>CONTATOR TRIPOLAR DE 50A 220V</v>
          </cell>
        </row>
        <row r="161">
          <cell r="A161" t="str">
            <v>AR-CONDICIONADO</v>
          </cell>
          <cell r="B161">
            <v>4035</v>
          </cell>
          <cell r="C161" t="str">
            <v>MERCADO</v>
          </cell>
          <cell r="E161" t="str">
            <v>CORREIA EM V PARA VENTILADOR AR COND B27</v>
          </cell>
        </row>
        <row r="162">
          <cell r="A162" t="str">
            <v>AR-CONDICIONADO</v>
          </cell>
          <cell r="B162">
            <v>4036</v>
          </cell>
          <cell r="C162" t="str">
            <v>MERCADO</v>
          </cell>
          <cell r="E162" t="str">
            <v>CORREIA EM V PARA VENTILADOR AR COND B28</v>
          </cell>
        </row>
        <row r="163">
          <cell r="A163" t="str">
            <v>AR-CONDICIONADO</v>
          </cell>
          <cell r="B163">
            <v>4037</v>
          </cell>
          <cell r="C163" t="str">
            <v>MERCADO</v>
          </cell>
          <cell r="E163" t="str">
            <v>CORREIA EM V PARA VENTILADOR AR COND B32</v>
          </cell>
        </row>
        <row r="164">
          <cell r="A164" t="str">
            <v>AR-CONDICIONADO</v>
          </cell>
          <cell r="B164">
            <v>4038</v>
          </cell>
          <cell r="C164" t="str">
            <v>MERCADO</v>
          </cell>
          <cell r="E164" t="str">
            <v>CORREIA EM V PARA VENTILADOR AR COND B35</v>
          </cell>
        </row>
        <row r="165">
          <cell r="A165" t="str">
            <v>AR-CONDICIONADO</v>
          </cell>
          <cell r="B165">
            <v>4039</v>
          </cell>
          <cell r="C165" t="str">
            <v>MERCADO</v>
          </cell>
          <cell r="E165" t="str">
            <v>CORREIA EM V PARA VENTILADOR AR COND B38</v>
          </cell>
        </row>
        <row r="166">
          <cell r="A166" t="str">
            <v>AR-CONDICIONADO</v>
          </cell>
          <cell r="B166">
            <v>4040</v>
          </cell>
          <cell r="C166" t="str">
            <v>MERCADO</v>
          </cell>
          <cell r="E166" t="str">
            <v>CORREIA EM V PARA VENTILADOR AR COND B42</v>
          </cell>
        </row>
        <row r="167">
          <cell r="A167" t="str">
            <v>AR-CONDICIONADO</v>
          </cell>
          <cell r="B167">
            <v>4041</v>
          </cell>
          <cell r="C167" t="str">
            <v>MERCADO</v>
          </cell>
          <cell r="E167" t="str">
            <v>CORREIA EM V PARA VENTILADOR AR COND B44</v>
          </cell>
        </row>
        <row r="168">
          <cell r="A168" t="str">
            <v>AR-CONDICIONADO</v>
          </cell>
          <cell r="B168">
            <v>4042</v>
          </cell>
          <cell r="C168" t="str">
            <v>MERCADO</v>
          </cell>
          <cell r="E168" t="str">
            <v>CORREIA EM V PARA VENTILADOR AR COND B46</v>
          </cell>
        </row>
        <row r="169">
          <cell r="A169" t="str">
            <v>AR-CONDICIONADO</v>
          </cell>
          <cell r="B169">
            <v>4043</v>
          </cell>
          <cell r="C169" t="str">
            <v>MERCADO</v>
          </cell>
          <cell r="E169" t="str">
            <v>CORREIA EM V PARA VENTILADOR AR COND AX 3U315</v>
          </cell>
        </row>
        <row r="170">
          <cell r="A170" t="str">
            <v>AR-CONDICIONADO</v>
          </cell>
          <cell r="B170">
            <v>4044</v>
          </cell>
          <cell r="C170" t="str">
            <v>MERCADO</v>
          </cell>
          <cell r="E170" t="str">
            <v>CORREIA EM V PARA VENTILADOR AR COND A 3U300</v>
          </cell>
        </row>
        <row r="171">
          <cell r="A171" t="str">
            <v>AR-CONDICIONADO</v>
          </cell>
          <cell r="B171">
            <v>4045</v>
          </cell>
          <cell r="C171" t="str">
            <v>MERCADO</v>
          </cell>
          <cell r="E171" t="str">
            <v>CORREIA EM V PARA VENTILADOR AR COND A27</v>
          </cell>
        </row>
        <row r="172">
          <cell r="A172" t="str">
            <v>AR-CONDICIONADO</v>
          </cell>
          <cell r="B172">
            <v>4046</v>
          </cell>
          <cell r="C172" t="str">
            <v>MERCADO</v>
          </cell>
          <cell r="E172" t="str">
            <v>CORREIA EM V PARA VENTILADOR AR COND A32</v>
          </cell>
        </row>
        <row r="173">
          <cell r="A173" t="str">
            <v>AR-CONDICIONADO</v>
          </cell>
          <cell r="B173">
            <v>4047</v>
          </cell>
          <cell r="C173" t="str">
            <v>MERCADO</v>
          </cell>
          <cell r="E173" t="str">
            <v>CORREIA EM V PARA VENTILADOR AR COND A34</v>
          </cell>
        </row>
        <row r="174">
          <cell r="A174" t="str">
            <v>AR-CONDICIONADO</v>
          </cell>
          <cell r="B174">
            <v>4048</v>
          </cell>
          <cell r="C174" t="str">
            <v>MERCADO</v>
          </cell>
          <cell r="E174" t="str">
            <v>CORREIA EM V PARA VENTILADOR AR COND A38</v>
          </cell>
        </row>
        <row r="175">
          <cell r="A175" t="str">
            <v>AR-CONDICIONADO</v>
          </cell>
          <cell r="B175">
            <v>4049</v>
          </cell>
          <cell r="C175" t="str">
            <v>MERCADO</v>
          </cell>
          <cell r="E175" t="str">
            <v>GÁS REFRIGERANTE R22, CILINDRO DE 13,6KG (PARA A MAIORIA DOS AR COND ATUAIS)</v>
          </cell>
        </row>
        <row r="176">
          <cell r="A176" t="str">
            <v>AR-CONDICIONADO</v>
          </cell>
          <cell r="B176">
            <v>4050</v>
          </cell>
          <cell r="C176" t="str">
            <v>MERCADO</v>
          </cell>
          <cell r="E176" t="str">
            <v>GÁS REFRIGERANTE R410A, CILINDRO DE 11,34KG (PARA SIST INVERTER)</v>
          </cell>
        </row>
        <row r="177">
          <cell r="A177" t="str">
            <v>AR-CONDICIONADO</v>
          </cell>
          <cell r="B177">
            <v>4051</v>
          </cell>
          <cell r="C177" t="str">
            <v>MERCADO</v>
          </cell>
          <cell r="E177" t="str">
            <v>GÁS REFRIGERANTE R134A, CILINDRO DE 13,6KG (SUBSTITUTO PARA O R12)</v>
          </cell>
        </row>
        <row r="178">
          <cell r="A178" t="str">
            <v>AR-CONDICIONADO</v>
          </cell>
          <cell r="B178">
            <v>4052</v>
          </cell>
          <cell r="C178" t="str">
            <v>MERCADO</v>
          </cell>
          <cell r="E178" t="str">
            <v>GÁS REFRIGERANTE R141B, CILINDRO DE 13,6KG (SUBSTITUTO PARA O R11)</v>
          </cell>
        </row>
        <row r="179">
          <cell r="A179" t="str">
            <v>AR-CONDICIONADO</v>
          </cell>
          <cell r="B179">
            <v>4053</v>
          </cell>
          <cell r="C179" t="str">
            <v>MERCADO</v>
          </cell>
          <cell r="E179" t="str">
            <v>LIMPA CONTATO BLACK SUL BRASIL 300ML 200GR</v>
          </cell>
        </row>
        <row r="180">
          <cell r="A180" t="str">
            <v>AR-CONDICIONADO</v>
          </cell>
          <cell r="B180">
            <v>4054</v>
          </cell>
          <cell r="C180" t="str">
            <v>MERCADO</v>
          </cell>
          <cell r="E180" t="str">
            <v>GÁS ACETILENO PARA SOLDA BERNZOMATIC 880342 MAPP 400GR</v>
          </cell>
        </row>
        <row r="181">
          <cell r="A181" t="str">
            <v>AR-CONDICIONADO</v>
          </cell>
          <cell r="B181">
            <v>4055</v>
          </cell>
          <cell r="C181" t="str">
            <v>MERCADO</v>
          </cell>
          <cell r="E181" t="str">
            <v>CILINDRO DE GÁS OXIGÊNIO 930ML 136G PARA TURBO SET</v>
          </cell>
        </row>
        <row r="182">
          <cell r="A182" t="str">
            <v>AR-CONDICIONADO</v>
          </cell>
          <cell r="B182">
            <v>4056</v>
          </cell>
          <cell r="C182" t="str">
            <v>MERCADO</v>
          </cell>
          <cell r="E182" t="str">
            <v>PORCA LATÃO PARA REFRIGERAÇÃO DE 1/4"</v>
          </cell>
        </row>
        <row r="183">
          <cell r="A183" t="str">
            <v>AR-CONDICIONADO</v>
          </cell>
          <cell r="B183">
            <v>4057</v>
          </cell>
          <cell r="C183" t="str">
            <v>MERCADO</v>
          </cell>
          <cell r="E183" t="str">
            <v>PORCA LATÃO PARA REFRIGERAÇÃO DE 3/8"</v>
          </cell>
        </row>
        <row r="184">
          <cell r="A184" t="str">
            <v>AR-CONDICIONADO</v>
          </cell>
          <cell r="B184">
            <v>4058</v>
          </cell>
          <cell r="C184" t="str">
            <v>MERCADO</v>
          </cell>
          <cell r="E184" t="str">
            <v>PORCA LATÃO PARA REFRIGERAÇÃO DE 1/2"</v>
          </cell>
        </row>
        <row r="185">
          <cell r="A185" t="str">
            <v>AR-CONDICIONADO</v>
          </cell>
          <cell r="B185">
            <v>4059</v>
          </cell>
          <cell r="C185" t="str">
            <v>MERCADO</v>
          </cell>
          <cell r="E185" t="str">
            <v>PORCA LATÃO PARA REFRIGERAÇÃO DE 5/8"</v>
          </cell>
        </row>
        <row r="186">
          <cell r="A186" t="str">
            <v>AR-CONDICIONADO</v>
          </cell>
          <cell r="B186">
            <v>4060</v>
          </cell>
          <cell r="C186" t="str">
            <v>MERCADO</v>
          </cell>
          <cell r="E186" t="str">
            <v>PORCA LATÃO PARA REFRIGERAÇÃO DE 3/4"</v>
          </cell>
        </row>
        <row r="187">
          <cell r="A187" t="str">
            <v>AR-CONDICIONADO</v>
          </cell>
          <cell r="B187">
            <v>4061</v>
          </cell>
          <cell r="C187" t="str">
            <v>MERCADO</v>
          </cell>
          <cell r="E187" t="str">
            <v>PORCA LATÃO PARA REFRIGERAÇÃO DE 7/8"</v>
          </cell>
        </row>
        <row r="188">
          <cell r="A188" t="str">
            <v>AR-CONDICIONADO</v>
          </cell>
          <cell r="B188">
            <v>4062</v>
          </cell>
          <cell r="C188" t="str">
            <v>MERCADO</v>
          </cell>
          <cell r="E188" t="str">
            <v>NIPLES LATÃO PARA REFRIGERAÇÃO DE 1/4"</v>
          </cell>
        </row>
        <row r="189">
          <cell r="A189" t="str">
            <v>AR-CONDICIONADO</v>
          </cell>
          <cell r="B189">
            <v>4063</v>
          </cell>
          <cell r="C189" t="str">
            <v>MERCADO</v>
          </cell>
          <cell r="E189" t="str">
            <v>NIPLES LATÃO PARA REFRIGERAÇÃO DE 3/8"</v>
          </cell>
        </row>
        <row r="190">
          <cell r="A190" t="str">
            <v>AR-CONDICIONADO</v>
          </cell>
          <cell r="B190">
            <v>4064</v>
          </cell>
          <cell r="C190" t="str">
            <v>MERCADO</v>
          </cell>
          <cell r="E190" t="str">
            <v>NIPLES LATÃO PARA REFRIGERAÇÃO DE 1/2"</v>
          </cell>
        </row>
        <row r="191">
          <cell r="A191" t="str">
            <v>AR-CONDICIONADO</v>
          </cell>
          <cell r="B191">
            <v>4065</v>
          </cell>
          <cell r="C191" t="str">
            <v>MERCADO</v>
          </cell>
          <cell r="E191" t="str">
            <v>NIPLES LATÃO PARA REFRIGERAÇÃO DE 5/8"</v>
          </cell>
        </row>
        <row r="192">
          <cell r="A192" t="str">
            <v>AR-CONDICIONADO</v>
          </cell>
          <cell r="B192">
            <v>4066</v>
          </cell>
          <cell r="C192" t="str">
            <v>MERCADO</v>
          </cell>
          <cell r="E192" t="str">
            <v>NIPLES LATÃO PARA REFRIGERAÇÃO DE 3/4"</v>
          </cell>
        </row>
        <row r="193">
          <cell r="A193" t="str">
            <v>AR-CONDICIONADO</v>
          </cell>
          <cell r="B193">
            <v>4067</v>
          </cell>
          <cell r="C193" t="str">
            <v>MERCADO</v>
          </cell>
          <cell r="E193" t="str">
            <v>NIPLES LATÃO PARA REFRIGERAÇÃO DE 7/8"</v>
          </cell>
        </row>
        <row r="194">
          <cell r="A194" t="str">
            <v>AR-CONDICIONADO</v>
          </cell>
          <cell r="B194">
            <v>4068</v>
          </cell>
          <cell r="C194" t="str">
            <v>MERCADO</v>
          </cell>
          <cell r="E194" t="str">
            <v>PLUG FUSÍVEL DE SEGURANÇA (DISPOSITIVO PARA PROTEÇÃO DE BUJÃO FUSÍVEL)</v>
          </cell>
        </row>
        <row r="195">
          <cell r="A195" t="str">
            <v>AR-CONDICIONADO</v>
          </cell>
          <cell r="B195">
            <v>4069</v>
          </cell>
          <cell r="C195" t="str">
            <v>MERCADO</v>
          </cell>
          <cell r="E195" t="str">
            <v>DETERGENTE DE LIMPEZA DE SERPENTINAS DE AR CONDICIONADO (ZENNITH OU SIMILAR)</v>
          </cell>
        </row>
        <row r="196">
          <cell r="A196" t="str">
            <v>AR-CONDICIONADO</v>
          </cell>
          <cell r="B196">
            <v>4070</v>
          </cell>
          <cell r="C196" t="str">
            <v>MERCADO</v>
          </cell>
          <cell r="E196" t="str">
            <v>PRESSOSTATO DE ALTA PRESSÃO TIPO CEBOLINHA, 200-400 PSI OU SIMILAR</v>
          </cell>
        </row>
        <row r="197">
          <cell r="A197" t="str">
            <v>AR-CONDICIONADO</v>
          </cell>
          <cell r="B197">
            <v>4071</v>
          </cell>
          <cell r="C197" t="str">
            <v>MERCADO</v>
          </cell>
          <cell r="E197" t="str">
            <v>PRESSOSTATO DE BAIXA PRESSÃO TIPO CEBOLINHA, 19-46 PSI OU SIMILAR</v>
          </cell>
        </row>
        <row r="198">
          <cell r="A198" t="str">
            <v>AR-CONDICIONADO</v>
          </cell>
          <cell r="B198">
            <v>4072</v>
          </cell>
          <cell r="C198" t="str">
            <v>MERCADO</v>
          </cell>
          <cell r="E198" t="str">
            <v>SOLDA FOSCOPER UNIDADE VARETA 460MM X 2,3 MM</v>
          </cell>
        </row>
        <row r="199">
          <cell r="A199" t="str">
            <v>AR-CONDICIONADO</v>
          </cell>
          <cell r="B199">
            <v>4073</v>
          </cell>
          <cell r="C199" t="str">
            <v>MERCADO</v>
          </cell>
          <cell r="E199" t="str">
            <v>SOLDA FOSCOPER UNIDADE VARETA 460MM X 2,5MM</v>
          </cell>
        </row>
        <row r="200">
          <cell r="A200" t="str">
            <v>AR-CONDICIONADO</v>
          </cell>
          <cell r="B200">
            <v>4074</v>
          </cell>
          <cell r="C200" t="str">
            <v>MERCADO</v>
          </cell>
          <cell r="E200" t="str">
            <v>TERMINAL ELÉTRICO FORQUILHA ISOLADO, DE 1,5 A 2,5MM², SVS2-4, AZUL, EMBALAGEM COM 100 PEÇAS</v>
          </cell>
        </row>
        <row r="201">
          <cell r="A201" t="str">
            <v>AR-CONDICIONADO</v>
          </cell>
          <cell r="B201">
            <v>4075</v>
          </cell>
          <cell r="C201" t="str">
            <v>MERCADO</v>
          </cell>
          <cell r="E201" t="str">
            <v>TERMINAL ELÉTRICO FORQUILHA ISOLADO, DE 4,0 A 6,0MM², SVS5.5-6, AMARELO, EMBALAGEM COM 100 PEÇAS</v>
          </cell>
        </row>
        <row r="202">
          <cell r="A202" t="str">
            <v>AR-CONDICIONADO</v>
          </cell>
          <cell r="B202">
            <v>4076</v>
          </cell>
          <cell r="C202" t="str">
            <v>MERCADO</v>
          </cell>
          <cell r="E202" t="str">
            <v>TERMINAL ELÉTRICO FORQUILHA ISOLADO, DE 10,0MM², SVS8-8, VERMELHO, EMBALAGEM COM 100 PEÇAS</v>
          </cell>
        </row>
        <row r="203">
          <cell r="A203" t="str">
            <v>AR-CONDICIONADO</v>
          </cell>
          <cell r="B203">
            <v>4077</v>
          </cell>
          <cell r="C203" t="str">
            <v>MERCADO</v>
          </cell>
          <cell r="E203" t="str">
            <v>TERMINAL ELÉTRICO PINO ISOLADO, DE 1,5 A 2,5MM², PTV 2-13, AZUL, EMBALAGEM COM 100 PEÇAS</v>
          </cell>
        </row>
        <row r="204">
          <cell r="A204" t="str">
            <v>AR-CONDICIONADO</v>
          </cell>
          <cell r="B204">
            <v>4078</v>
          </cell>
          <cell r="C204" t="str">
            <v>MERCADO</v>
          </cell>
          <cell r="E204" t="str">
            <v>TERMINAL ELÉTRICO PINO ISOLADO, DE 4,0 A 6,0MM², PTV 5.5-13, AMARELO, EMBALAGEM COM 100 PEÇAS</v>
          </cell>
        </row>
        <row r="205">
          <cell r="A205" t="str">
            <v>AR-CONDICIONADO</v>
          </cell>
          <cell r="B205">
            <v>4079</v>
          </cell>
          <cell r="C205" t="str">
            <v>MERCADO</v>
          </cell>
          <cell r="E205" t="str">
            <v>TERMINAL ELÉTRICO PINO ISOLADO, DE 10MM², 12MM, PTVS 10-12, VERMELHO, EMBALAGEM COM 50 PEÇAS</v>
          </cell>
        </row>
        <row r="206">
          <cell r="A206" t="str">
            <v>AR-CONDICIONADO</v>
          </cell>
          <cell r="B206">
            <v>4080</v>
          </cell>
          <cell r="C206" t="str">
            <v>MERCADO</v>
          </cell>
          <cell r="E206" t="str">
            <v>TERMINAL ELÉTRICO OLHAL ISOLADO, DE 1,5 A 2,5MM², RVS2-5, AZUL, EMBALAGEM COM 100 PEÇAS</v>
          </cell>
        </row>
        <row r="207">
          <cell r="A207" t="str">
            <v>AR-CONDICIONADO</v>
          </cell>
          <cell r="B207">
            <v>4081</v>
          </cell>
          <cell r="C207" t="str">
            <v>MERCADO</v>
          </cell>
          <cell r="E207" t="str">
            <v>TERMINAL ELÉTRICO OLHAL ISOLADO, DE 4,0 A 6,0MM², RV5.5-6, AMARELO, EMBALAGEM COM 100 PEÇAS</v>
          </cell>
        </row>
        <row r="208">
          <cell r="A208" t="str">
            <v>AR-CONDICIONADO</v>
          </cell>
          <cell r="B208">
            <v>4082</v>
          </cell>
          <cell r="C208" t="str">
            <v>MERCADO</v>
          </cell>
          <cell r="E208" t="str">
            <v>TERMINAL ELÉTRICO OLHAL ISOLADO, DE 10,0MM², M6, VERMELHO, CADA UNIDADE</v>
          </cell>
        </row>
        <row r="209">
          <cell r="A209" t="str">
            <v>AR-CONDICIONADO</v>
          </cell>
          <cell r="B209">
            <v>4083</v>
          </cell>
          <cell r="C209" t="str">
            <v>MERCADO</v>
          </cell>
          <cell r="E209" t="str">
            <v>TERMOSTATO SPRINGER CROSS RC-80810-2 OU SIMILAR</v>
          </cell>
        </row>
        <row r="210">
          <cell r="A210" t="str">
            <v>AR-CONDICIONADO</v>
          </cell>
          <cell r="B210">
            <v>4084</v>
          </cell>
          <cell r="C210" t="str">
            <v>MERCADO</v>
          </cell>
          <cell r="E210" t="str">
            <v>TERMOSTATO AMBIENTE ELETRÔNICO, 220V, DUPLO ESTÁGIO E UMA VELOCIDADE, OU SIMILAR</v>
          </cell>
        </row>
        <row r="211">
          <cell r="A211" t="str">
            <v>AR-CONDICIONADO</v>
          </cell>
          <cell r="B211">
            <v>4085</v>
          </cell>
          <cell r="C211" t="str">
            <v>MERCADO</v>
          </cell>
          <cell r="E211" t="str">
            <v>TERMOSTATO AMBIENTE ANALÓGICO DE UM ESTÁGIO E UMA VELOCIDADE, 220V, 10°C A 30°C</v>
          </cell>
        </row>
        <row r="212">
          <cell r="A212" t="str">
            <v>AR-CONDICIONADO</v>
          </cell>
          <cell r="B212">
            <v>4086</v>
          </cell>
          <cell r="C212" t="str">
            <v>MERCADO</v>
          </cell>
          <cell r="E212" t="str">
            <v>TERMOSTATO CONSUL 10 A 21BTU RC-31601-2</v>
          </cell>
        </row>
        <row r="213">
          <cell r="A213" t="str">
            <v>AR-CONDICIONADO</v>
          </cell>
          <cell r="B213">
            <v>4087</v>
          </cell>
          <cell r="C213" t="str">
            <v>MERCADO</v>
          </cell>
          <cell r="E213" t="str">
            <v>TERMOSTATO AMBIENTE ELETRÔNICO DE UM ESTÁGIO E UMA VELOCIDADE, 220V</v>
          </cell>
        </row>
        <row r="214">
          <cell r="A214" t="str">
            <v>AR-CONDICIONADO</v>
          </cell>
          <cell r="B214">
            <v>4088</v>
          </cell>
          <cell r="C214" t="str">
            <v>MERCADO</v>
          </cell>
          <cell r="E214" t="str">
            <v>TERMOSTATO PARA AR CONDICIONADO UNIVERSAL 7.000 A 30.000 BTUS</v>
          </cell>
        </row>
        <row r="215">
          <cell r="A215" t="str">
            <v>AR-CONDICIONADO</v>
          </cell>
          <cell r="B215">
            <v>4089</v>
          </cell>
          <cell r="C215" t="str">
            <v>MERCADO</v>
          </cell>
          <cell r="E215" t="str">
            <v>TUBO CAPILAR 0,31 PARA AR CONDICIONADO</v>
          </cell>
        </row>
        <row r="216">
          <cell r="A216" t="str">
            <v>AR-CONDICIONADO</v>
          </cell>
          <cell r="B216">
            <v>4090</v>
          </cell>
          <cell r="C216" t="str">
            <v>MERCADO</v>
          </cell>
          <cell r="E216" t="str">
            <v>TUBO CAPILAR 0,36 PARA AR CONDICIONADO</v>
          </cell>
        </row>
        <row r="217">
          <cell r="A217" t="str">
            <v>AR-CONDICIONADO</v>
          </cell>
          <cell r="B217">
            <v>4091</v>
          </cell>
          <cell r="C217" t="str">
            <v>MERCADO</v>
          </cell>
          <cell r="E217" t="str">
            <v>TUBO CAPILAR 0,42 PARA AR CONDICIONADO</v>
          </cell>
        </row>
        <row r="218">
          <cell r="A218" t="str">
            <v>AR-CONDICIONADO</v>
          </cell>
          <cell r="B218">
            <v>4092</v>
          </cell>
          <cell r="C218" t="str">
            <v>MERCADO</v>
          </cell>
          <cell r="E218" t="str">
            <v>TUBO CAPILAR 0,50 PARA AR CONDICIONADO</v>
          </cell>
        </row>
        <row r="219">
          <cell r="A219" t="str">
            <v>AR-CONDICIONADO</v>
          </cell>
          <cell r="B219">
            <v>4093</v>
          </cell>
          <cell r="C219" t="str">
            <v>MERCADO</v>
          </cell>
          <cell r="E219" t="str">
            <v>TUBO CAPILAR 0,64 PARA AR CONDICIONADO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fertaeletrica.com.br/terminal-pino-pre-isolado-azul-25mm2-longo-100-pcs-mceig" TargetMode="External"/><Relationship Id="rId299" Type="http://schemas.openxmlformats.org/officeDocument/2006/relationships/hyperlink" Target="https://www.santil.com.br/produto/tomada-2p-t-20-a-sistema-x-pial-legrand/470549/" TargetMode="External"/><Relationship Id="rId21" Type="http://schemas.openxmlformats.org/officeDocument/2006/relationships/hyperlink" Target="https://www.friopecas.com.br/compressor-scroll-invotech-5tr-yh150a7100-trifasico-220volts/p?idsku=123296" TargetMode="External"/><Relationship Id="rId63" Type="http://schemas.openxmlformats.org/officeDocument/2006/relationships/hyperlink" Target="https://www.eletrofrigor.com.br/porca-flange-14-sae-latao-usinada.html" TargetMode="External"/><Relationship Id="rId159" Type="http://schemas.openxmlformats.org/officeDocument/2006/relationships/hyperlink" Target="https://produto.mercadolivre.com.br/MLB-1402537673-capacitor-permanente-retangular-8uf-450vac-onda-positiva-_JM" TargetMode="External"/><Relationship Id="rId170" Type="http://schemas.openxmlformats.org/officeDocument/2006/relationships/hyperlink" Target="https://www.refrigas.com.br/capilar-0-50-rolo-3m" TargetMode="External"/><Relationship Id="rId226" Type="http://schemas.openxmlformats.org/officeDocument/2006/relationships/hyperlink" Target="https://www.refrigeracaocatavento.com.br/capacitor-duplo-50-5uf-380vac" TargetMode="External"/><Relationship Id="rId268" Type="http://schemas.openxmlformats.org/officeDocument/2006/relationships/hyperlink" Target="https://www.lojadomecanico.com.br/produto/129677/37/813/Correia-perfil-V-B-46-VONDER/153/?utm_source=googleshopping&amp;utm_campaign=xmlshopping&amp;utm_medium=cpc&amp;utm_content=129677&amp;gclid=EAIaIQobChMIlvm3la6U9wIVy09IAB0SuwQ7EAQYBCABEgIvZfD_BwE" TargetMode="External"/><Relationship Id="rId32" Type="http://schemas.openxmlformats.org/officeDocument/2006/relationships/hyperlink" Target="https://www.eletrofrigor.com.br/capacitor-17-5-mfd-380vac.html" TargetMode="External"/><Relationship Id="rId74" Type="http://schemas.openxmlformats.org/officeDocument/2006/relationships/hyperlink" Target="https://refrigeracao.suryha.com.br/produto/80170.029/porca-flangeada-latao-rosca-sae" TargetMode="External"/><Relationship Id="rId128" Type="http://schemas.openxmlformats.org/officeDocument/2006/relationships/hyperlink" Target="https://www.viewtech.ind.br/terminal-olhal-amarelo-para-cabo-4-e-6mm-100un-rv5-5-6" TargetMode="External"/><Relationship Id="rId5" Type="http://schemas.openxmlformats.org/officeDocument/2006/relationships/hyperlink" Target="https://www.magazineluiza.com.br/botao-duplo-acionamento-caixa-acoplada-deca-1100-si-56-01/p/ja5b3kk8g0/cj/acop/" TargetMode="External"/><Relationship Id="rId181" Type="http://schemas.openxmlformats.org/officeDocument/2006/relationships/hyperlink" Target="https://www.refrigas.com.br/capacitor-25-mfd-440v-coldpac?parceiro=7259" TargetMode="External"/><Relationship Id="rId237" Type="http://schemas.openxmlformats.org/officeDocument/2006/relationships/hyperlink" Target="https://loja.astheck.com.br/automacao-e-controle/contatores/contator-principal/contator-cwm25-10-30v26" TargetMode="External"/><Relationship Id="rId279" Type="http://schemas.openxmlformats.org/officeDocument/2006/relationships/hyperlink" Target="https://www.elastobor.com.br/correia-em-v-rexon-modelo-a-32/p?idsku=122013026&amp;gclid=EAIaIQobChMIp5Pk3K-U9wIVYuhcCh19LQs-EAQYAiABEgL8GfD_BwE" TargetMode="External"/><Relationship Id="rId43" Type="http://schemas.openxmlformats.org/officeDocument/2006/relationships/hyperlink" Target="https://bomarcondicionado.com.br/produto/521751/gas-r22-136kg-eos?gclid=EAIaIQobChMItIDJtpKF9wIVAu6RCh26wgfyEAQYAyABEgJ1ifD_BwE" TargetMode="External"/><Relationship Id="rId139" Type="http://schemas.openxmlformats.org/officeDocument/2006/relationships/hyperlink" Target="https://www.totalar.net/produtos/termostato-amb-sce-tvc-pi-1-01-24v-1est-on-off-1vel-20185/?pf=gs" TargetMode="External"/><Relationship Id="rId290" Type="http://schemas.openxmlformats.org/officeDocument/2006/relationships/hyperlink" Target="https://www.samatec.com.br/capilar-064/p" TargetMode="External"/><Relationship Id="rId304" Type="http://schemas.openxmlformats.org/officeDocument/2006/relationships/hyperlink" Target="http://www.ambientair.com.br/" TargetMode="External"/><Relationship Id="rId85" Type="http://schemas.openxmlformats.org/officeDocument/2006/relationships/hyperlink" Target="https://www.refritron.com.br/material-para-instalacao-e-manutencao-de-ar/tubos-de-cobre-e-conexoes/uniao-14-de-latao-flangeado" TargetMode="External"/><Relationship Id="rId150" Type="http://schemas.openxmlformats.org/officeDocument/2006/relationships/hyperlink" Target="https://www.brastemp.com.br/capacitor-duplo-para-ar-condicionado-326058513/p" TargetMode="External"/><Relationship Id="rId192" Type="http://schemas.openxmlformats.org/officeDocument/2006/relationships/hyperlink" Target="https://www.submarino.com.br/produto/4287677384?epar=bp_pl_px_go_pmax_automoveis_geral_gmv&amp;opn=XMLGOOGLE&amp;WT.srch=1&amp;gclid=EAIaIQobChMIoeas6uCT9wIVTkVIAB0w6gfjEAQYCSABEgJjtvD_BwE" TargetMode="External"/><Relationship Id="rId206" Type="http://schemas.openxmlformats.org/officeDocument/2006/relationships/hyperlink" Target="https://www.totalar.net/produtos/capacitor-terminal-duplo-302-5-uf-450v-l05706080/" TargetMode="External"/><Relationship Id="rId248" Type="http://schemas.openxmlformats.org/officeDocument/2006/relationships/hyperlink" Target="https://www.arican.com.br/correia-industrial-powerclassic-b28.html" TargetMode="External"/><Relationship Id="rId12" Type="http://schemas.openxmlformats.org/officeDocument/2006/relationships/hyperlink" Target="https://www.magazineluiza.com.br/porta-grelha-suporte-caixilho-inox-15x15-cm-quadrada-clarinox/p/ejch4he53d/cj/grlh/" TargetMode="External"/><Relationship Id="rId108" Type="http://schemas.openxmlformats.org/officeDocument/2006/relationships/hyperlink" Target="https://www.viewtech.ind.br/catalog/product/view/id/2357/s/terminal-forquilha-azul-para-cabo-2-5mm-svs2-4/?utm_source=&amp;utm_medium=&amp;utm_campaign=&amp;utm_term=&amp;utm_content=&amp;gclid=EAIaIQobChMIvYKwxZuM9wIVJxTUAR0XGgNKEAQYASABEgK38PD_BwE" TargetMode="External"/><Relationship Id="rId54" Type="http://schemas.openxmlformats.org/officeDocument/2006/relationships/hyperlink" Target="https://www.lojadomecanico.com.br/produto/182791/32/250/limpa-contato-eletrico-de-300ml---black-brasil-300017003" TargetMode="External"/><Relationship Id="rId96" Type="http://schemas.openxmlformats.org/officeDocument/2006/relationships/hyperlink" Target="https://www.eletroamorim.com.br/ar-e-refrigeracao/copia-uniao-78-sae-cobre" TargetMode="External"/><Relationship Id="rId161" Type="http://schemas.openxmlformats.org/officeDocument/2006/relationships/hyperlink" Target="https://www.comclick.com.br/termostato-127/220v-rcv-1601-4-z-w11234524-ar-condicionado-consul-ccb07a-ccb10a-ccb07d-ccb15a-ccf07d" TargetMode="External"/><Relationship Id="rId217" Type="http://schemas.openxmlformats.org/officeDocument/2006/relationships/hyperlink" Target="https://www.eletrofrigor.com.br/capacitor-duplo-40-4-mfd-440vac.html" TargetMode="External"/><Relationship Id="rId259" Type="http://schemas.openxmlformats.org/officeDocument/2006/relationships/hyperlink" Target="https://www.royalmaquinas.com.br/correia-industrial-b-38-nac.html?gclid=EAIaIQobChMI7oXvza2U9wIVbEBIAB1RnQjQEAQYAyABEgLS7vD_BwE" TargetMode="External"/><Relationship Id="rId23" Type="http://schemas.openxmlformats.org/officeDocument/2006/relationships/hyperlink" Target="https://www.eletrofrigor.com.br/compressor-90000-r22-220v-scroll-3f-7-5tr-copeland-zr81kctf5522.html?gclid=EAIaIQobChMIlMXB5cSE9wIVK-xcCh3XvQqbEAYYASABEgL78_D_BwE" TargetMode="External"/><Relationship Id="rId119" Type="http://schemas.openxmlformats.org/officeDocument/2006/relationships/hyperlink" Target="https://www.viewtech.ind.br/terminal-pino-amarelo-para-cabo-6-0mm-100un-pv5-5-12" TargetMode="External"/><Relationship Id="rId270" Type="http://schemas.openxmlformats.org/officeDocument/2006/relationships/hyperlink" Target="https://produto.mercadolivre.com.br/MLB-1767323736-correia-em-v-lisa-3v-300-fenlop-consulte-tamanhos-e-perfis-_JM?matt_tool=18956390&amp;utm_source=google_shopping&amp;utm_medium=organic" TargetMode="External"/><Relationship Id="rId291" Type="http://schemas.openxmlformats.org/officeDocument/2006/relationships/hyperlink" Target="https://www.refritron.com.br/pecas-para-freezer-refrigerador-e-geladeira/tubo-capilar/tubo-capilar-0-64-de-cobre-rolo-com-3-metros" TargetMode="External"/><Relationship Id="rId305" Type="http://schemas.openxmlformats.org/officeDocument/2006/relationships/printerSettings" Target="../printerSettings/printerSettings8.bin"/><Relationship Id="rId44" Type="http://schemas.openxmlformats.org/officeDocument/2006/relationships/hyperlink" Target="https://www.frigelar.com.br/gas-refrigerante-r410a-eos-cilindro-de-1134kg/p/kit5357" TargetMode="External"/><Relationship Id="rId65" Type="http://schemas.openxmlformats.org/officeDocument/2006/relationships/hyperlink" Target="https://refrigeracao.suryha.com.br/produto/80170.007/porca-flangeada-latao-rosca-sae" TargetMode="External"/><Relationship Id="rId86" Type="http://schemas.openxmlformats.org/officeDocument/2006/relationships/hyperlink" Target="https://www.refritron.com.br/material-para-instalacao-e-manutencao-de-ar/tubos-de-cobre-e-conexoes/uniao-38-de-latao-flangeado" TargetMode="External"/><Relationship Id="rId130" Type="http://schemas.openxmlformats.org/officeDocument/2006/relationships/hyperlink" Target="https://www.eletricasuzuki.com.br/terminal-pre-isolado-tipo-olhal-100-unidades-sibratec-11941" TargetMode="External"/><Relationship Id="rId151" Type="http://schemas.openxmlformats.org/officeDocument/2006/relationships/hyperlink" Target="https://www.comclick.com.br/capacitor-cbb61-1-5uf-450v-5060hz-da-unidade-condensadora-326058513-para-ar-condicionado-brastemp-consul-7-000-9-000-12-000?parceiro=4159" TargetMode="External"/><Relationship Id="rId172" Type="http://schemas.openxmlformats.org/officeDocument/2006/relationships/hyperlink" Target="https://www.refritron.com.br/capilar-0-36-rolo-3m-roxo" TargetMode="External"/><Relationship Id="rId193" Type="http://schemas.openxmlformats.org/officeDocument/2006/relationships/hyperlink" Target="https://www.mksshop.com.br/pecas-eletrodomesticos/pecas-refrigerador/capacitor-50-uf-380vac-para-compressor-eos-cbb65?parceiro=4410&amp;gclid=EAIaIQobChMI2aTdt-OT9wIVM0BIAB1Ydwf0EAQYBCABEgKT7vD_BwE" TargetMode="External"/><Relationship Id="rId207" Type="http://schemas.openxmlformats.org/officeDocument/2006/relationships/hyperlink" Target="https://www.regislar.com.br/pecas-para-ar-condicionado/capacitores/capacitor-permanente-duplo-alum-30-2-5uf-450vac" TargetMode="External"/><Relationship Id="rId228" Type="http://schemas.openxmlformats.org/officeDocument/2006/relationships/hyperlink" Target="https://www.refritron.com.br/capacitor-duplo-50-5-mfd-380v-cterminal-60x105?parceiro=7321" TargetMode="External"/><Relationship Id="rId249" Type="http://schemas.openxmlformats.org/officeDocument/2006/relationships/hyperlink" Target="https://www.friostore.com.br/produtos/correia-b28-em-v-lisa/" TargetMode="External"/><Relationship Id="rId13" Type="http://schemas.openxmlformats.org/officeDocument/2006/relationships/hyperlink" Target="https://www.americanas.com.br/produto/4628088669?pfm_carac=porta-grelha-quadrado&amp;pfm_page=search&amp;pfm_pos=grid&amp;pfm_type=search_page&amp;offerId=61e4868fd9fd6edeec15cc02" TargetMode="External"/><Relationship Id="rId109" Type="http://schemas.openxmlformats.org/officeDocument/2006/relationships/hyperlink" Target="https://www.ofertaeletrica.com.br/terminal-forquilha-pre-isolado-azul-25mm2-furo-o4-m4-100-pcs-mceig" TargetMode="External"/><Relationship Id="rId260" Type="http://schemas.openxmlformats.org/officeDocument/2006/relationships/hyperlink" Target="https://www.ferramentaskennedy.com.br/100032022/correia-em-v-tipo-b-42-worker?utm_source=google&amp;utm_medium=cpc&amp;utm_campaign=google_shop&amp;gclid=EAIaIQobChMI4euH5a2U9wIVFEVIAB2bpwz-EAQYASABEgJV7_D_BwE" TargetMode="External"/><Relationship Id="rId281" Type="http://schemas.openxmlformats.org/officeDocument/2006/relationships/hyperlink" Target="https://www.agribor.com.br/produto/correia-industrial-a34-lisa-em-v-multibelt-71512?utm_source=&amp;utm_medium=&amp;utm_campaign=&amp;gclid=EAIaIQobChMI5ZHm-6-U9wIVEeFcCh1ejwL1EAQYAiABEgKK0_D_BwE" TargetMode="External"/><Relationship Id="rId34" Type="http://schemas.openxmlformats.org/officeDocument/2006/relationships/hyperlink" Target="https://www.magazineluiza.com.br/capacitor-17-5-mfd-380vac-frigormix/p/kjd166658a/cj/ccto/" TargetMode="External"/><Relationship Id="rId55" Type="http://schemas.openxmlformats.org/officeDocument/2006/relationships/hyperlink" Target="https://www.eletrofrigor.com.br/limpa-contato-black-sul-brasil-300ml-200gr.html" TargetMode="External"/><Relationship Id="rId76" Type="http://schemas.openxmlformats.org/officeDocument/2006/relationships/hyperlink" Target="https://www.refrigeracaocatavento.com.br/pecas-para-ar-condicionado/porca-flange-para-tubo-de-cobre-sae-34-latao" TargetMode="External"/><Relationship Id="rId97" Type="http://schemas.openxmlformats.org/officeDocument/2006/relationships/hyperlink" Target="https://www.magazineluiza.com.br/uniao-latao-7-8-sae-inaps/p/cag2bff82a/cj/nihi/" TargetMode="External"/><Relationship Id="rId120" Type="http://schemas.openxmlformats.org/officeDocument/2006/relationships/hyperlink" Target="https://www.ofertaeletrica.com.br/terminal-pino-pre-isolado-amarelo-6mm2-m13-longo-100-pcs-mceig" TargetMode="External"/><Relationship Id="rId141" Type="http://schemas.openxmlformats.org/officeDocument/2006/relationships/hyperlink" Target="https://www.totalar.net/produtos/termostato-ambiente-10-30-on-off-1refr-1-vent-699/" TargetMode="External"/><Relationship Id="rId7" Type="http://schemas.openxmlformats.org/officeDocument/2006/relationships/hyperlink" Target="https://www.americanas.com.br/produto/1787394022?opn=YSMESP&amp;srsltid=AWLEVJxycZ0MrPjOSgIgzjQQ0KyvY_kR7zOY2PzMiXsWGChJfefARkMM214" TargetMode="External"/><Relationship Id="rId162" Type="http://schemas.openxmlformats.org/officeDocument/2006/relationships/hyperlink" Target="https://www.magazineluiza.com.br/termostato-127-220v-rcv-1601-4-z-w11234524-ar-condicionado-consul-ccb07a-ccb10a-ccb07d-ccb15a-ccf07d/p/bghg9gcf0k/ar/arar/" TargetMode="External"/><Relationship Id="rId183" Type="http://schemas.openxmlformats.org/officeDocument/2006/relationships/hyperlink" Target="https://www.uberfrio.com.br/ar-condicionado/capacitores-ar/capacitor-25-mfd-440vac?parceiro=1533" TargetMode="External"/><Relationship Id="rId218" Type="http://schemas.openxmlformats.org/officeDocument/2006/relationships/hyperlink" Target="https://www.submarino.com.br/produto/1410084438?epar=bp_pl_px_go_pmax_automoveis_geral_gmv&amp;opn=XMLGOOGLE&amp;WT.srch=1&amp;gclid=EAIaIQobChMImJH-4oiU9wIVATKRCh3y4QMnEAQYBiABEgLPW_D_BwE" TargetMode="External"/><Relationship Id="rId239" Type="http://schemas.openxmlformats.org/officeDocument/2006/relationships/hyperlink" Target="https://www.anhangueraferramentas.com.br/produto/contator-tripolar-32a-220v-1na-cwm32-10-30-v26-weg-108163" TargetMode="External"/><Relationship Id="rId250" Type="http://schemas.openxmlformats.org/officeDocument/2006/relationships/hyperlink" Target="https://www.magazineluiza.com.br/correia-b28-rexon/p/gk61c2a27j/au/crau/" TargetMode="External"/><Relationship Id="rId271" Type="http://schemas.openxmlformats.org/officeDocument/2006/relationships/hyperlink" Target="https://www.agribor.com.br/produto/correia-industrial-3v300-lisa-em-v-multibelt-71477?utm_source=&amp;utm_medium=&amp;utm_campaign=&amp;gclid=EAIaIQobChMIyeKR5a6U9wIVROZcCh2pJwZxEAQYASABEgKKo_D_BwE" TargetMode="External"/><Relationship Id="rId292" Type="http://schemas.openxmlformats.org/officeDocument/2006/relationships/hyperlink" Target="https://www.eletroamorim.com.br/ar-e-refrigeracao/tubo-capilar-0-64-refrigeracao-e-ar-condicionado-3m" TargetMode="External"/><Relationship Id="rId24" Type="http://schemas.openxmlformats.org/officeDocument/2006/relationships/hyperlink" Target="https://www.friopecas.com.br/compressor-scroll-copeland-75tr-ar-condicionado-trifasico--zr81kctf5522-220volts/p" TargetMode="External"/><Relationship Id="rId45" Type="http://schemas.openxmlformats.org/officeDocument/2006/relationships/hyperlink" Target="https://www.eletrofrigor.com.br/gas-r410a-eos-dac-11-34-kg.html" TargetMode="External"/><Relationship Id="rId66" Type="http://schemas.openxmlformats.org/officeDocument/2006/relationships/hyperlink" Target="https://www.eletrofrigor.com.br/porca-flange-38-sae-latao-usinada.html" TargetMode="External"/><Relationship Id="rId87" Type="http://schemas.openxmlformats.org/officeDocument/2006/relationships/hyperlink" Target="https://www.refritron.com.br/material-para-instalacao-e-manutencao-de-ar/tubos-de-cobre-e-conexoes/uniao-12-flangeada-de-latao" TargetMode="External"/><Relationship Id="rId110" Type="http://schemas.openxmlformats.org/officeDocument/2006/relationships/hyperlink" Target="https://www.viewtech.ind.br/catalog/product/view/id/2406/s/terminal-forquilha-amarelo-para-cabo-4-e-6mm-sv5-5-6-100un/?utm_source=&amp;utm_medium=&amp;utm_campaign=&amp;utm_term=&amp;utm_content=&amp;gclid=EAIaIQobChMI5KjjvbqO9wIVkkJIAB2cCgb7EAQYASABEgKwwvD_BwE" TargetMode="External"/><Relationship Id="rId131" Type="http://schemas.openxmlformats.org/officeDocument/2006/relationships/hyperlink" Target="https://www.portaleletrico.com.br/terminal-tubular-isolado-10mm-m6-vermelho-eletrokit-925/p" TargetMode="External"/><Relationship Id="rId152" Type="http://schemas.openxmlformats.org/officeDocument/2006/relationships/hyperlink" Target="https://www.americanas.com.br/produto/4279529031?epar=bp_pl_00_go_auto_pmax_acessorios&amp;opn=YSMESP&amp;WT.srch=1&amp;gclid=EAIaIQobChMIq9LapcyR9wIVATKRCh1zvABEEAQYAiABEgL7EPD_BwE" TargetMode="External"/><Relationship Id="rId173" Type="http://schemas.openxmlformats.org/officeDocument/2006/relationships/hyperlink" Target="https://www.refritron.com.br/capilar-0-42-rolo-3m-amarelo" TargetMode="External"/><Relationship Id="rId194" Type="http://schemas.openxmlformats.org/officeDocument/2006/relationships/hyperlink" Target="https://www.refritron.com.br/capacitor-50-mfd-380v-cterminal-50x105?parceiro=7321" TargetMode="External"/><Relationship Id="rId208" Type="http://schemas.openxmlformats.org/officeDocument/2006/relationships/hyperlink" Target="https://www.eletrofrigor.com.br/capacitor-duplo-30-5-mfd-380vac.html" TargetMode="External"/><Relationship Id="rId229" Type="http://schemas.openxmlformats.org/officeDocument/2006/relationships/hyperlink" Target="https://produto.mercadolivre.com.br/MLB-1564887231-capacitor-duplo-605uf-440v-em-aluminio-marca-tk-_JM?matt_tool=18956390&amp;utm_source=google_shopping&amp;utm_medium=organic" TargetMode="External"/><Relationship Id="rId240" Type="http://schemas.openxmlformats.org/officeDocument/2006/relationships/hyperlink" Target="https://loja.astheck.com.br/contator-cwm32-10-30v26" TargetMode="External"/><Relationship Id="rId261" Type="http://schemas.openxmlformats.org/officeDocument/2006/relationships/hyperlink" Target="https://www.elastobor.com.br/correia-em-v-rexon-modelo-b-42/p?idsku=122014021&amp;gclid=EAIaIQobChMI4euH5a2U9wIVFEVIAB2bpwz-EAQYAiABEgIO4vD_BwE" TargetMode="External"/><Relationship Id="rId14" Type="http://schemas.openxmlformats.org/officeDocument/2006/relationships/hyperlink" Target="https://www.submarino.com.br/produto/2800616840?epar=bp_pl_px_go_pmax_casaeconstrucao_geral_gmv&amp;opn=XMLGOOGLE&amp;WT.srch=1&amp;gclid=CjwKCAjwrqqSBhBbEiwAlQeqGvwOoESJaL1r-EBF71wOEM6G0HFkJ8wduqpRRWZWpx8hU7o3Lihg_BoCYhIQAvD_BwE" TargetMode="External"/><Relationship Id="rId35" Type="http://schemas.openxmlformats.org/officeDocument/2006/relationships/hyperlink" Target="https://www.frioshopping.com/pecas/capacitores/capacitor-eos-35-mfd-380v-5060hz" TargetMode="External"/><Relationship Id="rId56" Type="http://schemas.openxmlformats.org/officeDocument/2006/relationships/hyperlink" Target="https://www.soaquiferramentas.com.br/gas-acetileno-para-solda-bernzomatic-880342-mapp-400gr-07917" TargetMode="External"/><Relationship Id="rId77" Type="http://schemas.openxmlformats.org/officeDocument/2006/relationships/hyperlink" Target="https://www.eletrofrigor.com.br/porca-flange-78-sae-latao-usinada.html" TargetMode="External"/><Relationship Id="rId100" Type="http://schemas.openxmlformats.org/officeDocument/2006/relationships/hyperlink" Target="https://www.eletrofrigor.com.br/produto-limpeza-zennith-1-litro.html" TargetMode="External"/><Relationship Id="rId282" Type="http://schemas.openxmlformats.org/officeDocument/2006/relationships/hyperlink" Target="https://www.elastobor.com.br/correia-em-v-rexon-modelo-a-34/p?idsku=122013028&amp;gclid=EAIaIQobChMI5ZHm-6-U9wIVEeFcCh1ejwL1EAQYAyABEgJss_D_BwE" TargetMode="External"/><Relationship Id="rId8" Type="http://schemas.openxmlformats.org/officeDocument/2006/relationships/hyperlink" Target="https://www.leroymerlin.com.br/grelha-inox-para-banheiro-quadrada-15x15cm_1567600700" TargetMode="External"/><Relationship Id="rId98" Type="http://schemas.openxmlformats.org/officeDocument/2006/relationships/hyperlink" Target="https://www.impactorefrigeracao.com.br/zennith-detergente-limpeza-ar-condicionado-1l?utm_source=Site&amp;utm_medium=GoogleMerchant&amp;utm_campaign=GoogleMerchant&amp;gclid=EAIaIQobChMI6KyIn4aM9wIV42xvBB0sNg0AEAYYASABEgLgdPD_BwE" TargetMode="External"/><Relationship Id="rId121" Type="http://schemas.openxmlformats.org/officeDocument/2006/relationships/hyperlink" Target="https://produto.mercadolivre.com.br/MLB-800790586-ptv55-13-terminal-pino-13mm-am-fio-46mm-c-100-pcs-_JM?matt_tool=18956390&amp;utm_source=google_shopping&amp;utm_medium=organic" TargetMode="External"/><Relationship Id="rId142" Type="http://schemas.openxmlformats.org/officeDocument/2006/relationships/hyperlink" Target="https://www.magazineluiza.com.br/termostato-ambiente-1-estagio-1-velocidade-220v-10c-a-30c-brasiterm/p/cda49g73j9/cj/teit/" TargetMode="External"/><Relationship Id="rId163" Type="http://schemas.openxmlformats.org/officeDocument/2006/relationships/hyperlink" Target="https://www.samatec.com.br/tubo-capilar-031-refrigeracao-e-ar-condicionado--rolo-3m-/p" TargetMode="External"/><Relationship Id="rId184" Type="http://schemas.openxmlformats.org/officeDocument/2006/relationships/hyperlink" Target="https://www.submarino.com.br/produto/3555120786?epar=bp_pl_px_go_pmax_automoveis_geral_gmv&amp;opn=XMLGOOGLE&amp;WT.srch=1&amp;gclid=EAIaIQobChMIoMjQ69GT9wIVSEFIAB2bmwC8EAQYDSABEgL4HPD_BwE" TargetMode="External"/><Relationship Id="rId219" Type="http://schemas.openxmlformats.org/officeDocument/2006/relationships/hyperlink" Target="https://www.dufrio.com.br/capacitor-duplo-404mfd-de-metal-dugold-440v.html?utm_source=google&amp;utm_medium=shopping&amp;apwc=Y2FuYWxJbnRlZ3JhY2FvPTQ0N3xwcm9kdXRvPTc4MjE=&amp;gclid=EAIaIQobChMImJH-4oiU9wIVATKRCh3y4QMnEAQYASABEgIozfD_BwE" TargetMode="External"/><Relationship Id="rId230" Type="http://schemas.openxmlformats.org/officeDocument/2006/relationships/hyperlink" Target="https://www.refrigeracaocatavento.com.br/capacitor-duplo-60-5-380vac" TargetMode="External"/><Relationship Id="rId251" Type="http://schemas.openxmlformats.org/officeDocument/2006/relationships/hyperlink" Target="https://www.arican.com.br/correia-industrial-powerclassic-b27.html" TargetMode="External"/><Relationship Id="rId25" Type="http://schemas.openxmlformats.org/officeDocument/2006/relationships/hyperlink" Target="https://qualipecas.com.br/produtos/compressor-75-tr-220-60-3f-r22-copeland-zr81kctf5522-scroll/" TargetMode="External"/><Relationship Id="rId46" Type="http://schemas.openxmlformats.org/officeDocument/2006/relationships/hyperlink" Target="https://www.refritron.com.br/gas-r410a-eos-gas-liquefeito-11-34-kg" TargetMode="External"/><Relationship Id="rId67" Type="http://schemas.openxmlformats.org/officeDocument/2006/relationships/hyperlink" Target="https://www.refrigeracaocatavento.com.br/porca-flange-para-tubo-de-cobre-sae-38-latao" TargetMode="External"/><Relationship Id="rId272" Type="http://schemas.openxmlformats.org/officeDocument/2006/relationships/hyperlink" Target="https://www.americanas.com.br/produto/4728493338?opn=YSMESP&amp;srsltid=AWLEVJy8Gx1kL8XndiPY9w15UcGQvrNr8MRJIbhJRJqTGxa2bq4Kz4YN3tU" TargetMode="External"/><Relationship Id="rId293" Type="http://schemas.openxmlformats.org/officeDocument/2006/relationships/hyperlink" Target="https://www.americanas.com.br/produto/3513274162?epar=bp_pl_00_go_cc_pmax_geral&amp;opn=YSMESP&amp;WT.srch=1&amp;gclid=CjwKCAjwrqqSBhBbEiwAlQeqGk8lksetbDMozoRYMv4l5D_xRc2dGfV6No9mbp2pBUJRfHNciXsMIhoCBbEQAvD_BwE" TargetMode="External"/><Relationship Id="rId88" Type="http://schemas.openxmlformats.org/officeDocument/2006/relationships/hyperlink" Target="https://www.refritron.com.br/material-para-instalacao-e-manutencao-de-ar/tubos-de-cobre-e-conexoes/uniao-58-de-latao-flangeado" TargetMode="External"/><Relationship Id="rId111" Type="http://schemas.openxmlformats.org/officeDocument/2006/relationships/hyperlink" Target="https://www.ofertaeletrica.com.br/terminal-forquilha-amarelo-4-6mm2-f64-svs5-6-100pcs-penzel" TargetMode="External"/><Relationship Id="rId132" Type="http://schemas.openxmlformats.org/officeDocument/2006/relationships/hyperlink" Target="https://loja.eletronor.com.br/terminal-tubular-olhal-condutor-10mm-ref--a-1015-6---axt/p?idsku=812" TargetMode="External"/><Relationship Id="rId153" Type="http://schemas.openxmlformats.org/officeDocument/2006/relationships/hyperlink" Target="https://www.cirilopecas.com.br/pecas-ar-condicionado/capacitor-ar-condicionado-springer-2-5uf?parceiro=1114" TargetMode="External"/><Relationship Id="rId174" Type="http://schemas.openxmlformats.org/officeDocument/2006/relationships/hyperlink" Target="https://www.refritron.com.br/capilar-0-50-rolo-3m-laranja" TargetMode="External"/><Relationship Id="rId195" Type="http://schemas.openxmlformats.org/officeDocument/2006/relationships/hyperlink" Target="https://www.refrisol.com.br/pecas-e-acessorios/capacitor-ar-condicionado-50-mfd-cterminal-simples-380v-eos?parceiro=2010&amp;gclid=EAIaIQobChMI2aTdt-OT9wIVM0BIAB1Ydwf0EAQYASABEgI0vfD_BwE" TargetMode="External"/><Relationship Id="rId209" Type="http://schemas.openxmlformats.org/officeDocument/2006/relationships/hyperlink" Target="https://frioparcomercial.com.br/produto/capacitor-duplo-305-uf-380-vac/" TargetMode="External"/><Relationship Id="rId220" Type="http://schemas.openxmlformats.org/officeDocument/2006/relationships/hyperlink" Target="https://www.eletrofrigor.com.br/capacitor-duplo-40-5-mfd-440vac.html" TargetMode="External"/><Relationship Id="rId241" Type="http://schemas.openxmlformats.org/officeDocument/2006/relationships/hyperlink" Target="https://www.h3l.com.br/produto/contator-cwm40-11-30v26-190v-50hz220v-60hz-cod-10045432/4511454/?gclid=EAIaIQobChMIjY_L2aKU9wIVNG1vBB3xOQbgEAQYASABEgJrn_D_BwE" TargetMode="External"/><Relationship Id="rId15" Type="http://schemas.openxmlformats.org/officeDocument/2006/relationships/hyperlink" Target="https://www.leroymerlin.com.br/porta-grelha-10-x-10-inox-quadrada-100mm-clarinox_1567131316?gclid=EAIaIQobChMIlOapgL-C9wIVb09IAB0lyQg_EAMYASAAEgJ6fvD_BwE" TargetMode="External"/><Relationship Id="rId36" Type="http://schemas.openxmlformats.org/officeDocument/2006/relationships/hyperlink" Target="https://www.eletrofrigor.com.br/capacitor-35-mfd-380vac.html" TargetMode="External"/><Relationship Id="rId57" Type="http://schemas.openxmlformats.org/officeDocument/2006/relationships/hyperlink" Target="https://www.maqsoldas.com.br/produto/33102/cilindro-de-gas-mapp-400g-para-macarico-bernzomatic" TargetMode="External"/><Relationship Id="rId262" Type="http://schemas.openxmlformats.org/officeDocument/2006/relationships/hyperlink" Target="https://www.lojadomecanico.com.br/produto/129670/37/813/Correia-perfil-V-B-42-VONDER/153/?utm_source=googleshopping&amp;utm_campaign=xmlshopping&amp;utm_medium=cpc&amp;utm_content=129670&amp;gclid=EAIaIQobChMI4euH5a2U9wIVFEVIAB2bpwz-EAQYBCABEgK90PD_BwE" TargetMode="External"/><Relationship Id="rId283" Type="http://schemas.openxmlformats.org/officeDocument/2006/relationships/hyperlink" Target="https://www.ferramentaskennedy.com.br/100031148/correia-em-v-tipo-a-34-worker?utm_source=google&amp;utm_medium=cpc&amp;utm_campaign=google_shop&amp;gclid=EAIaIQobChMI5ZHm-6-U9wIVEeFcCh1ejwL1EAQYBCABEgICVfD_BwE" TargetMode="External"/><Relationship Id="rId78" Type="http://schemas.openxmlformats.org/officeDocument/2006/relationships/hyperlink" Target="https://www.megaar.com.br/produto/porca-34-a-78-sae-curta-latao.html" TargetMode="External"/><Relationship Id="rId99" Type="http://schemas.openxmlformats.org/officeDocument/2006/relationships/hyperlink" Target="https://www.dufrio.com.br/detergente-limpeza-zennith-para-ar-condicionado-1-litro.html?utm_source=google&amp;utm_medium=shopping&amp;apwc=Y2FuYWxJbnRlZ3JhY2FvPTQ0N3xwcm9kdXRvPTg5ODg=&amp;gclid=EAIaIQobChMIqIzis4aM9wIV60FIAB12mQMKEAQYASABEgJkz_D_BwE" TargetMode="External"/><Relationship Id="rId101" Type="http://schemas.openxmlformats.org/officeDocument/2006/relationships/hyperlink" Target="https://www.eletrofrigor.com.br/solda-foscoper-unidade-460mm-x-2-3-mm.html" TargetMode="External"/><Relationship Id="rId122" Type="http://schemas.openxmlformats.org/officeDocument/2006/relationships/hyperlink" Target="https://www.ofertaeletrica.com.br/terminal-pino-vermelho-10mm2-12mm-ptvs10-12-50pcs-penzel" TargetMode="External"/><Relationship Id="rId143" Type="http://schemas.openxmlformats.org/officeDocument/2006/relationships/hyperlink" Target="https://www.norterefrigeracao.com.br/termostato-robertshaw-para-ar-condicionado-consul-air-master-rc31601-2" TargetMode="External"/><Relationship Id="rId164" Type="http://schemas.openxmlformats.org/officeDocument/2006/relationships/hyperlink" Target="https://www.samatec.com.br/tubo-capilar-036-3m-para-refrigeracao/p" TargetMode="External"/><Relationship Id="rId185" Type="http://schemas.openxmlformats.org/officeDocument/2006/relationships/hyperlink" Target="https://www.virtualmoc.com.br/produtos/capacitor-de-partida-30-uf-mfd-440-vac-para-ventilacao-ar-condicionado-split-marca-eos-d31021/" TargetMode="External"/><Relationship Id="rId9" Type="http://schemas.openxmlformats.org/officeDocument/2006/relationships/hyperlink" Target="https://www.magazineluiza.com.br/grelha-inox-para-banheiro-quadrada-15x15cm-palacio-das-torneiras/p/akkfb3kafh/cj/hidr/" TargetMode="External"/><Relationship Id="rId210" Type="http://schemas.openxmlformats.org/officeDocument/2006/relationships/hyperlink" Target="https://www.refritron.com.br/capacitor-duplo-35-5-mfd-380v-cterminal-50x90?parceiro=7321" TargetMode="External"/><Relationship Id="rId26" Type="http://schemas.openxmlformats.org/officeDocument/2006/relationships/hyperlink" Target="https://www.eletrofrigor.com.br/compressor-120000-r22-220v-3f-10tr-scroll-sanyo-csc753h6k.html?gclid=CjwKCAjwrqqSBhBbEiwAlQeqGjt8T0Oxhq1SZXA82vbkF8resOWPFewv6kaAC28-VNyp8opUxkhNnxoCzBkQAvD_BwE" TargetMode="External"/><Relationship Id="rId231" Type="http://schemas.openxmlformats.org/officeDocument/2006/relationships/hyperlink" Target="https://www.refritron.com.br/pecas-para-ar-condicionado/capacitores/capacitor-duplo-60-5-mfd-380v-cterminal-eos-d150926" TargetMode="External"/><Relationship Id="rId252" Type="http://schemas.openxmlformats.org/officeDocument/2006/relationships/hyperlink" Target="https://www.magazineluiza.com.br/correia-b27-rexon/p/ca9kka73fc/au/crau/" TargetMode="External"/><Relationship Id="rId273" Type="http://schemas.openxmlformats.org/officeDocument/2006/relationships/hyperlink" Target="https://www.agribor.com.br/produto/correia-industrial-3v315-lisa-em-v-multibelt-71478?utm_source=&amp;utm_medium=&amp;utm_campaign=&amp;gclid=EAIaIQobChMI9eGEu66U9wIVSeZcCh22zQTVEAQYASABEgLFsfD_BwE" TargetMode="External"/><Relationship Id="rId294" Type="http://schemas.openxmlformats.org/officeDocument/2006/relationships/hyperlink" Target="https://www.oficinadosbits.com.br/cabo-de-rede-utp-patch-cord-rj45-cat-6-10-metros-vermelho-plus-cable-pc-eth6u100rd-p30471?&amp;utm_source=google&amp;utm_medium=cpc&amp;gclid=EAIaIQobChMIw%2D3mjZyC9wIV809IAB2C1QmqEAQYBiABEgIRhfD%5FBwE" TargetMode="External"/><Relationship Id="rId47" Type="http://schemas.openxmlformats.org/officeDocument/2006/relationships/hyperlink" Target="https://www.frigelar.com.br/gas-refrigerante-r134a-eos-cilindro-de-136kg/p/kit5119" TargetMode="External"/><Relationship Id="rId68" Type="http://schemas.openxmlformats.org/officeDocument/2006/relationships/hyperlink" Target="https://refrigeracao.suryha.com.br/produto/80170.008/porca-flangeada-latao-rosca-sae" TargetMode="External"/><Relationship Id="rId89" Type="http://schemas.openxmlformats.org/officeDocument/2006/relationships/hyperlink" Target="https://www.samatec.com.br/uniao-regular-1-4-sae/p" TargetMode="External"/><Relationship Id="rId112" Type="http://schemas.openxmlformats.org/officeDocument/2006/relationships/hyperlink" Target="https://www.portaleletrico.com.br/terminal-forquilha-isolado-40-60mm-m6-amarelo-embalagem-com-100-pecas-eletrokit-1010/p" TargetMode="External"/><Relationship Id="rId133" Type="http://schemas.openxmlformats.org/officeDocument/2006/relationships/hyperlink" Target="https://www.baudaeletronica.com.br/terminal-olhal-pre-isolado-10mm-m6-vermelho-a-1015-6.html" TargetMode="External"/><Relationship Id="rId154" Type="http://schemas.openxmlformats.org/officeDocument/2006/relationships/hyperlink" Target="https://www.comclick.com.br/capacitor-condensadora-cbb61-450v-4uf/5-diversos-ar-condicionado-klimasa?parceiro=4159" TargetMode="External"/><Relationship Id="rId175" Type="http://schemas.openxmlformats.org/officeDocument/2006/relationships/hyperlink" Target="https://ww2.eletrofrigor.com.br/mini-pressostato-cebolinha-de-alta-elgin-200400-psi-rosca-14-r22-pshp400200.html?gclid=EAIaIQobChMI9KLr98CT9wIVz0VIAB3-wQB2EAQYASABEgI81_D_BwE" TargetMode="External"/><Relationship Id="rId196" Type="http://schemas.openxmlformats.org/officeDocument/2006/relationships/hyperlink" Target="https://www.refrigas.com.br/capacitor-55-mfd-380v-suryha?parceiro=7259" TargetMode="External"/><Relationship Id="rId200" Type="http://schemas.openxmlformats.org/officeDocument/2006/relationships/hyperlink" Target="https://www.submarino.com.br/produto/51048775?epar=bp_pl_px_go_pmax_automoveis_geral_gmv&amp;opn=XMLGOOGLE&amp;WT.srch=1&amp;gclid=EAIaIQobChMI2rOlyuWT9wIVDSSRCh1wEgjgEAQYAiABEgIx_PD_BwE&amp;tamanho=U" TargetMode="External"/><Relationship Id="rId16" Type="http://schemas.openxmlformats.org/officeDocument/2006/relationships/hyperlink" Target="https://www.americanas.com.br/produto/4628088466" TargetMode="External"/><Relationship Id="rId221" Type="http://schemas.openxmlformats.org/officeDocument/2006/relationships/hyperlink" Target="https://www.refrigeracaocatavento.com.br/capacitor-duplo-40-5-440vac" TargetMode="External"/><Relationship Id="rId242" Type="http://schemas.openxmlformats.org/officeDocument/2006/relationships/hyperlink" Target="https://www.viewtech.ind.br/contator-weg-cwm-220vca-40a-1na-1nf-modular-cwm40-11-30v26" TargetMode="External"/><Relationship Id="rId263" Type="http://schemas.openxmlformats.org/officeDocument/2006/relationships/hyperlink" Target="https://www.elastobor.com.br/correia-em-v-rexon-modelo-b-44/p?idsku=122014023&amp;gclid=EAIaIQobChMI_e_Q_K2U9wIVQcORCh2lkgkvEAQYASABEgLIePD_BwE" TargetMode="External"/><Relationship Id="rId284" Type="http://schemas.openxmlformats.org/officeDocument/2006/relationships/hyperlink" Target="https://www.royalmaquinas.com.br/correia-industrial-a-38-nac.html?gclid=EAIaIQobChMIlpauk7CU9wIVDSSRCh1wEgjgEAQYAyABEgKp0_D_BwE" TargetMode="External"/><Relationship Id="rId37" Type="http://schemas.openxmlformats.org/officeDocument/2006/relationships/hyperlink" Target="https://www.totalar.net/produtos/capacitor-35-mfd-380v-440v-20627/" TargetMode="External"/><Relationship Id="rId58" Type="http://schemas.openxmlformats.org/officeDocument/2006/relationships/hyperlink" Target="https://www.zigferramentas.com.br/none-15421446?utm_source=Site&amp;utm_medium=GoogleMerchant&amp;utm_campaign=GoogleMerchant" TargetMode="External"/><Relationship Id="rId79" Type="http://schemas.openxmlformats.org/officeDocument/2006/relationships/hyperlink" Target="https://www.webinstalar.com.br/porca-7-8-tipo-ouro" TargetMode="External"/><Relationship Id="rId102" Type="http://schemas.openxmlformats.org/officeDocument/2006/relationships/hyperlink" Target="https://www.distriar.com.br/materiais-para-instalacao/solda-foscoper-unidade-vareta-460mm-x-2-3-mm" TargetMode="External"/><Relationship Id="rId123" Type="http://schemas.openxmlformats.org/officeDocument/2006/relationships/hyperlink" Target="https://produto.mercadolivre.com.br/MLB-1049591528-terminal-pino-vermelho-10mm-12mm-ptvs10-12-50-pcs-penzel-_JM" TargetMode="External"/><Relationship Id="rId144" Type="http://schemas.openxmlformats.org/officeDocument/2006/relationships/hyperlink" Target="https://www.casarefriar.com.br/MLB-1164009639-termostato-ar-condicionado-consul-7000-a-21000-btus-_JM" TargetMode="External"/><Relationship Id="rId90" Type="http://schemas.openxmlformats.org/officeDocument/2006/relationships/hyperlink" Target="https://www.samatec.com.br/uniao-regular-1-2-sae/p" TargetMode="External"/><Relationship Id="rId165" Type="http://schemas.openxmlformats.org/officeDocument/2006/relationships/hyperlink" Target="https://www.samatec.com.br/tubo-capilar-042-3-m/p" TargetMode="External"/><Relationship Id="rId186" Type="http://schemas.openxmlformats.org/officeDocument/2006/relationships/hyperlink" Target="https://www.gelatudo.com.br/produto/1236.html" TargetMode="External"/><Relationship Id="rId211" Type="http://schemas.openxmlformats.org/officeDocument/2006/relationships/hyperlink" Target="https://www.dufrio.com.br/capacitor-duplo-354mfd-de-metal-dugold-440v.html?utm_source=google&amp;utm_medium=shopping&amp;apwc=Y2FuYWxJbnRlZ3JhY2FvPTQ0N3xwcm9kdXRvPTc4MTY=" TargetMode="External"/><Relationship Id="rId232" Type="http://schemas.openxmlformats.org/officeDocument/2006/relationships/hyperlink" Target="http://www.lojaeletrica.com.br/contator-9a-1na-220v-cwm9-10--weg,product,2200303750017,dept,0.aspx" TargetMode="External"/><Relationship Id="rId253" Type="http://schemas.openxmlformats.org/officeDocument/2006/relationships/hyperlink" Target="https://www.elastobor.com.br/correia-em-v-rexon-modelo-b-27/p?idsku=122014014&amp;gclid=EAIaIQobChMI0cmVhq2U9wIVMeVcCh0ksgsQEAQYBiABEgLOSvD_BwE" TargetMode="External"/><Relationship Id="rId274" Type="http://schemas.openxmlformats.org/officeDocument/2006/relationships/hyperlink" Target="https://produto.mercadolivre.com.br/MLB-1768545645-correia-3v-315-industrial-em-v-vicson-motor-maquina-polia-_JM?matt_tool=18956390&amp;utm_source=google_shopping&amp;utm_medium=organic" TargetMode="External"/><Relationship Id="rId295" Type="http://schemas.openxmlformats.org/officeDocument/2006/relationships/hyperlink" Target="https://www.kabum.com.br/produto/231072/cabo-de-rede-utp-patch-cord-rj45-cat-6-10-metros-azul-plua-cable-pc-eth6u100bl?gclid=EAIaIQobChMI5Iui1ZyC9wIVDiSRCh3SVQwwEAQYByABEgIb0PD_BwE" TargetMode="External"/><Relationship Id="rId27" Type="http://schemas.openxmlformats.org/officeDocument/2006/relationships/hyperlink" Target="https://www.friopecas.com.br/compressor-scroll-panasonic-10-5tr-r22-3f-csc753h6h-220-volts/p" TargetMode="External"/><Relationship Id="rId48" Type="http://schemas.openxmlformats.org/officeDocument/2006/relationships/hyperlink" Target="https://bomarcondicionado.com.br/gas-r134a-136kg-eos?gclid=EAIaIQobChMIysyW25OF9wIVMRXUAR1pRAkeEAQYAyABEgK0G_D_BwE" TargetMode="External"/><Relationship Id="rId69" Type="http://schemas.openxmlformats.org/officeDocument/2006/relationships/hyperlink" Target="https://www.eletrofrigor.com.br/porca-flange-12-sae-latao-usinada.html" TargetMode="External"/><Relationship Id="rId113" Type="http://schemas.openxmlformats.org/officeDocument/2006/relationships/hyperlink" Target="https://www.viewtech.ind.br/terminal-forquilha-vermelho-sv-8-8-para-cabo-10mm-dezena" TargetMode="External"/><Relationship Id="rId134" Type="http://schemas.openxmlformats.org/officeDocument/2006/relationships/hyperlink" Target="https://www.disbrar.com.br/MLB-943012745-termostato-rc-80810-2-42303027-_JM" TargetMode="External"/><Relationship Id="rId80" Type="http://schemas.openxmlformats.org/officeDocument/2006/relationships/hyperlink" Target="https://refrigeracao.suryha.com.br/produto/80170.010/uniao-regular-flangeada-latao-rosca-sae" TargetMode="External"/><Relationship Id="rId155" Type="http://schemas.openxmlformats.org/officeDocument/2006/relationships/hyperlink" Target="https://produto.mercadolivre.com.br/MLB-2171941549-capacitor-ventilador-ar-condicionado-partida-4uf-440v-_JM?matt_tool=18956390&amp;utm_source=google_shopping&amp;utm_medium=organic" TargetMode="External"/><Relationship Id="rId176" Type="http://schemas.openxmlformats.org/officeDocument/2006/relationships/hyperlink" Target="https://www.chillerpecas.com.br/produtos/pressostato-de-alta-200-400-psi-1-4-cebolinha-elgin/?pf=gs&amp;gclid=EAIaIQobChMIwPXwp8CT9wIVVEJIAB3DjgPoEAQYByABEgKS3vD_BwE" TargetMode="External"/><Relationship Id="rId197" Type="http://schemas.openxmlformats.org/officeDocument/2006/relationships/hyperlink" Target="https://www.submarino.com.br/produto/1751301040?epar=bp_pl_px_go_pmax_automoveis_geral_gmv&amp;opn=XMLGOOGLE&amp;WT.srch=1&amp;gclid=EAIaIQobChMI9_-h-uOT9wIV8-BcCh1aTQxSEAQYASABEgLgLPD_BwE" TargetMode="External"/><Relationship Id="rId201" Type="http://schemas.openxmlformats.org/officeDocument/2006/relationships/hyperlink" Target="https://produto.mercadolivre.com.br/MLB-1953787459-capacitor-60-mfd-380v-cterminal-50x120-80151041-_JM?matt_tool=18956390&amp;utm_source=google_shopping&amp;utm_medium=organic" TargetMode="External"/><Relationship Id="rId222" Type="http://schemas.openxmlformats.org/officeDocument/2006/relationships/hyperlink" Target="https://www.refritron.com.br/capacitor-duplo-40-5-mfd-440v-cterminal-50x100" TargetMode="External"/><Relationship Id="rId243" Type="http://schemas.openxmlformats.org/officeDocument/2006/relationships/hyperlink" Target="https://www.h3l.com.br/produto/contator-cwm50-11-30v26-190v-50hz220v-60hz-cod-10045435/4511483/?gclid=EAIaIQobChMIhI6cnaOU9wIVIuxcCh3DBA7bEAQYASABEgJMZ_D_BwE" TargetMode="External"/><Relationship Id="rId264" Type="http://schemas.openxmlformats.org/officeDocument/2006/relationships/hyperlink" Target="https://www.ferramentaskennedy.com.br/100032024/correia-em-v-tipo-b-44-worker?utm_source=google&amp;utm_medium=cpc&amp;utm_campaign=google_shop&amp;gclid=EAIaIQobChMI_e_Q_K2U9wIVQcORCh2lkgkvEAQYAiABEgInyfD_BwE" TargetMode="External"/><Relationship Id="rId285" Type="http://schemas.openxmlformats.org/officeDocument/2006/relationships/hyperlink" Target="https://www.arbrasilrefrigeracao.com.br/correia-a-38-167746?parceiro=9027&amp;parceiro=4124&amp;gclid=EAIaIQobChMIlpauk7CU9wIVDSSRCh1wEgjgEAQYBCABEgJmCvD_BwE" TargetMode="External"/><Relationship Id="rId17" Type="http://schemas.openxmlformats.org/officeDocument/2006/relationships/hyperlink" Target="https://www.friopecas.com.br/compressor-rotativo-tecumseh-1200-btuh-monofasico-rga5512exd-220-volts/p?idsku=118920&amp;gclid=EAIaIQobChMIsLeExtSC9wIVsUFIAB12wQj9EAQYAiABEgIBp_D_BwE" TargetMode="External"/><Relationship Id="rId38" Type="http://schemas.openxmlformats.org/officeDocument/2006/relationships/hyperlink" Target="https://www.refritron.com.br/capacitor-10-mfd-380v-cterminal-40x60" TargetMode="External"/><Relationship Id="rId59" Type="http://schemas.openxmlformats.org/officeDocument/2006/relationships/hyperlink" Target="https://www.refrigeracaocatavento.com.br/cilindro-de-gas-oxigenio-930-ml-136g-para-turbo-set" TargetMode="External"/><Relationship Id="rId103" Type="http://schemas.openxmlformats.org/officeDocument/2006/relationships/hyperlink" Target="https://www.magazineluiza.com.br/solda-foscoper-unidade-vareta-460mm-x-23-mm-brasil-soldas/p/jcj4g146c4/fs/exps/" TargetMode="External"/><Relationship Id="rId124" Type="http://schemas.openxmlformats.org/officeDocument/2006/relationships/hyperlink" Target="https://shopee.com.br/Terminal-Pino-Vermelho-10MM%C2%B2-12MM-PTVS10-12-50Pcs---PENZEL-i.294870083.11826737437" TargetMode="External"/><Relationship Id="rId70" Type="http://schemas.openxmlformats.org/officeDocument/2006/relationships/hyperlink" Target="https://www.refrigeracaocatavento.com.br/ferramentas-de-refrigeracao/porca-flange-12-para-tubo-de-cobre-sae" TargetMode="External"/><Relationship Id="rId91" Type="http://schemas.openxmlformats.org/officeDocument/2006/relationships/hyperlink" Target="https://www.samatec.com.br/uniao-regular-3-sae/p" TargetMode="External"/><Relationship Id="rId145" Type="http://schemas.openxmlformats.org/officeDocument/2006/relationships/hyperlink" Target="https://www.magazineluiza.com.br/termostato-ar-condicionado-consul-7-000-21-000-btu-h-quente-robertshaw/p/gje7d35he2/rc/rcnm/" TargetMode="External"/><Relationship Id="rId166" Type="http://schemas.openxmlformats.org/officeDocument/2006/relationships/hyperlink" Target="https://www.samatec.com.br/tubo-capilar-050-3m/p" TargetMode="External"/><Relationship Id="rId187" Type="http://schemas.openxmlformats.org/officeDocument/2006/relationships/hyperlink" Target="https://www.dufrio.com.br/capacitor-40mfd-metal-dugold-440v.html?utm_source=google&amp;utm_medium=shopping&amp;apwc=Y2FuYWxJbnRlZ3JhY2FvPTQ0N3xwcm9kdXRvPTUzMDM=&amp;gclid=EAIaIQobChMIu4qMxtiT9wIVYk9IAB1MdwDkEAQYCSABEgK1tfD_BwE" TargetMode="External"/><Relationship Id="rId1" Type="http://schemas.openxmlformats.org/officeDocument/2006/relationships/hyperlink" Target="https://www.magazineluiza.com.br/carrapeta-universal-c-vedante-155mm-un-060514-blukit/p/egeg02kabj/au/olca/?&amp;seller_id=repareonline" TargetMode="External"/><Relationship Id="rId212" Type="http://schemas.openxmlformats.org/officeDocument/2006/relationships/hyperlink" Target="https://www.eletrofrigor.com.br/capacitor-duplo-35-4-mfd-440vac.html" TargetMode="External"/><Relationship Id="rId233" Type="http://schemas.openxmlformats.org/officeDocument/2006/relationships/hyperlink" Target="https://loja.astheck.com.br/contator-cwm9-10-30v26" TargetMode="External"/><Relationship Id="rId254" Type="http://schemas.openxmlformats.org/officeDocument/2006/relationships/hyperlink" Target="https://www.elastobor.com.br/correia-em-v-rexon-modelo-b-35/p?idsku=122014011&amp;gclid=EAIaIQobChMIuZyWqq2U9wIVkUJIAB0N8QBTEAQYASABEgIyR_D_BwE" TargetMode="External"/><Relationship Id="rId28" Type="http://schemas.openxmlformats.org/officeDocument/2006/relationships/hyperlink" Target="https://qualipecas.com.br/produtos/compressor-10-tr-220-60-3f-r22-panasonic-csc753h6k/" TargetMode="External"/><Relationship Id="rId49" Type="http://schemas.openxmlformats.org/officeDocument/2006/relationships/hyperlink" Target="https://www.submarino.com.br/produto/4529866226?epar=bp_pl_px_go_pmax_arcondicionado_geral_gmv&amp;opn=XMLGOOGLE&amp;WT.srch=1&amp;gclid=EAIaIQobChMIysyW25OF9wIVMRXUAR1pRAkeEAQYASABEgJRivD_BwE" TargetMode="External"/><Relationship Id="rId114" Type="http://schemas.openxmlformats.org/officeDocument/2006/relationships/hyperlink" Target="https://produto.mercadolivre.com.br/MLB-1226785997-terminal-forquilha-vermelho-sv-8-8-para-cabo-10mm-_JM" TargetMode="External"/><Relationship Id="rId275" Type="http://schemas.openxmlformats.org/officeDocument/2006/relationships/hyperlink" Target="https://www.agribor.com.br/produto/correia-industrial-a27-lisa-em-v-multibelt-71505?utm_source=&amp;utm_medium=&amp;utm_campaign=&amp;gclid=EAIaIQobChMIyd2Vwa-U9wIVTEFIAB0WvwTnEAQYASABEgIcP_D_BwE" TargetMode="External"/><Relationship Id="rId296" Type="http://schemas.openxmlformats.org/officeDocument/2006/relationships/hyperlink" Target="https://www.leroymerlin.com.br/cabo-de-rede-cat-6-10m-pc-eth6u100bl-azul-patch-cord-plus-cable_1568024412" TargetMode="External"/><Relationship Id="rId300" Type="http://schemas.openxmlformats.org/officeDocument/2006/relationships/hyperlink" Target="https://www.leroymerlin.com.br/canaleta-20x12-2metros-com-divisoria-com-adesivo-sistema-x-pial-legrand_89325362?store_code=28&amp;gclid=EAIaIQobChMI9MP0ufmB9wIVX3xvBB2HawMoEAQYAyABEgKyjvD_BwE" TargetMode="External"/><Relationship Id="rId60" Type="http://schemas.openxmlformats.org/officeDocument/2006/relationships/hyperlink" Target="https://www.magazineluiza.com.br/cilindro-de-gas-oxigenio-930-ml-136-g-para-turbo-set-un1072-oxyturbo/p/kffh37a1d3/cp/eamh/" TargetMode="External"/><Relationship Id="rId81" Type="http://schemas.openxmlformats.org/officeDocument/2006/relationships/hyperlink" Target="https://refrigeracao.suryha.com.br/produto/80170.011/uniao-regular-flangeada-latao-rosca-sae" TargetMode="External"/><Relationship Id="rId135" Type="http://schemas.openxmlformats.org/officeDocument/2006/relationships/hyperlink" Target="https://posfrio.mercadoshops.com.br/MLB-1679988271-termostato-ar-de-janela-mideaspringer-42303027-rc-80810-2p-_JM" TargetMode="External"/><Relationship Id="rId156" Type="http://schemas.openxmlformats.org/officeDocument/2006/relationships/hyperlink" Target="https://www.americanas.com.br/produto/1537449692?epar=bp_pl_00_go_aa_pmax_geral&amp;opn=YSMESP&amp;WT.srch=1&amp;gclid=EAIaIQobChMI8paw5M6R9wIVDDGRCh2ggA-sEAQYAyABEgK-OfD_BwE&amp;cor=Klimasa&amp;voltagem=Klimasa" TargetMode="External"/><Relationship Id="rId177" Type="http://schemas.openxmlformats.org/officeDocument/2006/relationships/hyperlink" Target="https://www.refrigas.com.br/pressostato-cartucho-alta-400200-psi-elgin?parceiro=7259&amp;gclid=EAIaIQobChMI9KLr98CT9wIVz0VIAB3-wQB2EAQYAyABEgK7dfD_BwE" TargetMode="External"/><Relationship Id="rId198" Type="http://schemas.openxmlformats.org/officeDocument/2006/relationships/hyperlink" Target="https://www.madeiramadeira.com.br/capacitor-55-mfd-380v-50-60hz-1915237.html?seller=2438" TargetMode="External"/><Relationship Id="rId202" Type="http://schemas.openxmlformats.org/officeDocument/2006/relationships/hyperlink" Target="https://www.ecpvendas.com.br/capacitores/capacitor-duplo-25-2-5uf-450vac-p2-midea-springer-carrier-admiral-05706079?parceiro=1981" TargetMode="External"/><Relationship Id="rId223" Type="http://schemas.openxmlformats.org/officeDocument/2006/relationships/hyperlink" Target="https://www.refrigeracaocatavento.com.br/capacitor-de-partida-duplo-45-5uf-380-vac-tipi" TargetMode="External"/><Relationship Id="rId244" Type="http://schemas.openxmlformats.org/officeDocument/2006/relationships/hyperlink" Target="https://www.viewtech.ind.br/contator-weg-cwm-220vca-50a-1na-1nf-modular-cwm50-11-30v26" TargetMode="External"/><Relationship Id="rId18" Type="http://schemas.openxmlformats.org/officeDocument/2006/relationships/hyperlink" Target="https://www.americanas.com.br/produto/4646692245?epar=bp_pl_00_go_cc_pmax_geral&amp;opn=YSMESP&amp;WT.srch=1&amp;gclid=EAIaIQobChMIsLeExtSC9wIVsUFIAB12wQj9EAQYBSABEgJ1wPD_BwE" TargetMode="External"/><Relationship Id="rId39" Type="http://schemas.openxmlformats.org/officeDocument/2006/relationships/hyperlink" Target="https://www.frigelar.com.br/capacitor-simples-10-mfd-380v-com-terminal-40mm-x-60mm-corpo-aluminio/p/kit5028" TargetMode="External"/><Relationship Id="rId265" Type="http://schemas.openxmlformats.org/officeDocument/2006/relationships/hyperlink" Target="https://www.royalmaquinas.com.br/correia-industrial-b-44-nac.html?gclid=EAIaIQobChMI_e_Q_K2U9wIVQcORCh2lkgkvEAQYBCABEgK-hvD_BwE" TargetMode="External"/><Relationship Id="rId286" Type="http://schemas.openxmlformats.org/officeDocument/2006/relationships/hyperlink" Target="https://www.ferramentaskennedy.com.br/100031312/correia-em-v-tipo-a-38-worker?utm_source=google&amp;utm_medium=cpc&amp;utm_campaign=google_shop&amp;gclid=EAIaIQobChMIlpauk7CU9wIVDSSRCh1wEgjgEAQYAiABEgK-lvD_BwE" TargetMode="External"/><Relationship Id="rId50" Type="http://schemas.openxmlformats.org/officeDocument/2006/relationships/hyperlink" Target="https://www.dufrio.com.br/fluido-refrigerante-dugold-diclorofluoretano-r141b-136kg-onu1078.html" TargetMode="External"/><Relationship Id="rId104" Type="http://schemas.openxmlformats.org/officeDocument/2006/relationships/hyperlink" Target="https://www.samatec.com.br/solda-foscoper-1-unidade/p?idsku=2003362&amp;gclid=EAIaIQobChMIr-njwpaM9wIVQuZcCh1_8AxXEAQYASABEgKtVfD_BwE" TargetMode="External"/><Relationship Id="rId125" Type="http://schemas.openxmlformats.org/officeDocument/2006/relationships/hyperlink" Target="https://www.viewtech.ind.br/terminal-olhal-azul-para-fios-2-5mm-100-pecas-rvs2-5" TargetMode="External"/><Relationship Id="rId146" Type="http://schemas.openxmlformats.org/officeDocument/2006/relationships/hyperlink" Target="https://www.eletrofrigor.com.br/termostato-ambiente-1-estagio-1-velocidade-tvcpi101-220v-sce.html" TargetMode="External"/><Relationship Id="rId167" Type="http://schemas.openxmlformats.org/officeDocument/2006/relationships/hyperlink" Target="https://www.refrigas.com.br/capilar-0-31-rolo-3m" TargetMode="External"/><Relationship Id="rId188" Type="http://schemas.openxmlformats.org/officeDocument/2006/relationships/hyperlink" Target="https://produto.mercadolivre.com.br/MLB-2023595792-capacitor-simples-40-440vac-_JM?matt_tool=18956390&amp;utm_source=google_shopping&amp;utm_medium=organic" TargetMode="External"/><Relationship Id="rId71" Type="http://schemas.openxmlformats.org/officeDocument/2006/relationships/hyperlink" Target="https://refrigeracao.suryha.com.br/produto/80170.009/porca-flangeada-latao-rosca-sae" TargetMode="External"/><Relationship Id="rId92" Type="http://schemas.openxmlformats.org/officeDocument/2006/relationships/hyperlink" Target="https://www.hidro.eco.br/latao-rr-niple-duplo?utm_source=Site&amp;utm_medium=GoogleMerchant&amp;utm_campaign=GoogleMerchant&amp;sku=HCRND12&amp;gclid=EAIaIQobChMInp2L8veL9wIVAu6RCh1w3AAjEAQYASABEgJAV_D_BwE" TargetMode="External"/><Relationship Id="rId213" Type="http://schemas.openxmlformats.org/officeDocument/2006/relationships/hyperlink" Target="https://www.pontodaeletronica.com.br/capacitor-polipropileno-duplo-35-4uf-x-440v-50-60hz-cbb65-tk.html?gclid=EAIaIQobChMI0Oy_jIiU9wIVBj-RCh0SqwKXEAQYCCABEgIfFfD_BwE" TargetMode="External"/><Relationship Id="rId234" Type="http://schemas.openxmlformats.org/officeDocument/2006/relationships/hyperlink" Target="https://www.submarino.com.br/produto/4032478631?epar=bp_pl_px_go_pmax_casaeconstrucao_geral_gmv&amp;opn=XMLGOOGLE&amp;WT.srch=1&amp;gclid=EAIaIQobChMIv4-9iZ-U9wIVPUFIAB3nhQy1EAQYAiABEgKUBvD_BwE" TargetMode="External"/><Relationship Id="rId2" Type="http://schemas.openxmlformats.org/officeDocument/2006/relationships/hyperlink" Target="https://www.casasbahia.com.br/vedante-nitrilico-carrapeta-para-reparo-registro-chuveiro-155mm-blukit-1530816631/p/1530816631?utm_medium=Cpc&amp;utm_source=google_freelisting&amp;IdSku=1530816631&amp;idLojista=86025&amp;tipoLojista=3P" TargetMode="External"/><Relationship Id="rId29" Type="http://schemas.openxmlformats.org/officeDocument/2006/relationships/hyperlink" Target="https://www.eletrofrigor.com.br/capacitor-duplo-17-2-5-mfd-450vac-4164.html" TargetMode="External"/><Relationship Id="rId255" Type="http://schemas.openxmlformats.org/officeDocument/2006/relationships/hyperlink" Target="https://www.royalmaquinas.com.br/correia-industrial-b-35-nac.html?gclid=EAIaIQobChMIuZyWqq2U9wIVkUJIAB0N8QBTEAQYAyABEgKp8fD_BwE" TargetMode="External"/><Relationship Id="rId276" Type="http://schemas.openxmlformats.org/officeDocument/2006/relationships/hyperlink" Target="https://www.elastobor.com.br/correia-em-v-rexon-modelo-a-27/p?idsku=122013021&amp;gclid=EAIaIQobChMIyd2Vwa-U9wIVTEFIAB0WvwTnEAQYBCABEgJQffD_BwE" TargetMode="External"/><Relationship Id="rId297" Type="http://schemas.openxmlformats.org/officeDocument/2006/relationships/hyperlink" Target="http://www.lojaeletrica.com.br/tomada-sistema-x-2pt-20a-250v-nbr14136-675061-pial,product,2321002800770,dept,0.aspx" TargetMode="External"/><Relationship Id="rId40" Type="http://schemas.openxmlformats.org/officeDocument/2006/relationships/hyperlink" Target="https://www.uniparts.com.br/capacitor-10uf-mfd-380v-com-terminal-40x60-corpo-aluminio" TargetMode="External"/><Relationship Id="rId115" Type="http://schemas.openxmlformats.org/officeDocument/2006/relationships/hyperlink" Target="https://produto.mercadolivre.com.br/MLB-1419855437-kit-100-terminais-forquilha-isolado-vermelho-m5-10mm-_JM" TargetMode="External"/><Relationship Id="rId136" Type="http://schemas.openxmlformats.org/officeDocument/2006/relationships/hyperlink" Target="https://produto.mercadolivre.com.br/MLB-943012745-termostato-rc-80810-2-42303027-_JM" TargetMode="External"/><Relationship Id="rId157" Type="http://schemas.openxmlformats.org/officeDocument/2006/relationships/hyperlink" Target="https://www.ecpvendas.com.br/capacitor-motor-ventilador-cbb611a-8uf-450vac-33010014-gree?parceiro=1981" TargetMode="External"/><Relationship Id="rId178" Type="http://schemas.openxmlformats.org/officeDocument/2006/relationships/hyperlink" Target="https://www.eletrofrigor.com.br/mini-pressostato-cebolinha-de-baixa-1946-psi-r22-rosca.html" TargetMode="External"/><Relationship Id="rId301" Type="http://schemas.openxmlformats.org/officeDocument/2006/relationships/hyperlink" Target="http://www.lojaeletrica.com.br/canaleta-sistema-x-sem-divisoria-com-adesivo-20x12x2m-30802adx---legrand,product,2321002800282,dept,0.aspx" TargetMode="External"/><Relationship Id="rId61" Type="http://schemas.openxmlformats.org/officeDocument/2006/relationships/hyperlink" Target="https://www.refricenter.com.br/linha-da-gases/gas-oxigenio-comprimido-oxygen-930ml-136g-oxyturbo" TargetMode="External"/><Relationship Id="rId82" Type="http://schemas.openxmlformats.org/officeDocument/2006/relationships/hyperlink" Target="https://refrigeracao.suryha.com.br/produto/80170.012/uniao-regular-flangeada-latao-rosca-sae" TargetMode="External"/><Relationship Id="rId199" Type="http://schemas.openxmlformats.org/officeDocument/2006/relationships/hyperlink" Target="https://www.refrisol.com.br/pecas-e-acessorios/capacitor-ar-condicionado-60-mfd-cterminal-simples-380v-eos?parceiro=2010&amp;gclid=EAIaIQobChMI2rOlyuWT9wIVDSSRCh1wEgjgEAQYASABEgJfu_D_BwE" TargetMode="External"/><Relationship Id="rId203" Type="http://schemas.openxmlformats.org/officeDocument/2006/relationships/hyperlink" Target="https://www.refrigeracaocatavento.com.br/capacitor-duplo-25-2-5uf-440vac?parceiro=6374" TargetMode="External"/><Relationship Id="rId19" Type="http://schemas.openxmlformats.org/officeDocument/2006/relationships/hyperlink" Target="https://www.eletrofrigor.com.br/compressor-12000-r22-220v-rotativo-tecumseh-rga5512exd.html?gclid=EAIaIQobChMIs5j1idCC9wIVM3NvBB3plQXCEAYYAiABEgL8xPD_BwE" TargetMode="External"/><Relationship Id="rId224" Type="http://schemas.openxmlformats.org/officeDocument/2006/relationships/hyperlink" Target="https://www.refritron.com.br/capacitor-duplo-45-5-mfd-380v-cterminal-60x100" TargetMode="External"/><Relationship Id="rId245" Type="http://schemas.openxmlformats.org/officeDocument/2006/relationships/hyperlink" Target="https://www.eletrofrigor.com.br/correia-b32-goodyear.html" TargetMode="External"/><Relationship Id="rId266" Type="http://schemas.openxmlformats.org/officeDocument/2006/relationships/hyperlink" Target="https://www.elastobor.com.br/correia-em-v-rexon-modelo-b-46/p?idsku=122014025&amp;gclid=EAIaIQobChMIlvm3la6U9wIVy09IAB0SuwQ7EAQYASABEgJpm_D_BwE" TargetMode="External"/><Relationship Id="rId287" Type="http://schemas.openxmlformats.org/officeDocument/2006/relationships/hyperlink" Target="https://www.riopretoar.com.br/index.php/plug-fusivel-3-8-70-77-g-seguranca-rosca-5-8.html" TargetMode="External"/><Relationship Id="rId30" Type="http://schemas.openxmlformats.org/officeDocument/2006/relationships/hyperlink" Target="https://www.totalar.net/produtos/capacitor-1725uf-450vac-05706078/" TargetMode="External"/><Relationship Id="rId105" Type="http://schemas.openxmlformats.org/officeDocument/2006/relationships/hyperlink" Target="https://www.gelatudo.com.br/produto/1082.html?gclid=EAIaIQobChMIr-njwpaM9wIVQuZcCh1_8AxXEAQYAiABEgLkVfD_BwE" TargetMode="External"/><Relationship Id="rId126" Type="http://schemas.openxmlformats.org/officeDocument/2006/relationships/hyperlink" Target="https://www.ofertaeletrica.com.br/terminal-olhal-pre-isolado-azul-25mm2-furo-o5-m5-100-pcs-mceig" TargetMode="External"/><Relationship Id="rId147" Type="http://schemas.openxmlformats.org/officeDocument/2006/relationships/hyperlink" Target="https://www.totalar.net/produtos/termostato-amb-sce-tvc-pi-1-01-24v-1est-on-off-1vel-20185/?pf=gs" TargetMode="External"/><Relationship Id="rId168" Type="http://schemas.openxmlformats.org/officeDocument/2006/relationships/hyperlink" Target="https://www.refrigas.com.br/capilar-0-36-rolo-3m" TargetMode="External"/><Relationship Id="rId51" Type="http://schemas.openxmlformats.org/officeDocument/2006/relationships/hyperlink" Target="https://www.refritron.com.br/gas-refrigerante/gas-botija-r141b-13-6kg-dugold" TargetMode="External"/><Relationship Id="rId72" Type="http://schemas.openxmlformats.org/officeDocument/2006/relationships/hyperlink" Target="https://www.eletrofrigor.com.br/porca-flange-58-sae-latao-usinada.html" TargetMode="External"/><Relationship Id="rId93" Type="http://schemas.openxmlformats.org/officeDocument/2006/relationships/hyperlink" Target="https://www.eletrofrigor.com.br/uniao-latao-58-sae.html" TargetMode="External"/><Relationship Id="rId189" Type="http://schemas.openxmlformats.org/officeDocument/2006/relationships/hyperlink" Target="https://www.virtualmoc.com.br/produtos/capacitor-cbb65-40-uf-mfd-440-vac-marca-eos-para-ar-condicionado-split-ventilacao-d31023/" TargetMode="External"/><Relationship Id="rId3" Type="http://schemas.openxmlformats.org/officeDocument/2006/relationships/hyperlink" Target="https://www.pontofrio.com.br/vedante-nitrilico-carrapeta-para-reparo-registro-chuveiro-155mm-blukit-1530816631/p/1530816631?utm_medium=cpc&amp;utm_source=google_freelisting&amp;IdSku=1530816631&amp;idLojista=86025&amp;tipoLojista=3P" TargetMode="External"/><Relationship Id="rId214" Type="http://schemas.openxmlformats.org/officeDocument/2006/relationships/hyperlink" Target="https://www.pontodaeletronica.com.br/capacitor-polipropileno-duplo-35-5uf-x-440vac-50-60hz-cbb65-tk.html?gclid=EAIaIQobChMImfLSv4iU9wIVGjSRCh2zQAv-EAQYASABEgLUG_D_BwE" TargetMode="External"/><Relationship Id="rId235" Type="http://schemas.openxmlformats.org/officeDocument/2006/relationships/hyperlink" Target="https://www.anhangueraferramentas.com.br/Produto/contator-tripolar-25a-220v-1na-cwm25-10-30-v26-weg-108166" TargetMode="External"/><Relationship Id="rId256" Type="http://schemas.openxmlformats.org/officeDocument/2006/relationships/hyperlink" Target="https://www.ferramentaskennedy.com.br/100032015/correia-em-v-tipo-b-35-worker?utm_source=google&amp;utm_medium=cpc&amp;utm_campaign=google_shop&amp;gclid=EAIaIQobChMIuZyWqq2U9wIVkUJIAB0N8QBTEAQYBCABEgL9wfD_BwE" TargetMode="External"/><Relationship Id="rId277" Type="http://schemas.openxmlformats.org/officeDocument/2006/relationships/hyperlink" Target="https://www.royalmaquinas.com.br/correia-industrial-a-27-nac.html?gclid=EAIaIQobChMIyd2Vwa-U9wIVTEFIAB0WvwTnEAQYAyABEgJgefD_BwE" TargetMode="External"/><Relationship Id="rId298" Type="http://schemas.openxmlformats.org/officeDocument/2006/relationships/hyperlink" Target="https://www.leroymerlin.com.br/conjunto-tomada-de-energia-20a-sistema-x-branca-pial-legrand_87696854" TargetMode="External"/><Relationship Id="rId116" Type="http://schemas.openxmlformats.org/officeDocument/2006/relationships/hyperlink" Target="https://www.viewtech.ind.br/terminal-pino-azul-para-cabo-2-5mm-ptv-2-12-100un" TargetMode="External"/><Relationship Id="rId137" Type="http://schemas.openxmlformats.org/officeDocument/2006/relationships/hyperlink" Target="https://www.refritron.com.br/refrigeracao-comercial/termostato/termostato-ambiente-eletronico-tvcpi102-220v-2-estagios-e-1-velocidade-sce?parceiro=7321" TargetMode="External"/><Relationship Id="rId158" Type="http://schemas.openxmlformats.org/officeDocument/2006/relationships/hyperlink" Target="https://www.americanas.com.br/produto/4807142456?opn=YSMESP&amp;srsltid=AWLEVJwcUVIjk_aIgnGYrnKaOyWTmsEE89POGJxOVWQVLsQxVigJ1nR4KJk" TargetMode="External"/><Relationship Id="rId302" Type="http://schemas.openxmlformats.org/officeDocument/2006/relationships/hyperlink" Target="https://www.santil.com.br/produto/canaleta-s-divisoria-c-adesivo-sistema-x-20x12-pial-legrand/470823" TargetMode="External"/><Relationship Id="rId20" Type="http://schemas.openxmlformats.org/officeDocument/2006/relationships/hyperlink" Target="https://www.eletrofrigor.com.br/compressor-60000-r22-220v-scroll-3f-5tr-invotech-yh150a7-yh60k220r22.html" TargetMode="External"/><Relationship Id="rId41" Type="http://schemas.openxmlformats.org/officeDocument/2006/relationships/hyperlink" Target="https://www.frigelar.com.br/gas-refrigerante-r22-eos-cilindro-de-136kg/p/kit5121" TargetMode="External"/><Relationship Id="rId62" Type="http://schemas.openxmlformats.org/officeDocument/2006/relationships/hyperlink" Target="https://refrigeracao.suryha.com.br/produto/80170.006/porca-flangeada-latao-rosca-sae" TargetMode="External"/><Relationship Id="rId83" Type="http://schemas.openxmlformats.org/officeDocument/2006/relationships/hyperlink" Target="https://refrigeracao.suryha.com.br/produto/80170.013/uniao-regular-flangeada-latao-rosca-sae" TargetMode="External"/><Relationship Id="rId179" Type="http://schemas.openxmlformats.org/officeDocument/2006/relationships/hyperlink" Target="https://www.samatec.com.br/pressostato-de-baixa/p?idsku=2004031&amp;gclid=EAIaIQobChMI3qzlnsWT9wIVbU9IAB2eaAObEAQYAyABEgL23_D_BwE" TargetMode="External"/><Relationship Id="rId190" Type="http://schemas.openxmlformats.org/officeDocument/2006/relationships/hyperlink" Target="https://www.virtualmoc.com.br/produtos/capacitor-cbb65-45-uf-mfd-440-vac-marca-eos-para-ar-condicionado-split-ventilacao-d31024/" TargetMode="External"/><Relationship Id="rId204" Type="http://schemas.openxmlformats.org/officeDocument/2006/relationships/hyperlink" Target="https://www.eletrofrigor.com.br/capacitor-duplo-25-2-5-mfd-450vac.html" TargetMode="External"/><Relationship Id="rId225" Type="http://schemas.openxmlformats.org/officeDocument/2006/relationships/hyperlink" Target="https://www.eletrofrigor.com.br/capacitor-duplo-45-5-mfd-380vac.html" TargetMode="External"/><Relationship Id="rId246" Type="http://schemas.openxmlformats.org/officeDocument/2006/relationships/hyperlink" Target="https://www.arican.com.br/correia-industrial-powerclassic-b32.html" TargetMode="External"/><Relationship Id="rId267" Type="http://schemas.openxmlformats.org/officeDocument/2006/relationships/hyperlink" Target="https://www.ferramentaskennedy.com.br/100032026/correia-em-v-tipo-b-46-worker?utm_source=google&amp;utm_medium=cpc&amp;utm_campaign=google_shop&amp;gclid=EAIaIQobChMIlvm3la6U9wIVy09IAB0SuwQ7EAQYAiABEgI_IvD_BwE" TargetMode="External"/><Relationship Id="rId288" Type="http://schemas.openxmlformats.org/officeDocument/2006/relationships/hyperlink" Target="https://produto.mercadolivre.com.br/MLB-1226793633-plug-fusivel-7077c-_JM" TargetMode="External"/><Relationship Id="rId106" Type="http://schemas.openxmlformats.org/officeDocument/2006/relationships/hyperlink" Target="https://www.eletronicalinhabranca.com.br/solda-foscoper-unidade-vareta-25mm-x-460mm?utm_source=Site&amp;utm_medium=GoogleMerchant&amp;utm_campaign=GoogleMerchant" TargetMode="External"/><Relationship Id="rId127" Type="http://schemas.openxmlformats.org/officeDocument/2006/relationships/hyperlink" Target="https://www.portaleletrico.com.br/terminal-anel-isolado-15-25mm-m5-azul-embalagem-com-100-pecas-eletrokit-968/p" TargetMode="External"/><Relationship Id="rId10" Type="http://schemas.openxmlformats.org/officeDocument/2006/relationships/hyperlink" Target="https://www.americanas.com.br/produto/3513262161?epar=bp_pl_00_go_cc_pmax_geral&amp;opn=YSMESP&amp;WT.srch=1&amp;gclid=CjwKCAjwrqqSBhBbEiwAlQeqGlKajnDWw9gXp6fnFIzBMfTe8A-oSgzNnN0k-2Y_XRRiw2fUnoPkahoCvMUQAvD_BwE" TargetMode="External"/><Relationship Id="rId31" Type="http://schemas.openxmlformats.org/officeDocument/2006/relationships/hyperlink" Target="https://www.magazineluiza.com.br/capacitor-duplo-para-ar-condicionado-split-17-25-uf-440vac-aluminizado-9090186805-suryha/p/bg04j4217g/cj/ccto/" TargetMode="External"/><Relationship Id="rId52" Type="http://schemas.openxmlformats.org/officeDocument/2006/relationships/hyperlink" Target="https://www.magazineluiza.com.br/gas-fluido-refrigerante-de-limpeza-141b-dugold-13-6kg/p/jj42jc930j/ar/aave/" TargetMode="External"/><Relationship Id="rId73" Type="http://schemas.openxmlformats.org/officeDocument/2006/relationships/hyperlink" Target="https://www.refrigeracaocatavento.com.br/ferramentas-de-refrigeracao/porca-flange-para-tubo-de-cobre-sae-58-latao" TargetMode="External"/><Relationship Id="rId94" Type="http://schemas.openxmlformats.org/officeDocument/2006/relationships/hyperlink" Target="https://www.eletrofrigor.com.br/uniao-latao-34-sae.html" TargetMode="External"/><Relationship Id="rId148" Type="http://schemas.openxmlformats.org/officeDocument/2006/relationships/hyperlink" Target="https://www.frigelar.com.br/termostato-sce-eletronico-tvcpi101-220v-1-estagios-1-velocidade/p/kit4229" TargetMode="External"/><Relationship Id="rId169" Type="http://schemas.openxmlformats.org/officeDocument/2006/relationships/hyperlink" Target="https://www.refrigas.com.br/capilar-0-42-rolo-3m" TargetMode="External"/><Relationship Id="rId4" Type="http://schemas.openxmlformats.org/officeDocument/2006/relationships/hyperlink" Target="https://www.americanas.com.br/produto/93515307?epar=bp_pl_00_go_cc_pmax_geral&amp;opn=YSMESP&amp;WT.srch=1&amp;gclid=EAIaIQobChMI7uSA3bWC9wIVAeWRCh2XYQguEAQYAyABEgIEwvD_BwE" TargetMode="External"/><Relationship Id="rId180" Type="http://schemas.openxmlformats.org/officeDocument/2006/relationships/hyperlink" Target="https://www.americanas.com.br/produto/3713928431?epar=bp_pl_00_go_cc_pmax_geral&amp;opn=YSMESP&amp;WT.srch=1&amp;gclid=EAIaIQobChMI3qzlnsWT9wIVbU9IAB2eaAObEAQYASABEgKrsvD_BwE" TargetMode="External"/><Relationship Id="rId215" Type="http://schemas.openxmlformats.org/officeDocument/2006/relationships/hyperlink" Target="https://www.dufrio.com.br/capacitor-duplo-355mfd-de-metal-dugold-440v.html?utm_source=google&amp;utm_medium=shopping&amp;apwc=Y2FuYWxJbnRlZ3JhY2FvPTQ0N3xwcm9kdXRvPTc4MTc=&amp;gclid=EAIaIQobChMImfLSv4iU9wIVGjSRCh2zQAv-EAQYAyABEgJ4PPD_BwE" TargetMode="External"/><Relationship Id="rId236" Type="http://schemas.openxmlformats.org/officeDocument/2006/relationships/hyperlink" Target="https://www.h3l.com.br/produto/contator-cwm25-10-30v26-190v-50hz220v-60hz-cod-10045420/4511385/?gclid=EAIaIQobChMIz4jc76CU9wIVCtORCh1EwwTgEAQYASABEgJlJ_D_BwE" TargetMode="External"/><Relationship Id="rId257" Type="http://schemas.openxmlformats.org/officeDocument/2006/relationships/hyperlink" Target="https://www.elastobor.com.br/correia-em-v-rexon-modelo-b-38/p?idsku=122014017&amp;gclid=EAIaIQobChMI7oXvza2U9wIVbEBIAB1RnQjQEAQYASABEgKHEvD_BwE" TargetMode="External"/><Relationship Id="rId278" Type="http://schemas.openxmlformats.org/officeDocument/2006/relationships/hyperlink" Target="https://www.tratoraco.com.br/correias-acessorios-e-ferramentas/correias-em-v-lisa/tipo-a/correia-em-v-a32?gclid=EAIaIQobChMIp5Pk3K-U9wIVYuhcCh19LQs-EAQYASABEgJ42fD_BwE" TargetMode="External"/><Relationship Id="rId303" Type="http://schemas.openxmlformats.org/officeDocument/2006/relationships/hyperlink" Target="http://www.ambientair.com.br/" TargetMode="External"/><Relationship Id="rId42" Type="http://schemas.openxmlformats.org/officeDocument/2006/relationships/hyperlink" Target="https://www.eletrofrigor.com.br/gas-r22-eos-dac-13-6kg.html" TargetMode="External"/><Relationship Id="rId84" Type="http://schemas.openxmlformats.org/officeDocument/2006/relationships/hyperlink" Target="https://refrigeracao.suryha.com.br/produto/80170.030/uniao-regular-flangeada-latao-rosca-sae" TargetMode="External"/><Relationship Id="rId138" Type="http://schemas.openxmlformats.org/officeDocument/2006/relationships/hyperlink" Target="https://www.frigelar.com.br/termostato-sce-eletronico-tvcpi102-220v-2-estagios-1-velocidade/p/kit4228" TargetMode="External"/><Relationship Id="rId191" Type="http://schemas.openxmlformats.org/officeDocument/2006/relationships/hyperlink" Target="https://www.dufrio.com.br/capacitor-45mfd-metal-dugold-440v.html?utm_source=google&amp;utm_medium=shopping&amp;apwc=Y2FuYWxJbnRlZ3JhY2FvPTQ0N3xwcm9kdXRvPTUzODQ=&amp;gclid=EAIaIQobChMIj9b92uCT9wIVxUFIAB34qw9FEAQYASABEgK7yPD_BwE" TargetMode="External"/><Relationship Id="rId205" Type="http://schemas.openxmlformats.org/officeDocument/2006/relationships/hyperlink" Target="https://www.eletrofrigor.com.br/capacitor-duplo-30-2-5-mfd-450vac.html" TargetMode="External"/><Relationship Id="rId247" Type="http://schemas.openxmlformats.org/officeDocument/2006/relationships/hyperlink" Target="https://www.friostore.com.br/produtos/correia-b32-em-v-lisa/" TargetMode="External"/><Relationship Id="rId107" Type="http://schemas.openxmlformats.org/officeDocument/2006/relationships/hyperlink" Target="https://www.portaleletrico.com.br/terminal-forquilha-isolado-15-25mm-m4-azul-embalagem-com-100-pecas-eletrokit-956/p" TargetMode="External"/><Relationship Id="rId289" Type="http://schemas.openxmlformats.org/officeDocument/2006/relationships/hyperlink" Target="https://shopee.com.br/Plug-Fusivel-70-77%C2%B0c-i.423524849.10044994458" TargetMode="External"/><Relationship Id="rId11" Type="http://schemas.openxmlformats.org/officeDocument/2006/relationships/hyperlink" Target="https://www.leroymerlin.com.br/grelha-inox-para-banheiro-quadrada-10x10cm_1567600701?term=Grelha+Inox+Para+Banheiro+Quadrada+10&amp;searchTerm=Grelha+Inox+Para+Banheiro+Quadrada+10&amp;searchType=quickProduct" TargetMode="External"/><Relationship Id="rId53" Type="http://schemas.openxmlformats.org/officeDocument/2006/relationships/hyperlink" Target="https://produto.mercadolivre.com.br/MLB-1700594492-limpa-contato-eletrico-blacksul-300ml-_JM" TargetMode="External"/><Relationship Id="rId149" Type="http://schemas.openxmlformats.org/officeDocument/2006/relationships/hyperlink" Target="https://www.consul.com.br/capacitor-duplo-para-ar-condicionado-326058513/p" TargetMode="External"/><Relationship Id="rId95" Type="http://schemas.openxmlformats.org/officeDocument/2006/relationships/hyperlink" Target="https://www.eletrofrigor.com.br/uniao-latao-78-sae.html" TargetMode="External"/><Relationship Id="rId160" Type="http://schemas.openxmlformats.org/officeDocument/2006/relationships/hyperlink" Target="https://www.eletrofrigor.com.br/chave-termostatica-ar-condicionado-consul-07-10-12-18-21-30-btus-326008209-rcv-1601-4.html" TargetMode="External"/><Relationship Id="rId216" Type="http://schemas.openxmlformats.org/officeDocument/2006/relationships/hyperlink" Target="https://www.leroymerlin.com.br/capacitor-cbb65-gallant-35-5mf---5percent-440-vac-gcp35d05a-ix440_1566735629?region=outros&amp;gclid=EAIaIQobChMImfLSv4iU9wIVGjSRCh2zQAv-EAQYBCABEgIGBvD_BwE" TargetMode="External"/><Relationship Id="rId258" Type="http://schemas.openxmlformats.org/officeDocument/2006/relationships/hyperlink" Target="https://www.ferramentaskennedy.com.br/100032018/correia-em-v-tipo-b-38-worker?utm_source=google&amp;utm_medium=cpc&amp;utm_campaign=google_shop&amp;gclid=EAIaIQobChMI7oXvza2U9wIVbEBIAB1RnQjQEAQYAiABEgItbPD_BwE" TargetMode="External"/><Relationship Id="rId22" Type="http://schemas.openxmlformats.org/officeDocument/2006/relationships/hyperlink" Target="https://www.somafrio.com.br/pecas/compressores/compressor-scroll-60-000-btuh-r22-3f-220v-invotech?parceiro=5442" TargetMode="External"/><Relationship Id="rId64" Type="http://schemas.openxmlformats.org/officeDocument/2006/relationships/hyperlink" Target="https://www.refrigeracaocatavento.com.br/porca-flange-para-tubo-de-cobre-sae-14-latao" TargetMode="External"/><Relationship Id="rId118" Type="http://schemas.openxmlformats.org/officeDocument/2006/relationships/hyperlink" Target="https://www.portaleletrico.com.br/terminal-pino-isolado-15-25mm-longo-azul-embalagem-com-100-pecas-eletrokit-975/p" TargetMode="External"/><Relationship Id="rId171" Type="http://schemas.openxmlformats.org/officeDocument/2006/relationships/hyperlink" Target="https://www.refritron.com.br/tubo-capilar-de-cobre-0-31-rolo-3m" TargetMode="External"/><Relationship Id="rId227" Type="http://schemas.openxmlformats.org/officeDocument/2006/relationships/hyperlink" Target="https://www.submarino.com.br/produto/4662101839?epar=bp_pl_px_go_pmax_automoveis_geral_gmv&amp;opn=XMLGOOGLE&amp;WT.srch=1&amp;gclid=EAIaIQobChMIi86-x4qU9wIVJkJIAB2bdgZ1EAQYCSABEgI1DfD_BwE" TargetMode="External"/><Relationship Id="rId269" Type="http://schemas.openxmlformats.org/officeDocument/2006/relationships/hyperlink" Target="https://www.americanas.com.br/produto/4728493291?opn=YSMESP&amp;srsltid=AWLEVJw05OTOaHOWC3J8A7-OCmWcosdtnSM32HMX6y1TwxupsH21Q840osU" TargetMode="External"/><Relationship Id="rId33" Type="http://schemas.openxmlformats.org/officeDocument/2006/relationships/hyperlink" Target="https://www.webinstalar.com.br/capacitor-permanente-175mfd-380v-cterminal" TargetMode="External"/><Relationship Id="rId129" Type="http://schemas.openxmlformats.org/officeDocument/2006/relationships/hyperlink" Target="https://www.portaleletrico.com.br/terminal-anel-isolado-40-60mm-m6-amarelo-embalagem-com-100-pecas-eletrokit-940/p" TargetMode="External"/><Relationship Id="rId280" Type="http://schemas.openxmlformats.org/officeDocument/2006/relationships/hyperlink" Target="https://www.ferramentaskennedy.com.br/100031146/correia-em-v-tipo-a-32-worker?utm_source=google&amp;utm_medium=cpc&amp;utm_campaign=google_shop&amp;gclid=EAIaIQobChMIp5Pk3K-U9wIVYuhcCh19LQs-EAQYAyABEgL7nvD_BwE" TargetMode="External"/><Relationship Id="rId75" Type="http://schemas.openxmlformats.org/officeDocument/2006/relationships/hyperlink" Target="https://www.eletrofrigor.com.br/porca-flange-34-sae-latao-usinada.html" TargetMode="External"/><Relationship Id="rId140" Type="http://schemas.openxmlformats.org/officeDocument/2006/relationships/hyperlink" Target="https://www.eletrofrigor.com.br/termostato-ambiente-1-estagio-1-velocidade-220v-brasiterm.html" TargetMode="External"/><Relationship Id="rId182" Type="http://schemas.openxmlformats.org/officeDocument/2006/relationships/hyperlink" Target="https://www.ecpvendas.com.br/capacitor-cbb65/capacitor-25uf-450vac-33000017-gree" TargetMode="External"/><Relationship Id="rId6" Type="http://schemas.openxmlformats.org/officeDocument/2006/relationships/hyperlink" Target="https://www.casamimosa.com.br/botao-duplo-acionamento-mecanismo-1100-si-56-01-deca" TargetMode="External"/><Relationship Id="rId238" Type="http://schemas.openxmlformats.org/officeDocument/2006/relationships/hyperlink" Target="https://www.h3l.com.br/produto/contator-cwm32-10-30v26-190v-50hz220v-60hz-cod-10045428/4511402/?gclid=EAIaIQobChMIzOiPiqKU9wIVAeWRCh1q7gnxEAQYASABEgKJrvD_Bw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precodoscombustiveis.com.br/pt-br/city/brasil/rio-de-janeiro/rio-de-janeiro/3239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N66"/>
  <sheetViews>
    <sheetView showGridLines="0" tabSelected="1" topLeftCell="A22" workbookViewId="0">
      <selection activeCell="H34" sqref="H34"/>
    </sheetView>
  </sheetViews>
  <sheetFormatPr defaultRowHeight="15"/>
  <cols>
    <col min="1" max="1" width="3.140625" customWidth="1"/>
    <col min="2" max="2" width="5" bestFit="1" customWidth="1"/>
    <col min="3" max="3" width="11.140625" customWidth="1"/>
    <col min="4" max="4" width="17" customWidth="1"/>
    <col min="5" max="5" width="5" style="1" bestFit="1" customWidth="1"/>
    <col min="6" max="6" width="15.42578125" bestFit="1" customWidth="1"/>
    <col min="7" max="7" width="18.5703125" bestFit="1" customWidth="1"/>
    <col min="8" max="8" width="22.85546875" customWidth="1"/>
    <col min="9" max="11" width="12.7109375" bestFit="1" customWidth="1"/>
    <col min="12" max="14" width="13.85546875" bestFit="1" customWidth="1"/>
  </cols>
  <sheetData>
    <row r="2" spans="2:13">
      <c r="B2" s="360" t="s">
        <v>0</v>
      </c>
      <c r="C2" s="361"/>
      <c r="D2" s="361"/>
      <c r="E2" s="361"/>
      <c r="F2" s="361"/>
      <c r="G2" s="361"/>
      <c r="H2" s="362"/>
    </row>
    <row r="3" spans="2:13" s="199" customFormat="1" ht="25.5">
      <c r="B3" s="182" t="s">
        <v>1</v>
      </c>
      <c r="C3" s="182" t="s">
        <v>2</v>
      </c>
      <c r="D3" s="182" t="s">
        <v>3</v>
      </c>
      <c r="E3" s="182" t="s">
        <v>4</v>
      </c>
      <c r="F3" s="182" t="s">
        <v>5</v>
      </c>
      <c r="G3" s="325" t="s">
        <v>6</v>
      </c>
      <c r="H3" s="182" t="s">
        <v>7</v>
      </c>
    </row>
    <row r="4" spans="2:13">
      <c r="B4" s="363">
        <v>1</v>
      </c>
      <c r="C4" s="183" t="s">
        <v>8</v>
      </c>
      <c r="D4" s="149" t="s">
        <v>9</v>
      </c>
      <c r="E4" s="183" t="s">
        <v>10</v>
      </c>
      <c r="F4" s="221">
        <v>4</v>
      </c>
      <c r="G4" s="150">
        <f>[1]AJUDANTE!G155</f>
        <v>191.14523809523811</v>
      </c>
      <c r="H4" s="151">
        <f>(F4*G4)</f>
        <v>764.58095238095245</v>
      </c>
      <c r="I4" s="234" t="s">
        <v>11</v>
      </c>
      <c r="J4" s="71"/>
    </row>
    <row r="5" spans="2:13">
      <c r="B5" s="364"/>
      <c r="C5" s="183" t="s">
        <v>12</v>
      </c>
      <c r="D5" s="149" t="s">
        <v>13</v>
      </c>
      <c r="E5" s="183" t="s">
        <v>10</v>
      </c>
      <c r="F5" s="221">
        <v>4</v>
      </c>
      <c r="G5" s="150">
        <f>[1]PEDREIRO!G155</f>
        <v>259.6742857142857</v>
      </c>
      <c r="H5" s="151">
        <f t="shared" ref="H5:H8" si="0">(F5*G5)</f>
        <v>1038.6971428571428</v>
      </c>
      <c r="I5" s="234" t="s">
        <v>11</v>
      </c>
      <c r="J5" s="71"/>
    </row>
    <row r="6" spans="2:13">
      <c r="B6" s="364"/>
      <c r="C6" s="183" t="s">
        <v>14</v>
      </c>
      <c r="D6" s="149" t="s">
        <v>15</v>
      </c>
      <c r="E6" s="183" t="s">
        <v>10</v>
      </c>
      <c r="F6" s="221">
        <v>4</v>
      </c>
      <c r="G6" s="150">
        <f>[1]ELETRICISTA!G155</f>
        <v>259.6742857142857</v>
      </c>
      <c r="H6" s="151">
        <f t="shared" si="0"/>
        <v>1038.6971428571428</v>
      </c>
      <c r="I6" s="234" t="s">
        <v>11</v>
      </c>
      <c r="J6" s="71"/>
    </row>
    <row r="7" spans="2:13">
      <c r="B7" s="364"/>
      <c r="C7" s="183" t="s">
        <v>16</v>
      </c>
      <c r="D7" s="149" t="s">
        <v>17</v>
      </c>
      <c r="E7" s="183" t="s">
        <v>10</v>
      </c>
      <c r="F7" s="221">
        <v>4</v>
      </c>
      <c r="G7" s="150">
        <f>[1]BOMBEIRO!G155</f>
        <v>259.6742857142857</v>
      </c>
      <c r="H7" s="151">
        <f t="shared" si="0"/>
        <v>1038.6971428571428</v>
      </c>
      <c r="I7" s="234" t="s">
        <v>11</v>
      </c>
      <c r="J7" s="71"/>
    </row>
    <row r="8" spans="2:13" ht="25.5">
      <c r="B8" s="365"/>
      <c r="C8" s="183" t="s">
        <v>18</v>
      </c>
      <c r="D8" s="149" t="s">
        <v>19</v>
      </c>
      <c r="E8" s="183" t="s">
        <v>10</v>
      </c>
      <c r="F8" s="221">
        <v>4</v>
      </c>
      <c r="G8" s="150">
        <f>'[1]MEC. DE REFRIGERAÇÃO'!G155</f>
        <v>262.67857142857144</v>
      </c>
      <c r="H8" s="151">
        <f t="shared" si="0"/>
        <v>1050.7142857142858</v>
      </c>
      <c r="I8" s="234" t="s">
        <v>11</v>
      </c>
      <c r="J8" s="71"/>
    </row>
    <row r="9" spans="2:13" ht="15" customHeight="1">
      <c r="B9" s="366" t="s">
        <v>20</v>
      </c>
      <c r="C9" s="367"/>
      <c r="D9" s="367"/>
      <c r="E9" s="367"/>
      <c r="F9" s="367"/>
      <c r="G9" s="368"/>
      <c r="H9" s="152">
        <f>SUM(H4:H8)</f>
        <v>4931.3866666666672</v>
      </c>
      <c r="I9" s="71">
        <f>H9/4</f>
        <v>1232.8466666666668</v>
      </c>
      <c r="J9" s="71"/>
    </row>
    <row r="10" spans="2:13">
      <c r="B10" s="360" t="s">
        <v>21</v>
      </c>
      <c r="C10" s="361"/>
      <c r="D10" s="361"/>
      <c r="E10" s="361"/>
      <c r="F10" s="361"/>
      <c r="G10" s="361"/>
      <c r="H10" s="362"/>
    </row>
    <row r="11" spans="2:13" ht="25.5">
      <c r="B11" s="182" t="s">
        <v>1</v>
      </c>
      <c r="C11" s="182" t="s">
        <v>2</v>
      </c>
      <c r="D11" s="182" t="s">
        <v>3</v>
      </c>
      <c r="E11" s="182" t="s">
        <v>4</v>
      </c>
      <c r="F11" s="182" t="s">
        <v>22</v>
      </c>
      <c r="G11" s="325" t="s">
        <v>6</v>
      </c>
      <c r="H11" s="182" t="s">
        <v>7</v>
      </c>
      <c r="M11" s="328"/>
    </row>
    <row r="12" spans="2:13">
      <c r="B12" s="369">
        <v>2</v>
      </c>
      <c r="C12" s="183" t="s">
        <v>23</v>
      </c>
      <c r="D12" s="149" t="s">
        <v>24</v>
      </c>
      <c r="E12" s="183" t="s">
        <v>10</v>
      </c>
      <c r="F12" s="183">
        <v>4</v>
      </c>
      <c r="G12" s="150">
        <f>'[1]ENGENHEIRO CIVIL'!G155</f>
        <v>870.77761904761917</v>
      </c>
      <c r="H12" s="151">
        <f>F12*G12</f>
        <v>3483.1104761904767</v>
      </c>
    </row>
    <row r="13" spans="2:13" ht="51">
      <c r="B13" s="370"/>
      <c r="C13" s="183" t="s">
        <v>25</v>
      </c>
      <c r="D13" s="149" t="s">
        <v>26</v>
      </c>
      <c r="E13" s="183" t="s">
        <v>10</v>
      </c>
      <c r="F13" s="183">
        <v>4</v>
      </c>
      <c r="G13" s="150">
        <f>G12</f>
        <v>870.77761904761917</v>
      </c>
      <c r="H13" s="151">
        <f>F13*G13</f>
        <v>3483.1104761904767</v>
      </c>
    </row>
    <row r="14" spans="2:13" ht="15" customHeight="1">
      <c r="B14" s="366" t="s">
        <v>20</v>
      </c>
      <c r="C14" s="367"/>
      <c r="D14" s="367"/>
      <c r="E14" s="367"/>
      <c r="F14" s="367"/>
      <c r="G14" s="368"/>
      <c r="H14" s="152">
        <f>SUM(H12:H13)</f>
        <v>6966.2209523809533</v>
      </c>
      <c r="I14" s="71">
        <f>H14/4</f>
        <v>1741.5552380952383</v>
      </c>
    </row>
    <row r="15" spans="2:13">
      <c r="B15" s="360" t="s">
        <v>27</v>
      </c>
      <c r="C15" s="361"/>
      <c r="D15" s="361"/>
      <c r="E15" s="361"/>
      <c r="F15" s="361"/>
      <c r="G15" s="361"/>
      <c r="H15" s="362"/>
    </row>
    <row r="16" spans="2:13" ht="25.5">
      <c r="B16" s="182" t="s">
        <v>1</v>
      </c>
      <c r="C16" s="182" t="s">
        <v>2</v>
      </c>
      <c r="D16" s="182" t="s">
        <v>3</v>
      </c>
      <c r="E16" s="182" t="s">
        <v>4</v>
      </c>
      <c r="F16" s="182" t="s">
        <v>28</v>
      </c>
      <c r="G16" s="325" t="s">
        <v>29</v>
      </c>
      <c r="H16" s="182" t="s">
        <v>30</v>
      </c>
      <c r="M16" s="328"/>
    </row>
    <row r="17" spans="2:14" ht="25.5">
      <c r="B17" s="363">
        <v>3</v>
      </c>
      <c r="C17" s="183" t="s">
        <v>31</v>
      </c>
      <c r="D17" s="149" t="s">
        <v>32</v>
      </c>
      <c r="E17" s="183" t="s">
        <v>10</v>
      </c>
      <c r="F17" s="221">
        <v>4</v>
      </c>
      <c r="G17" s="150">
        <f>[1]DESLOCAMENTO!G51</f>
        <v>732.7942094017094</v>
      </c>
      <c r="H17" s="151">
        <f>(F17*G17)</f>
        <v>2931.1768376068376</v>
      </c>
      <c r="I17" s="340">
        <f>H17+$I$9+$I$14</f>
        <v>5905.5787423687425</v>
      </c>
      <c r="J17" s="340">
        <f>$H$24/4</f>
        <v>29914.233753125001</v>
      </c>
      <c r="K17" s="340">
        <f>$H$29/4</f>
        <v>10424.67959480197</v>
      </c>
      <c r="L17" s="329">
        <f t="shared" ref="L17:L20" si="1">SUM(I17:K17)</f>
        <v>46244.492090295716</v>
      </c>
      <c r="M17" s="340"/>
    </row>
    <row r="18" spans="2:14" ht="25.5">
      <c r="B18" s="364"/>
      <c r="C18" s="341" t="s">
        <v>33</v>
      </c>
      <c r="D18" s="342" t="s">
        <v>34</v>
      </c>
      <c r="E18" s="341" t="s">
        <v>10</v>
      </c>
      <c r="F18" s="343">
        <v>4</v>
      </c>
      <c r="G18" s="344">
        <f>[1]DESLOCAMENTO!G52</f>
        <v>449.55574786324786</v>
      </c>
      <c r="H18" s="345">
        <f t="shared" ref="H18:H20" si="2">(F18*G18)</f>
        <v>1798.2229914529914</v>
      </c>
      <c r="I18" s="340">
        <f t="shared" ref="I18:I20" si="3">H18+$I$9+$I$14</f>
        <v>4772.6248962148966</v>
      </c>
      <c r="J18" s="340">
        <f>$H$24/4</f>
        <v>29914.233753125001</v>
      </c>
      <c r="K18" s="340">
        <f>$H$29/4</f>
        <v>10424.67959480197</v>
      </c>
      <c r="L18" s="346">
        <f t="shared" si="1"/>
        <v>45111.53824414187</v>
      </c>
      <c r="M18" s="355"/>
    </row>
    <row r="19" spans="2:14" ht="25.5">
      <c r="B19" s="364"/>
      <c r="C19" s="341" t="s">
        <v>35</v>
      </c>
      <c r="D19" s="342" t="s">
        <v>36</v>
      </c>
      <c r="E19" s="341" t="s">
        <v>10</v>
      </c>
      <c r="F19" s="343">
        <v>4</v>
      </c>
      <c r="G19" s="344">
        <f>[1]DESLOCAMENTO!G53</f>
        <v>478.14087606837609</v>
      </c>
      <c r="H19" s="345">
        <f t="shared" si="2"/>
        <v>1912.5635042735043</v>
      </c>
      <c r="I19" s="340">
        <f t="shared" si="3"/>
        <v>4886.9654090354097</v>
      </c>
      <c r="J19" s="340">
        <f>$H$24/4</f>
        <v>29914.233753125001</v>
      </c>
      <c r="K19" s="340">
        <f>$H$29/4</f>
        <v>10424.67959480197</v>
      </c>
      <c r="L19" s="347">
        <f t="shared" si="1"/>
        <v>45225.878756962382</v>
      </c>
      <c r="M19" s="340"/>
    </row>
    <row r="20" spans="2:14">
      <c r="B20" s="364"/>
      <c r="C20" s="341" t="s">
        <v>37</v>
      </c>
      <c r="D20" s="342" t="s">
        <v>38</v>
      </c>
      <c r="E20" s="341" t="s">
        <v>10</v>
      </c>
      <c r="F20" s="343">
        <v>4</v>
      </c>
      <c r="G20" s="344">
        <f>[1]DESLOCAMENTO!G54</f>
        <v>199.80549145299145</v>
      </c>
      <c r="H20" s="345">
        <f t="shared" si="2"/>
        <v>799.22196581196579</v>
      </c>
      <c r="I20" s="340">
        <f t="shared" si="3"/>
        <v>3773.6238705738706</v>
      </c>
      <c r="J20" s="340">
        <f>$H$24/4</f>
        <v>29914.233753125001</v>
      </c>
      <c r="K20" s="340">
        <f>$H$29/4</f>
        <v>10424.67959480197</v>
      </c>
      <c r="L20" s="347">
        <f t="shared" si="1"/>
        <v>44112.537218500845</v>
      </c>
      <c r="M20" s="355"/>
    </row>
    <row r="21" spans="2:14" ht="15" customHeight="1">
      <c r="B21" s="366" t="s">
        <v>20</v>
      </c>
      <c r="C21" s="367"/>
      <c r="D21" s="367"/>
      <c r="E21" s="367"/>
      <c r="F21" s="367"/>
      <c r="G21" s="368"/>
      <c r="H21" s="152">
        <f>SUM(H17:H20)</f>
        <v>7441.1852991452988</v>
      </c>
      <c r="L21" s="330">
        <f>SUM(L17:L20)</f>
        <v>180694.44630990084</v>
      </c>
      <c r="M21" s="357"/>
      <c r="N21" s="71"/>
    </row>
    <row r="22" spans="2:14">
      <c r="B22" s="360" t="s">
        <v>39</v>
      </c>
      <c r="C22" s="361"/>
      <c r="D22" s="361"/>
      <c r="E22" s="361"/>
      <c r="F22" s="361"/>
      <c r="G22" s="361"/>
      <c r="H22" s="362"/>
    </row>
    <row r="23" spans="2:14" ht="25.5">
      <c r="B23" s="182" t="s">
        <v>1</v>
      </c>
      <c r="C23" s="182" t="s">
        <v>2</v>
      </c>
      <c r="D23" s="182" t="s">
        <v>3</v>
      </c>
      <c r="E23" s="182" t="s">
        <v>4</v>
      </c>
      <c r="F23" s="182" t="s">
        <v>40</v>
      </c>
      <c r="G23" s="325" t="s">
        <v>29</v>
      </c>
      <c r="H23" s="182" t="s">
        <v>30</v>
      </c>
    </row>
    <row r="24" spans="2:14">
      <c r="B24" s="183">
        <v>4</v>
      </c>
      <c r="C24" s="183" t="s">
        <v>41</v>
      </c>
      <c r="D24" s="149" t="s">
        <v>42</v>
      </c>
      <c r="E24" s="183" t="s">
        <v>43</v>
      </c>
      <c r="F24" s="183">
        <v>1</v>
      </c>
      <c r="G24" s="150">
        <v>119656.93501250001</v>
      </c>
      <c r="H24" s="151">
        <f>F24*G24</f>
        <v>119656.93501250001</v>
      </c>
      <c r="I24" s="218" t="s">
        <v>44</v>
      </c>
    </row>
    <row r="25" spans="2:14" ht="15" customHeight="1">
      <c r="B25" s="366" t="s">
        <v>20</v>
      </c>
      <c r="C25" s="367"/>
      <c r="D25" s="367"/>
      <c r="E25" s="367"/>
      <c r="F25" s="367"/>
      <c r="G25" s="368"/>
      <c r="H25" s="152">
        <f>H24</f>
        <v>119656.93501250001</v>
      </c>
    </row>
    <row r="26" spans="2:14">
      <c r="B26" s="360" t="s">
        <v>45</v>
      </c>
      <c r="C26" s="361"/>
      <c r="D26" s="361"/>
      <c r="E26" s="361"/>
      <c r="F26" s="361"/>
      <c r="G26" s="361"/>
      <c r="H26" s="362"/>
    </row>
    <row r="27" spans="2:14" ht="25.5">
      <c r="B27" s="182" t="s">
        <v>1</v>
      </c>
      <c r="C27" s="182" t="s">
        <v>2</v>
      </c>
      <c r="D27" s="182" t="s">
        <v>3</v>
      </c>
      <c r="E27" s="182" t="s">
        <v>4</v>
      </c>
      <c r="F27" s="182" t="s">
        <v>40</v>
      </c>
      <c r="G27" s="325" t="s">
        <v>29</v>
      </c>
      <c r="H27" s="182" t="s">
        <v>30</v>
      </c>
    </row>
    <row r="28" spans="2:14" ht="204">
      <c r="B28" s="183">
        <v>5</v>
      </c>
      <c r="C28" s="183" t="s">
        <v>46</v>
      </c>
      <c r="D28" s="149" t="s">
        <v>47</v>
      </c>
      <c r="E28" s="183" t="s">
        <v>10</v>
      </c>
      <c r="F28" s="225">
        <v>0.3</v>
      </c>
      <c r="G28" s="150">
        <f>H33+H34+H35+H36</f>
        <v>138995.72793069293</v>
      </c>
      <c r="H28" s="151">
        <f>F28*G28</f>
        <v>41698.718379207879</v>
      </c>
    </row>
    <row r="29" spans="2:14" ht="15" customHeight="1">
      <c r="B29" s="366" t="s">
        <v>20</v>
      </c>
      <c r="C29" s="367"/>
      <c r="D29" s="367"/>
      <c r="E29" s="367"/>
      <c r="F29" s="367"/>
      <c r="G29" s="368"/>
      <c r="H29" s="152">
        <f>H28</f>
        <v>41698.718379207879</v>
      </c>
    </row>
    <row r="31" spans="2:14">
      <c r="B31" s="373" t="s">
        <v>48</v>
      </c>
      <c r="C31" s="373"/>
      <c r="D31" s="373"/>
      <c r="E31" s="373"/>
      <c r="F31" s="373"/>
      <c r="G31" s="373"/>
      <c r="H31" s="373"/>
    </row>
    <row r="32" spans="2:14">
      <c r="B32" s="325" t="s">
        <v>49</v>
      </c>
      <c r="C32" s="374" t="s">
        <v>50</v>
      </c>
      <c r="D32" s="374"/>
      <c r="E32" s="374"/>
      <c r="F32" s="374"/>
      <c r="G32" s="374"/>
      <c r="H32" s="325" t="s">
        <v>51</v>
      </c>
    </row>
    <row r="33" spans="2:9" ht="15.75">
      <c r="B33" s="200" t="s">
        <v>52</v>
      </c>
      <c r="C33" s="371" t="s">
        <v>0</v>
      </c>
      <c r="D33" s="371"/>
      <c r="E33" s="371"/>
      <c r="F33" s="371"/>
      <c r="G33" s="371"/>
      <c r="H33" s="201">
        <f>H9</f>
        <v>4931.3866666666672</v>
      </c>
    </row>
    <row r="34" spans="2:9" ht="15.75">
      <c r="B34" s="200" t="s">
        <v>53</v>
      </c>
      <c r="C34" s="371" t="s">
        <v>21</v>
      </c>
      <c r="D34" s="371"/>
      <c r="E34" s="371"/>
      <c r="F34" s="371"/>
      <c r="G34" s="371"/>
      <c r="H34" s="201">
        <f>H14</f>
        <v>6966.2209523809533</v>
      </c>
    </row>
    <row r="35" spans="2:9" ht="15.75">
      <c r="B35" s="200" t="s">
        <v>54</v>
      </c>
      <c r="C35" s="371" t="s">
        <v>27</v>
      </c>
      <c r="D35" s="371"/>
      <c r="E35" s="371"/>
      <c r="F35" s="371"/>
      <c r="G35" s="371"/>
      <c r="H35" s="201">
        <f>H21</f>
        <v>7441.1852991452988</v>
      </c>
      <c r="I35" s="218"/>
    </row>
    <row r="36" spans="2:9" ht="15.75">
      <c r="B36" s="200" t="s">
        <v>55</v>
      </c>
      <c r="C36" s="371" t="s">
        <v>39</v>
      </c>
      <c r="D36" s="371"/>
      <c r="E36" s="371"/>
      <c r="F36" s="371"/>
      <c r="G36" s="371"/>
      <c r="H36" s="201">
        <f>H25</f>
        <v>119656.93501250001</v>
      </c>
      <c r="I36" s="218" t="s">
        <v>44</v>
      </c>
    </row>
    <row r="37" spans="2:9" ht="15.75">
      <c r="B37" s="200" t="s">
        <v>56</v>
      </c>
      <c r="C37" s="371" t="s">
        <v>45</v>
      </c>
      <c r="D37" s="371"/>
      <c r="E37" s="371"/>
      <c r="F37" s="371"/>
      <c r="G37" s="371"/>
      <c r="H37" s="201">
        <f>H29</f>
        <v>41698.718379207879</v>
      </c>
      <c r="I37" s="218"/>
    </row>
    <row r="38" spans="2:9" ht="15.75">
      <c r="B38" s="372" t="s">
        <v>57</v>
      </c>
      <c r="C38" s="372"/>
      <c r="D38" s="372"/>
      <c r="E38" s="372"/>
      <c r="F38" s="372"/>
      <c r="G38" s="372"/>
      <c r="H38" s="217">
        <f>SUM(H33:H37)</f>
        <v>180694.44630990081</v>
      </c>
    </row>
    <row r="49" spans="6:10">
      <c r="F49" t="s">
        <v>1010</v>
      </c>
    </row>
    <row r="51" spans="6:10">
      <c r="F51" t="s">
        <v>1011</v>
      </c>
    </row>
    <row r="53" spans="6:10">
      <c r="F53" t="s">
        <v>1012</v>
      </c>
    </row>
    <row r="55" spans="6:10">
      <c r="F55" t="s">
        <v>1020</v>
      </c>
      <c r="J55" s="358"/>
    </row>
    <row r="56" spans="6:10">
      <c r="J56" s="359"/>
    </row>
    <row r="57" spans="6:10">
      <c r="F57" t="s">
        <v>1013</v>
      </c>
      <c r="J57" s="359"/>
    </row>
    <row r="58" spans="6:10">
      <c r="J58" s="359"/>
    </row>
    <row r="59" spans="6:10">
      <c r="F59" t="s">
        <v>1023</v>
      </c>
      <c r="J59" s="358"/>
    </row>
    <row r="60" spans="6:10">
      <c r="J60" s="359"/>
    </row>
    <row r="61" spans="6:10">
      <c r="F61" t="s">
        <v>1021</v>
      </c>
      <c r="J61" s="358"/>
    </row>
    <row r="62" spans="6:10">
      <c r="J62" s="359"/>
    </row>
    <row r="63" spans="6:10">
      <c r="F63" t="s">
        <v>1022</v>
      </c>
      <c r="J63" s="358"/>
    </row>
    <row r="66" spans="6:6">
      <c r="F66" t="s">
        <v>1024</v>
      </c>
    </row>
  </sheetData>
  <mergeCells count="21">
    <mergeCell ref="C36:G36"/>
    <mergeCell ref="C37:G37"/>
    <mergeCell ref="B38:G38"/>
    <mergeCell ref="B29:G29"/>
    <mergeCell ref="B31:H31"/>
    <mergeCell ref="C32:G32"/>
    <mergeCell ref="C33:G33"/>
    <mergeCell ref="C34:G34"/>
    <mergeCell ref="C35:G35"/>
    <mergeCell ref="B26:H26"/>
    <mergeCell ref="B2:H2"/>
    <mergeCell ref="B4:B8"/>
    <mergeCell ref="B9:G9"/>
    <mergeCell ref="B10:H10"/>
    <mergeCell ref="B12:B13"/>
    <mergeCell ref="B14:G14"/>
    <mergeCell ref="B15:H15"/>
    <mergeCell ref="B17:B20"/>
    <mergeCell ref="B21:G21"/>
    <mergeCell ref="B22:H22"/>
    <mergeCell ref="B25:G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showGridLines="0" topLeftCell="G1" zoomScaleNormal="100" workbookViewId="0">
      <pane ySplit="5" topLeftCell="A107" activePane="bottomLeft" state="frozen"/>
      <selection pane="bottomLeft" activeCell="J111" sqref="J111"/>
    </sheetView>
  </sheetViews>
  <sheetFormatPr defaultRowHeight="15"/>
  <cols>
    <col min="1" max="1" width="1.42578125" customWidth="1"/>
    <col min="2" max="2" width="21.140625" customWidth="1"/>
    <col min="3" max="3" width="12.28515625" style="3" customWidth="1"/>
    <col min="4" max="4" width="27.28515625" customWidth="1"/>
    <col min="5" max="7" width="37.5703125" style="233" customWidth="1"/>
    <col min="8" max="10" width="11" style="233" bestFit="1" customWidth="1"/>
    <col min="11" max="11" width="12.28515625" style="233" bestFit="1" customWidth="1"/>
    <col min="12" max="12" width="5" customWidth="1"/>
    <col min="13" max="13" width="13.42578125" style="233" bestFit="1" customWidth="1"/>
    <col min="14" max="14" width="8.7109375" customWidth="1"/>
    <col min="15" max="15" width="10.7109375" bestFit="1" customWidth="1"/>
    <col min="16" max="16" width="10.140625" bestFit="1" customWidth="1"/>
    <col min="17" max="1032" width="8.7109375" customWidth="1"/>
  </cols>
  <sheetData>
    <row r="1" spans="1:15" ht="15" customHeight="1">
      <c r="A1" s="226"/>
      <c r="B1" s="464" t="s">
        <v>565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6"/>
      <c r="N1" s="226"/>
      <c r="O1" s="226"/>
    </row>
    <row r="2" spans="1:15">
      <c r="A2" s="227"/>
      <c r="B2" s="467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9"/>
      <c r="N2" s="227"/>
      <c r="O2" s="227"/>
    </row>
    <row r="3" spans="1:15">
      <c r="B3" s="228" t="s">
        <v>566</v>
      </c>
      <c r="C3" s="267"/>
      <c r="D3" s="257"/>
      <c r="E3" s="470"/>
      <c r="F3" s="471"/>
      <c r="G3" s="471"/>
      <c r="H3" s="471"/>
      <c r="I3" s="471"/>
      <c r="J3" s="471"/>
      <c r="K3" s="471"/>
      <c r="L3" s="471"/>
      <c r="M3" s="472"/>
      <c r="N3" s="229"/>
      <c r="O3" s="229"/>
    </row>
    <row r="5" spans="1:15" s="140" customFormat="1" ht="45">
      <c r="B5" s="230" t="s">
        <v>567</v>
      </c>
      <c r="C5" s="230" t="s">
        <v>568</v>
      </c>
      <c r="D5" s="230" t="s">
        <v>50</v>
      </c>
      <c r="E5" s="231" t="s">
        <v>569</v>
      </c>
      <c r="F5" s="231" t="s">
        <v>570</v>
      </c>
      <c r="G5" s="231" t="s">
        <v>571</v>
      </c>
      <c r="H5" s="231" t="s">
        <v>572</v>
      </c>
      <c r="I5" s="231" t="s">
        <v>573</v>
      </c>
      <c r="J5" s="231" t="s">
        <v>574</v>
      </c>
      <c r="K5" s="231" t="s">
        <v>575</v>
      </c>
      <c r="L5" s="230" t="s">
        <v>576</v>
      </c>
      <c r="M5" s="231" t="s">
        <v>577</v>
      </c>
    </row>
    <row r="6" spans="1:15" s="140" customFormat="1" ht="90">
      <c r="B6" s="258" t="str">
        <f>IF([3]INSUMOS!C36="MERCADO",[3]INSUMOS!A36,"ERRO")</f>
        <v>ELÉTRICA</v>
      </c>
      <c r="C6" s="291">
        <f>[3]INSUMOS!B36</f>
        <v>1033</v>
      </c>
      <c r="D6" s="259" t="str">
        <f>IF([3]INSUMOS!C36="MERCADO",[3]INSUMOS!E36,"ERRO")</f>
        <v>CANALETA SISTEMA X SEM DIVISÓRIA COM ADESIVO 20X12X2000 (LEGRAND - 30802ADX OU SIMILAR)</v>
      </c>
      <c r="E6" s="268" t="s">
        <v>578</v>
      </c>
      <c r="F6" s="268" t="s">
        <v>579</v>
      </c>
      <c r="G6" s="268" t="s">
        <v>580</v>
      </c>
      <c r="H6" s="269">
        <v>9.89</v>
      </c>
      <c r="I6" s="269">
        <v>10.65</v>
      </c>
      <c r="J6" s="269">
        <v>9.9</v>
      </c>
      <c r="K6" s="279">
        <v>44658</v>
      </c>
      <c r="L6" s="270" t="s">
        <v>227</v>
      </c>
      <c r="M6" s="269">
        <f t="shared" ref="M6:M94" si="0">ROUND(AVERAGE(H6:J6),2)</f>
        <v>10.15</v>
      </c>
    </row>
    <row r="7" spans="1:15" s="140" customFormat="1" ht="60">
      <c r="B7" s="258" t="str">
        <f>IF([3]INSUMOS!C42="MERCADO",[3]INSUMOS!A42,"ERRO")</f>
        <v>ELÉTRICA</v>
      </c>
      <c r="C7" s="291">
        <f>[3]INSUMOS!B42</f>
        <v>1039</v>
      </c>
      <c r="D7" s="259" t="str">
        <f>IF([3]INSUMOS!C42="MERCADO",[3]INSUMOS!E42,"ERRO")</f>
        <v>TOMADA SISTEMA X 2P+T 20A 250V NBR14136 (LEGRAND - 675061 OU SIMILAR)</v>
      </c>
      <c r="E7" s="268" t="s">
        <v>581</v>
      </c>
      <c r="F7" s="268" t="s">
        <v>582</v>
      </c>
      <c r="G7" s="268" t="s">
        <v>583</v>
      </c>
      <c r="H7" s="269">
        <v>33.700000000000003</v>
      </c>
      <c r="I7" s="269">
        <v>37.68</v>
      </c>
      <c r="J7" s="269">
        <v>35.9</v>
      </c>
      <c r="K7" s="279">
        <v>44658</v>
      </c>
      <c r="L7" s="270" t="s">
        <v>227</v>
      </c>
      <c r="M7" s="269">
        <f t="shared" si="0"/>
        <v>35.76</v>
      </c>
    </row>
    <row r="8" spans="1:15" s="140" customFormat="1" ht="120">
      <c r="B8" s="258" t="str">
        <f>IF([3]INSUMOS!C45="MERCADO",[3]INSUMOS!A45,"ERRO")</f>
        <v>ELÉTRICA</v>
      </c>
      <c r="C8" s="291">
        <f>[3]INSUMOS!B45</f>
        <v>1042</v>
      </c>
      <c r="D8" s="259" t="str">
        <f>IF([3]INSUMOS!C45="MERCADO",[3]INSUMOS!E45,"ERRO")</f>
        <v>CABO DE REDE (PATCH CORD) CATEGORIA 6, EXTENSÃO DE 10 METROS (PLUS CABLE PC-ETH6U100BL OU SIMILAR)</v>
      </c>
      <c r="E8" s="268" t="s">
        <v>584</v>
      </c>
      <c r="F8" s="268" t="s">
        <v>585</v>
      </c>
      <c r="G8" s="268" t="s">
        <v>586</v>
      </c>
      <c r="H8" s="269">
        <v>30.9</v>
      </c>
      <c r="I8" s="269">
        <v>34.9</v>
      </c>
      <c r="J8" s="269">
        <v>30.9</v>
      </c>
      <c r="K8" s="279">
        <v>44658</v>
      </c>
      <c r="L8" s="270" t="s">
        <v>227</v>
      </c>
      <c r="M8" s="269">
        <f t="shared" si="0"/>
        <v>32.229999999999997</v>
      </c>
    </row>
    <row r="9" spans="1:15" s="140" customFormat="1" ht="105">
      <c r="B9" s="261" t="str">
        <f>IF([3]INSUMOS!C50="MERCADO",[3]INSUMOS!A50,"ERRO")</f>
        <v>HIDROSANITÁRIA</v>
      </c>
      <c r="C9" s="292">
        <f>[3]INSUMOS!B50</f>
        <v>2005</v>
      </c>
      <c r="D9" s="263" t="str">
        <f>IF([3]INSUMOS!C50="MERCADO",[3]INSUMOS!E50,"ERRO")</f>
        <v>CARRAPETA UNIVERSAL COM VEDANTE 3/4" (BLUKIT - 060514-450 OU SIMILAR)</v>
      </c>
      <c r="E9" s="276" t="s">
        <v>587</v>
      </c>
      <c r="F9" s="276" t="s">
        <v>588</v>
      </c>
      <c r="G9" s="276" t="s">
        <v>589</v>
      </c>
      <c r="H9" s="271">
        <v>1.94</v>
      </c>
      <c r="I9" s="271">
        <v>1.2</v>
      </c>
      <c r="J9" s="271">
        <v>1.2</v>
      </c>
      <c r="K9" s="280">
        <v>44658</v>
      </c>
      <c r="L9" s="272" t="s">
        <v>227</v>
      </c>
      <c r="M9" s="271">
        <f t="shared" si="0"/>
        <v>1.45</v>
      </c>
    </row>
    <row r="10" spans="1:15" s="140" customFormat="1" ht="195">
      <c r="B10" s="261" t="str">
        <f>IF([3]INSUMOS!C51="MERCADO",[3]INSUMOS!A51,"ERRO")</f>
        <v>HIDROSANITÁRIA</v>
      </c>
      <c r="C10" s="292">
        <f>[3]INSUMOS!B51</f>
        <v>2006</v>
      </c>
      <c r="D10" s="263" t="str">
        <f>IF([3]INSUMOS!C51="MERCADO",[3]INSUMOS!E51,"ERRO")</f>
        <v>KIT UNIVERSAL DUPLO ACIONAMENTO CAIXA ACOPLADA (DECA - 1100.SI.60.01 OU SIMILAR)</v>
      </c>
      <c r="E10" s="276" t="s">
        <v>590</v>
      </c>
      <c r="F10" s="276" t="s">
        <v>591</v>
      </c>
      <c r="G10" s="276" t="s">
        <v>592</v>
      </c>
      <c r="H10" s="271">
        <v>152.99</v>
      </c>
      <c r="I10" s="271">
        <v>165</v>
      </c>
      <c r="J10" s="271">
        <v>157.47</v>
      </c>
      <c r="K10" s="280">
        <v>44658</v>
      </c>
      <c r="L10" s="272" t="s">
        <v>227</v>
      </c>
      <c r="M10" s="271">
        <f t="shared" si="0"/>
        <v>158.49</v>
      </c>
    </row>
    <row r="11" spans="1:15" s="140" customFormat="1" ht="75">
      <c r="B11" s="261" t="str">
        <f>IF([3]INSUMOS!C52="MERCADO",[3]INSUMOS!A52,"ERRO")</f>
        <v>HIDROSANITÁRIA</v>
      </c>
      <c r="C11" s="292">
        <f>[3]INSUMOS!B52</f>
        <v>2007</v>
      </c>
      <c r="D11" s="263" t="str">
        <f>IF([3]INSUMOS!C52="MERCADO",[3]INSUMOS!E52,"ERRO")</f>
        <v>KIT BOTÃO DUPLO ACIONAMENTO PARA CAIXA DE DESCARGA ACOPLADA (DECA - 1100.SI.56.01 OU SIMILAR)</v>
      </c>
      <c r="E11" s="276" t="s">
        <v>593</v>
      </c>
      <c r="F11" s="276" t="s">
        <v>594</v>
      </c>
      <c r="G11" s="276" t="s">
        <v>595</v>
      </c>
      <c r="H11" s="271">
        <v>33.85</v>
      </c>
      <c r="I11" s="271">
        <v>37.950000000000003</v>
      </c>
      <c r="J11" s="271">
        <v>30.71</v>
      </c>
      <c r="K11" s="280">
        <v>44658</v>
      </c>
      <c r="L11" s="272" t="s">
        <v>227</v>
      </c>
      <c r="M11" s="271">
        <f t="shared" si="0"/>
        <v>34.17</v>
      </c>
    </row>
    <row r="12" spans="1:15" s="140" customFormat="1" ht="105">
      <c r="B12" s="261" t="str">
        <f>IF([3]INSUMOS!C53="MERCADO",[3]INSUMOS!A53,"ERRO")</f>
        <v>HIDROSANITÁRIA</v>
      </c>
      <c r="C12" s="292">
        <f>[3]INSUMOS!B53</f>
        <v>2008</v>
      </c>
      <c r="D12" s="263" t="str">
        <f>IF([3]INSUMOS!C53="MERCADO",[3]INSUMOS!E53,"ERRO")</f>
        <v>GRELHA DE METAL INOX, PARA RALO, 15X15 CM, TAMPA QUADRADA, C/FECHO, S/CAIXILHO  (HIDROFIX OU SIMILAR)</v>
      </c>
      <c r="E12" s="276" t="s">
        <v>596</v>
      </c>
      <c r="F12" s="276" t="s">
        <v>597</v>
      </c>
      <c r="G12" s="276" t="s">
        <v>598</v>
      </c>
      <c r="H12" s="271">
        <v>12.08</v>
      </c>
      <c r="I12" s="271">
        <v>10.91</v>
      </c>
      <c r="J12" s="271">
        <v>10.9</v>
      </c>
      <c r="K12" s="280">
        <v>44658</v>
      </c>
      <c r="L12" s="272" t="s">
        <v>227</v>
      </c>
      <c r="M12" s="271">
        <f t="shared" si="0"/>
        <v>11.3</v>
      </c>
    </row>
    <row r="13" spans="1:15" s="140" customFormat="1" ht="165">
      <c r="B13" s="261" t="str">
        <f>IF([3]INSUMOS!C54="MERCADO",[3]INSUMOS!A54,"ERRO")</f>
        <v>HIDROSANITÁRIA</v>
      </c>
      <c r="C13" s="292">
        <f>[3]INSUMOS!B54</f>
        <v>2009</v>
      </c>
      <c r="D13" s="263" t="str">
        <f>IF([3]INSUMOS!C54="MERCADO",[3]INSUMOS!E54,"ERRO")</f>
        <v>GRELHA DE METAL INOX, PARA RALO, 10X10 CM, TAMPA QUADRADA, C/FECHO, S/CAIXILHO  (HIDROFIX OU SIMILAR)</v>
      </c>
      <c r="E13" s="276" t="s">
        <v>599</v>
      </c>
      <c r="F13" s="276" t="s">
        <v>600</v>
      </c>
      <c r="G13" s="276" t="s">
        <v>601</v>
      </c>
      <c r="H13" s="271">
        <v>12.08</v>
      </c>
      <c r="I13" s="271">
        <v>10.91</v>
      </c>
      <c r="J13" s="271">
        <v>10.9</v>
      </c>
      <c r="K13" s="280">
        <v>44658</v>
      </c>
      <c r="L13" s="272" t="s">
        <v>227</v>
      </c>
      <c r="M13" s="271">
        <f t="shared" si="0"/>
        <v>11.3</v>
      </c>
    </row>
    <row r="14" spans="1:15" s="140" customFormat="1" ht="150">
      <c r="B14" s="261" t="str">
        <f>IF([3]INSUMOS!C55="MERCADO",[3]INSUMOS!A55,"ERRO")</f>
        <v>HIDROSANITÁRIA</v>
      </c>
      <c r="C14" s="292">
        <f>[3]INSUMOS!B55</f>
        <v>2010</v>
      </c>
      <c r="D14" s="263" t="str">
        <f>IF([3]INSUMOS!C55="MERCADO",[3]INSUMOS!E55,"ERRO")</f>
        <v>CAIXILHO PARA GRELHA SUPORTE PARA RALO QUADRADO INOX 15X15 CM</v>
      </c>
      <c r="E14" s="276" t="s">
        <v>602</v>
      </c>
      <c r="F14" s="276" t="s">
        <v>603</v>
      </c>
      <c r="G14" s="276" t="s">
        <v>604</v>
      </c>
      <c r="H14" s="271">
        <v>13.99</v>
      </c>
      <c r="I14" s="271">
        <v>21.24</v>
      </c>
      <c r="J14" s="271">
        <v>13.99</v>
      </c>
      <c r="K14" s="280">
        <v>44658</v>
      </c>
      <c r="L14" s="272" t="s">
        <v>227</v>
      </c>
      <c r="M14" s="271">
        <f t="shared" si="0"/>
        <v>16.41</v>
      </c>
    </row>
    <row r="15" spans="1:15" s="140" customFormat="1" ht="105">
      <c r="B15" s="261" t="str">
        <f>IF([3]INSUMOS!C56="MERCADO",[3]INSUMOS!A56,"ERRO")</f>
        <v>HIDROSANITÁRIA</v>
      </c>
      <c r="C15" s="292">
        <f>[3]INSUMOS!B56</f>
        <v>2011</v>
      </c>
      <c r="D15" s="263" t="str">
        <f>IF([3]INSUMOS!C56="MERCADO",[3]INSUMOS!E56,"ERRO")</f>
        <v>CAIXILHO PARA GRELHA SUPORTE PARA RALO QUADRADO INOX 10X10 CM</v>
      </c>
      <c r="E15" s="276" t="s">
        <v>605</v>
      </c>
      <c r="F15" s="276" t="s">
        <v>606</v>
      </c>
      <c r="G15" s="276" t="s">
        <v>607</v>
      </c>
      <c r="H15" s="271">
        <v>10.9</v>
      </c>
      <c r="I15" s="271">
        <v>17.78</v>
      </c>
      <c r="J15" s="271">
        <v>12.69</v>
      </c>
      <c r="K15" s="280">
        <v>44658</v>
      </c>
      <c r="L15" s="272" t="s">
        <v>227</v>
      </c>
      <c r="M15" s="271">
        <f t="shared" si="0"/>
        <v>13.79</v>
      </c>
    </row>
    <row r="16" spans="1:15" s="140" customFormat="1" ht="90">
      <c r="B16" s="260" t="str">
        <f>IF([3]INSUMOS!C127="MERCADO",[3]INSUMOS!A127,"ERRO")</f>
        <v>AR-CONDICIONADO</v>
      </c>
      <c r="C16" s="293">
        <f>[3]INSUMOS!B127</f>
        <v>4001</v>
      </c>
      <c r="D16" s="262" t="str">
        <f>IF([3]INSUMOS!C127="MERCADO",[3]INSUMOS!E127,"ERRO")</f>
        <v>COMPRESSOR ROTATIVO, 12.000 BTUS, R22, 220V (TECUMSEH RGA5512EXD OU SIMILAR)</v>
      </c>
      <c r="E16" s="278" t="s">
        <v>608</v>
      </c>
      <c r="F16" s="278" t="s">
        <v>609</v>
      </c>
      <c r="G16" s="278" t="s">
        <v>610</v>
      </c>
      <c r="H16" s="273">
        <v>808.63</v>
      </c>
      <c r="I16" s="273">
        <v>867.55</v>
      </c>
      <c r="J16" s="273">
        <v>738.16</v>
      </c>
      <c r="K16" s="281">
        <v>44658</v>
      </c>
      <c r="L16" s="274" t="s">
        <v>227</v>
      </c>
      <c r="M16" s="273">
        <f t="shared" si="0"/>
        <v>804.78</v>
      </c>
    </row>
    <row r="17" spans="2:13" s="140" customFormat="1" ht="60">
      <c r="B17" s="260" t="str">
        <f>IF([3]INSUMOS!C128="MERCADO",[3]INSUMOS!A128,"ERRO")</f>
        <v>AR-CONDICIONADO</v>
      </c>
      <c r="C17" s="293">
        <f>[3]INSUMOS!B128</f>
        <v>4002</v>
      </c>
      <c r="D17" s="262" t="str">
        <f>IF([3]INSUMOS!C128="MERCADO",[3]INSUMOS!E128,"ERRO")</f>
        <v>COMPRESSOR SCROLL 5TR, 60.000 BTUS, R22, TRIFÁSICO, 220V (INVOTECH OU SIMILAR)</v>
      </c>
      <c r="E17" s="278" t="s">
        <v>611</v>
      </c>
      <c r="F17" s="278" t="s">
        <v>612</v>
      </c>
      <c r="G17" s="278" t="s">
        <v>613</v>
      </c>
      <c r="H17" s="273">
        <v>2417</v>
      </c>
      <c r="I17" s="273">
        <v>2036.02</v>
      </c>
      <c r="J17" s="273">
        <v>1961.12</v>
      </c>
      <c r="K17" s="281">
        <v>44659</v>
      </c>
      <c r="L17" s="274" t="s">
        <v>227</v>
      </c>
      <c r="M17" s="273">
        <f t="shared" si="0"/>
        <v>2138.0500000000002</v>
      </c>
    </row>
    <row r="18" spans="2:13" s="140" customFormat="1" ht="90">
      <c r="B18" s="260" t="str">
        <f>IF([3]INSUMOS!C129="MERCADO",[3]INSUMOS!A129,"ERRO")</f>
        <v>AR-CONDICIONADO</v>
      </c>
      <c r="C18" s="293">
        <f>[3]INSUMOS!B129</f>
        <v>4003</v>
      </c>
      <c r="D18" s="262" t="str">
        <f>IF([3]INSUMOS!C129="MERCADO",[3]INSUMOS!E129,"ERRO")</f>
        <v>COMPRESSOR SCROLL 7,5TR, 90.000 BTUS, R22, TRIFÁSICO, 220V (COPELAND OU SIMILAR)</v>
      </c>
      <c r="E18" s="278" t="s">
        <v>614</v>
      </c>
      <c r="F18" s="278" t="s">
        <v>615</v>
      </c>
      <c r="G18" s="278" t="s">
        <v>616</v>
      </c>
      <c r="H18" s="273">
        <v>3795.58</v>
      </c>
      <c r="I18" s="273">
        <v>3669.54</v>
      </c>
      <c r="J18" s="273">
        <v>2999</v>
      </c>
      <c r="K18" s="281">
        <v>44659</v>
      </c>
      <c r="L18" s="274" t="s">
        <v>227</v>
      </c>
      <c r="M18" s="273">
        <f t="shared" si="0"/>
        <v>3488.04</v>
      </c>
    </row>
    <row r="19" spans="2:13" s="140" customFormat="1" ht="105">
      <c r="B19" s="260" t="str">
        <f>IF([3]INSUMOS!C130="MERCADO",[3]INSUMOS!A130,"ERRO")</f>
        <v>AR-CONDICIONADO</v>
      </c>
      <c r="C19" s="293">
        <f>[3]INSUMOS!B130</f>
        <v>4004</v>
      </c>
      <c r="D19" s="262" t="str">
        <f>IF([3]INSUMOS!C130="MERCADO",[3]INSUMOS!E130,"ERRO")</f>
        <v>COMPRESSOR SCROLL 10TR, 120.000 BTUS, R22, TRIFÁSICO, 220V (SANYO OU SIMILAR)</v>
      </c>
      <c r="E19" s="278" t="s">
        <v>617</v>
      </c>
      <c r="F19" s="278" t="s">
        <v>618</v>
      </c>
      <c r="G19" s="278" t="s">
        <v>619</v>
      </c>
      <c r="H19" s="273">
        <v>5734.82</v>
      </c>
      <c r="I19" s="273">
        <v>4670.79</v>
      </c>
      <c r="J19" s="273">
        <v>4977.24</v>
      </c>
      <c r="K19" s="281">
        <v>44659</v>
      </c>
      <c r="L19" s="274" t="s">
        <v>227</v>
      </c>
      <c r="M19" s="273">
        <f t="shared" si="0"/>
        <v>5127.62</v>
      </c>
    </row>
    <row r="20" spans="2:13" s="140" customFormat="1" ht="60">
      <c r="B20" s="260" t="str">
        <f>IF([3]INSUMOS!C131="MERCADO",[3]INSUMOS!A131,"ERRO")</f>
        <v>AR-CONDICIONADO</v>
      </c>
      <c r="C20" s="293">
        <f>[3]INSUMOS!B131</f>
        <v>4005</v>
      </c>
      <c r="D20" s="262" t="str">
        <f>IF([3]INSUMOS!C131="MERCADO",[3]INSUMOS!E131,"ERRO")</f>
        <v>CAPACITOR SIMPLES DE 25UF, 450VAC, PARA COMPRESSOR DE AR CONDICIONADO</v>
      </c>
      <c r="E20" s="278" t="s">
        <v>620</v>
      </c>
      <c r="F20" s="278" t="s">
        <v>621</v>
      </c>
      <c r="G20" s="278" t="s">
        <v>622</v>
      </c>
      <c r="H20" s="273">
        <v>21.06</v>
      </c>
      <c r="I20" s="273">
        <v>12.17</v>
      </c>
      <c r="J20" s="273">
        <v>59.44</v>
      </c>
      <c r="K20" s="281">
        <v>44659</v>
      </c>
      <c r="L20" s="274" t="s">
        <v>227</v>
      </c>
      <c r="M20" s="273">
        <f t="shared" si="0"/>
        <v>30.89</v>
      </c>
    </row>
    <row r="21" spans="2:13" s="140" customFormat="1" ht="90">
      <c r="B21" s="260" t="str">
        <f>IF([3]INSUMOS!C132="MERCADO",[3]INSUMOS!A132,"ERRO")</f>
        <v>AR-CONDICIONADO</v>
      </c>
      <c r="C21" s="293">
        <f>[3]INSUMOS!B132</f>
        <v>4006</v>
      </c>
      <c r="D21" s="262" t="str">
        <f>IF([3]INSUMOS!C132="MERCADO",[3]INSUMOS!E132,"ERRO")</f>
        <v>CAPACITOR SIMPLES DE 30UF, 440VAC, PARA COMPRESSOR DE AR CONDICIONADO</v>
      </c>
      <c r="E21" s="278" t="s">
        <v>623</v>
      </c>
      <c r="F21" s="278" t="s">
        <v>624</v>
      </c>
      <c r="G21" s="278" t="s">
        <v>625</v>
      </c>
      <c r="H21" s="273">
        <v>21.99</v>
      </c>
      <c r="I21" s="273">
        <v>25</v>
      </c>
      <c r="J21" s="273">
        <v>34.909999999999997</v>
      </c>
      <c r="K21" s="281">
        <v>44665</v>
      </c>
      <c r="L21" s="274" t="s">
        <v>227</v>
      </c>
      <c r="M21" s="273">
        <f t="shared" si="0"/>
        <v>27.3</v>
      </c>
    </row>
    <row r="22" spans="2:13" s="140" customFormat="1" ht="105">
      <c r="B22" s="260" t="str">
        <f>IF([3]INSUMOS!C133="MERCADO",[3]INSUMOS!A133,"ERRO")</f>
        <v>AR-CONDICIONADO</v>
      </c>
      <c r="C22" s="293">
        <f>[3]INSUMOS!B133</f>
        <v>4007</v>
      </c>
      <c r="D22" s="262" t="str">
        <f>IF([3]INSUMOS!C133="MERCADO",[3]INSUMOS!E133,"ERRO")</f>
        <v>CAPACITOR SIMPLES DE 40UF, 440VAC, PARA COMPRESSOR DE AR CONDICIONADO</v>
      </c>
      <c r="E22" s="278" t="s">
        <v>626</v>
      </c>
      <c r="F22" s="278" t="s">
        <v>627</v>
      </c>
      <c r="G22" s="278" t="s">
        <v>628</v>
      </c>
      <c r="H22" s="273">
        <v>25.65</v>
      </c>
      <c r="I22" s="273">
        <v>37.99</v>
      </c>
      <c r="J22" s="273">
        <v>26</v>
      </c>
      <c r="K22" s="281">
        <v>44665</v>
      </c>
      <c r="L22" s="274" t="s">
        <v>227</v>
      </c>
      <c r="M22" s="273">
        <f t="shared" si="0"/>
        <v>29.88</v>
      </c>
    </row>
    <row r="23" spans="2:13" s="140" customFormat="1" ht="105">
      <c r="B23" s="260" t="str">
        <f>IF([3]INSUMOS!C134="MERCADO",[3]INSUMOS!A134,"ERRO")</f>
        <v>AR-CONDICIONADO</v>
      </c>
      <c r="C23" s="293">
        <f>[3]INSUMOS!B134</f>
        <v>4008</v>
      </c>
      <c r="D23" s="262" t="str">
        <f>IF([3]INSUMOS!C134="MERCADO",[3]INSUMOS!E134,"ERRO")</f>
        <v>CAPACITOR SIMPLES DE 45UF, 440VAC, PARA COMPRESSOR DE AR CONDICIONADO</v>
      </c>
      <c r="E23" s="278" t="s">
        <v>629</v>
      </c>
      <c r="F23" s="278" t="s">
        <v>630</v>
      </c>
      <c r="G23" s="278" t="s">
        <v>631</v>
      </c>
      <c r="H23" s="273">
        <v>30</v>
      </c>
      <c r="I23" s="273">
        <v>29.45</v>
      </c>
      <c r="J23" s="273">
        <v>32</v>
      </c>
      <c r="K23" s="281">
        <v>44665</v>
      </c>
      <c r="L23" s="274" t="s">
        <v>227</v>
      </c>
      <c r="M23" s="273">
        <f t="shared" ref="M23:M26" si="1">ROUND(AVERAGE(H23:J23),2)</f>
        <v>30.48</v>
      </c>
    </row>
    <row r="24" spans="2:13" s="140" customFormat="1" ht="120">
      <c r="B24" s="260" t="str">
        <f>IF([3]INSUMOS!C135="MERCADO",[3]INSUMOS!A135,"ERRO")</f>
        <v>AR-CONDICIONADO</v>
      </c>
      <c r="C24" s="293">
        <f>[3]INSUMOS!B135</f>
        <v>4009</v>
      </c>
      <c r="D24" s="262" t="str">
        <f>IF([3]INSUMOS!C135="MERCADO",[3]INSUMOS!E135,"ERRO")</f>
        <v>CAPACITOR SIMPLES DE 50UF, 380VAC, PARA COMPRESSOR DE AR CONDICIONADO</v>
      </c>
      <c r="E24" s="278" t="s">
        <v>632</v>
      </c>
      <c r="F24" s="278" t="s">
        <v>633</v>
      </c>
      <c r="G24" s="278" t="s">
        <v>634</v>
      </c>
      <c r="H24" s="273">
        <v>59.9</v>
      </c>
      <c r="I24" s="273">
        <v>36.86</v>
      </c>
      <c r="J24" s="273">
        <v>30.6</v>
      </c>
      <c r="K24" s="281">
        <v>44665</v>
      </c>
      <c r="L24" s="274" t="s">
        <v>227</v>
      </c>
      <c r="M24" s="273">
        <f t="shared" si="1"/>
        <v>42.45</v>
      </c>
    </row>
    <row r="25" spans="2:13" s="140" customFormat="1" ht="90">
      <c r="B25" s="260" t="str">
        <f>IF([3]INSUMOS!C136="MERCADO",[3]INSUMOS!A136,"ERRO")</f>
        <v>AR-CONDICIONADO</v>
      </c>
      <c r="C25" s="293">
        <f>[3]INSUMOS!B136</f>
        <v>4010</v>
      </c>
      <c r="D25" s="262" t="str">
        <f>IF([3]INSUMOS!C136="MERCADO",[3]INSUMOS!E136,"ERRO")</f>
        <v>CAPACITOR SIMPLES DE 55UF, 380VAC, PARA COMPRESSOR DE AR CONDICIONADO</v>
      </c>
      <c r="E25" s="278" t="s">
        <v>635</v>
      </c>
      <c r="F25" s="278" t="s">
        <v>636</v>
      </c>
      <c r="G25" s="278" t="s">
        <v>637</v>
      </c>
      <c r="H25" s="273">
        <v>29.41</v>
      </c>
      <c r="I25" s="273">
        <v>38.99</v>
      </c>
      <c r="J25" s="273">
        <v>37.700000000000003</v>
      </c>
      <c r="K25" s="281">
        <v>44665</v>
      </c>
      <c r="L25" s="274" t="s">
        <v>227</v>
      </c>
      <c r="M25" s="273">
        <f t="shared" si="1"/>
        <v>35.369999999999997</v>
      </c>
    </row>
    <row r="26" spans="2:13" s="140" customFormat="1" ht="90">
      <c r="B26" s="260" t="str">
        <f>IF([3]INSUMOS!C137="MERCADO",[3]INSUMOS!A137,"ERRO")</f>
        <v>AR-CONDICIONADO</v>
      </c>
      <c r="C26" s="293">
        <f>[3]INSUMOS!B137</f>
        <v>4011</v>
      </c>
      <c r="D26" s="262" t="str">
        <f>IF([3]INSUMOS!C137="MERCADO",[3]INSUMOS!E137,"ERRO")</f>
        <v>CAPACITOR SIMPLES DE 60UF, 380VAC, PARA COMPRESSOR DE AR CONDICIONADO</v>
      </c>
      <c r="E26" s="278" t="s">
        <v>638</v>
      </c>
      <c r="F26" s="278" t="s">
        <v>639</v>
      </c>
      <c r="G26" s="278" t="s">
        <v>640</v>
      </c>
      <c r="H26" s="273">
        <v>31.5</v>
      </c>
      <c r="I26" s="273">
        <v>30</v>
      </c>
      <c r="J26" s="273">
        <v>49.42</v>
      </c>
      <c r="K26" s="281">
        <v>44665</v>
      </c>
      <c r="L26" s="274" t="s">
        <v>227</v>
      </c>
      <c r="M26" s="273">
        <f t="shared" si="1"/>
        <v>36.97</v>
      </c>
    </row>
    <row r="27" spans="2:13" s="140" customFormat="1" ht="60">
      <c r="B27" s="260" t="str">
        <f>IF([3]INSUMOS!C138="MERCADO",[3]INSUMOS!A138,"ERRO")</f>
        <v>AR-CONDICIONADO</v>
      </c>
      <c r="C27" s="293">
        <f>[3]INSUMOS!B138</f>
        <v>4012</v>
      </c>
      <c r="D27" s="262" t="str">
        <f>IF([3]INSUMOS!C138="MERCADO",[3]INSUMOS!E138,"ERRO")</f>
        <v>CAPACITOR DUPLO DE 25+2,5UF, 450VAC, PARA COMPRESSOR DE AR CONDICIONADO</v>
      </c>
      <c r="E27" s="278" t="s">
        <v>641</v>
      </c>
      <c r="F27" s="278" t="s">
        <v>642</v>
      </c>
      <c r="G27" s="278" t="s">
        <v>643</v>
      </c>
      <c r="H27" s="273">
        <v>47.44</v>
      </c>
      <c r="I27" s="273">
        <v>37.03</v>
      </c>
      <c r="J27" s="273">
        <v>22.96</v>
      </c>
      <c r="K27" s="281">
        <v>44665</v>
      </c>
      <c r="L27" s="274" t="s">
        <v>227</v>
      </c>
      <c r="M27" s="273">
        <f t="shared" ref="M27:M36" si="2">ROUND(AVERAGE(H27:J27),2)</f>
        <v>35.81</v>
      </c>
    </row>
    <row r="28" spans="2:13" s="140" customFormat="1" ht="75">
      <c r="B28" s="260" t="str">
        <f>IF([3]INSUMOS!C139="MERCADO",[3]INSUMOS!A139,"ERRO")</f>
        <v>AR-CONDICIONADO</v>
      </c>
      <c r="C28" s="293">
        <f>[3]INSUMOS!B139</f>
        <v>4013</v>
      </c>
      <c r="D28" s="262" t="str">
        <f>IF([3]INSUMOS!C139="MERCADO",[3]INSUMOS!E139,"ERRO")</f>
        <v>CAPACITOR DUPLO DE 30+2,5UF, 440VAC, PARA COMPRESSOR DE AR CONDICIONADO</v>
      </c>
      <c r="E28" s="278" t="s">
        <v>644</v>
      </c>
      <c r="F28" s="278" t="s">
        <v>645</v>
      </c>
      <c r="G28" s="278" t="s">
        <v>646</v>
      </c>
      <c r="H28" s="273">
        <v>41.95</v>
      </c>
      <c r="I28" s="273">
        <v>37.25</v>
      </c>
      <c r="J28" s="273">
        <v>39.9</v>
      </c>
      <c r="K28" s="281">
        <v>44665</v>
      </c>
      <c r="L28" s="274" t="s">
        <v>227</v>
      </c>
      <c r="M28" s="273">
        <f t="shared" si="2"/>
        <v>39.700000000000003</v>
      </c>
    </row>
    <row r="29" spans="2:13" s="140" customFormat="1" ht="60">
      <c r="B29" s="260" t="str">
        <f>IF([3]INSUMOS!C140="MERCADO",[3]INSUMOS!A140,"ERRO")</f>
        <v>AR-CONDICIONADO</v>
      </c>
      <c r="C29" s="293">
        <f>[3]INSUMOS!B140</f>
        <v>4014</v>
      </c>
      <c r="D29" s="262" t="str">
        <f>IF([3]INSUMOS!C140="MERCADO",[3]INSUMOS!E140,"ERRO")</f>
        <v>CAPACITOR DUPLO DE 30+5,0UF, 380VAC, PARA COMPRESSOR DE AR CONDICIONADO</v>
      </c>
      <c r="E29" s="278" t="s">
        <v>647</v>
      </c>
      <c r="F29" s="278" t="s">
        <v>648</v>
      </c>
      <c r="G29" s="278" t="s">
        <v>649</v>
      </c>
      <c r="H29" s="273">
        <v>29.84</v>
      </c>
      <c r="I29" s="273" t="s">
        <v>650</v>
      </c>
      <c r="J29" s="273">
        <v>28.13</v>
      </c>
      <c r="K29" s="281">
        <v>44665</v>
      </c>
      <c r="L29" s="274" t="s">
        <v>227</v>
      </c>
      <c r="M29" s="273">
        <f t="shared" si="2"/>
        <v>28.99</v>
      </c>
    </row>
    <row r="30" spans="2:13" s="140" customFormat="1" ht="75">
      <c r="B30" s="260" t="str">
        <f>IF([3]INSUMOS!C141="MERCADO",[3]INSUMOS!A141,"ERRO")</f>
        <v>AR-CONDICIONADO</v>
      </c>
      <c r="C30" s="293">
        <f>[3]INSUMOS!B141</f>
        <v>4015</v>
      </c>
      <c r="D30" s="262" t="str">
        <f>IF([3]INSUMOS!C141="MERCADO",[3]INSUMOS!E141,"ERRO")</f>
        <v>CAPACITOR DUPLO DE 35+4,0UF, 440VAC, PARA COMPRESSOR DE AR CONDICIONADO</v>
      </c>
      <c r="E30" s="278" t="s">
        <v>651</v>
      </c>
      <c r="F30" s="278" t="s">
        <v>652</v>
      </c>
      <c r="G30" s="278" t="s">
        <v>653</v>
      </c>
      <c r="H30" s="273">
        <v>25.65</v>
      </c>
      <c r="I30" s="273">
        <v>26.74</v>
      </c>
      <c r="J30" s="273">
        <v>28.5</v>
      </c>
      <c r="K30" s="281">
        <v>44665</v>
      </c>
      <c r="L30" s="274" t="s">
        <v>227</v>
      </c>
      <c r="M30" s="273">
        <f t="shared" si="2"/>
        <v>26.96</v>
      </c>
    </row>
    <row r="31" spans="2:13" s="140" customFormat="1" ht="105">
      <c r="B31" s="260" t="str">
        <f>IF([3]INSUMOS!C142="MERCADO",[3]INSUMOS!A142,"ERRO")</f>
        <v>AR-CONDICIONADO</v>
      </c>
      <c r="C31" s="293">
        <f>[3]INSUMOS!B142</f>
        <v>4016</v>
      </c>
      <c r="D31" s="262" t="str">
        <f>IF([3]INSUMOS!C142="MERCADO",[3]INSUMOS!E142,"ERRO")</f>
        <v>CAPACITOR DUPLO DE 35+5,0UF, 380VAC, PARA COMPRESSOR DE AR CONDICIONADO</v>
      </c>
      <c r="E31" s="278" t="s">
        <v>654</v>
      </c>
      <c r="F31" s="278" t="s">
        <v>655</v>
      </c>
      <c r="G31" s="278" t="s">
        <v>656</v>
      </c>
      <c r="H31" s="273">
        <v>32.5</v>
      </c>
      <c r="I31" s="273">
        <v>25.65</v>
      </c>
      <c r="J31" s="273">
        <v>29.99</v>
      </c>
      <c r="K31" s="281">
        <v>44665</v>
      </c>
      <c r="L31" s="274" t="s">
        <v>227</v>
      </c>
      <c r="M31" s="273">
        <f t="shared" si="2"/>
        <v>29.38</v>
      </c>
    </row>
    <row r="32" spans="2:13" s="140" customFormat="1" ht="120">
      <c r="B32" s="260" t="str">
        <f>IF([3]INSUMOS!C143="MERCADO",[3]INSUMOS!A143,"ERRO")</f>
        <v>AR-CONDICIONADO</v>
      </c>
      <c r="C32" s="293">
        <f>[3]INSUMOS!B143</f>
        <v>4017</v>
      </c>
      <c r="D32" s="262" t="str">
        <f>IF([3]INSUMOS!C143="MERCADO",[3]INSUMOS!E143,"ERRO")</f>
        <v>CAPACITOR DUPLO DE 40+4,0UF, 440VAC, PARA COMPRESSOR DE AR CONDICIONADO</v>
      </c>
      <c r="E32" s="278" t="s">
        <v>657</v>
      </c>
      <c r="F32" s="278" t="s">
        <v>658</v>
      </c>
      <c r="G32" s="278" t="s">
        <v>659</v>
      </c>
      <c r="H32" s="273">
        <v>25.71</v>
      </c>
      <c r="I32" s="273">
        <v>52</v>
      </c>
      <c r="J32" s="273">
        <v>27.55</v>
      </c>
      <c r="K32" s="281">
        <v>44665</v>
      </c>
      <c r="L32" s="274" t="s">
        <v>227</v>
      </c>
      <c r="M32" s="273">
        <f t="shared" si="2"/>
        <v>35.090000000000003</v>
      </c>
    </row>
    <row r="33" spans="2:13" s="140" customFormat="1" ht="60">
      <c r="B33" s="260" t="str">
        <f>IF([3]INSUMOS!C144="MERCADO",[3]INSUMOS!A144,"ERRO")</f>
        <v>AR-CONDICIONADO</v>
      </c>
      <c r="C33" s="293">
        <f>[3]INSUMOS!B144</f>
        <v>4018</v>
      </c>
      <c r="D33" s="262" t="str">
        <f>IF([3]INSUMOS!C144="MERCADO",[3]INSUMOS!E144,"ERRO")</f>
        <v>CAPACITOR DUPLO DE 40+5,0UF, 440VAC, PARA COMPRESSOR DE AR CONDICIONADO</v>
      </c>
      <c r="E33" s="278" t="s">
        <v>660</v>
      </c>
      <c r="F33" s="278" t="s">
        <v>661</v>
      </c>
      <c r="G33" s="278" t="s">
        <v>662</v>
      </c>
      <c r="H33" s="273">
        <v>40.119999999999997</v>
      </c>
      <c r="I33" s="273">
        <v>39.9</v>
      </c>
      <c r="J33" s="273">
        <v>32.979999999999997</v>
      </c>
      <c r="K33" s="281">
        <v>44665</v>
      </c>
      <c r="L33" s="274" t="s">
        <v>227</v>
      </c>
      <c r="M33" s="273">
        <f t="shared" si="2"/>
        <v>37.67</v>
      </c>
    </row>
    <row r="34" spans="2:13" s="140" customFormat="1" ht="60">
      <c r="B34" s="260" t="str">
        <f>IF([3]INSUMOS!C145="MERCADO",[3]INSUMOS!A145,"ERRO")</f>
        <v>AR-CONDICIONADO</v>
      </c>
      <c r="C34" s="293">
        <f>[3]INSUMOS!B145</f>
        <v>4019</v>
      </c>
      <c r="D34" s="262" t="str">
        <f>IF([3]INSUMOS!C145="MERCADO",[3]INSUMOS!E145,"ERRO")</f>
        <v>CAPACITOR DUPLO DE 45+5,0UF, 380VAC, PARA COMPRESSOR DE AR CONDICIONADO</v>
      </c>
      <c r="E34" s="278" t="s">
        <v>663</v>
      </c>
      <c r="F34" s="278" t="s">
        <v>664</v>
      </c>
      <c r="G34" s="278" t="s">
        <v>665</v>
      </c>
      <c r="H34" s="273">
        <v>42</v>
      </c>
      <c r="I34" s="273">
        <v>36.86</v>
      </c>
      <c r="J34" s="273">
        <v>36.01</v>
      </c>
      <c r="K34" s="281">
        <v>44665</v>
      </c>
      <c r="L34" s="274" t="s">
        <v>227</v>
      </c>
      <c r="M34" s="273">
        <f t="shared" si="2"/>
        <v>38.29</v>
      </c>
    </row>
    <row r="35" spans="2:13" s="140" customFormat="1" ht="90">
      <c r="B35" s="260" t="str">
        <f>IF([3]INSUMOS!C146="MERCADO",[3]INSUMOS!A146,"ERRO")</f>
        <v>AR-CONDICIONADO</v>
      </c>
      <c r="C35" s="293">
        <f>[3]INSUMOS!B146</f>
        <v>4020</v>
      </c>
      <c r="D35" s="262" t="str">
        <f>IF([3]INSUMOS!C146="MERCADO",[3]INSUMOS!E146,"ERRO")</f>
        <v>CAPACITOR DUPLO DE 50+5,0UF, 380VAC, PARA COMPRESSOR DE AR CONDICIONADO</v>
      </c>
      <c r="E35" s="278" t="s">
        <v>666</v>
      </c>
      <c r="F35" s="278" t="s">
        <v>667</v>
      </c>
      <c r="G35" s="278" t="s">
        <v>668</v>
      </c>
      <c r="H35" s="273">
        <v>54.9</v>
      </c>
      <c r="I35" s="273">
        <v>38.700000000000003</v>
      </c>
      <c r="J35" s="273">
        <v>39.9</v>
      </c>
      <c r="K35" s="281">
        <v>44665</v>
      </c>
      <c r="L35" s="274" t="s">
        <v>227</v>
      </c>
      <c r="M35" s="273">
        <f t="shared" si="2"/>
        <v>44.5</v>
      </c>
    </row>
    <row r="36" spans="2:13" s="140" customFormat="1" ht="90">
      <c r="B36" s="260" t="str">
        <f>IF([3]INSUMOS!C147="MERCADO",[3]INSUMOS!A147,"ERRO")</f>
        <v>AR-CONDICIONADO</v>
      </c>
      <c r="C36" s="293">
        <f>[3]INSUMOS!B147</f>
        <v>4021</v>
      </c>
      <c r="D36" s="262" t="str">
        <f>IF([3]INSUMOS!C147="MERCADO",[3]INSUMOS!E147,"ERRO")</f>
        <v>CAPACITOR DUPLO DE 60+5,0UF, 380VAC, PARA COMPRESSOR DE AR CONDICIONADO</v>
      </c>
      <c r="E36" s="278" t="s">
        <v>669</v>
      </c>
      <c r="F36" s="278" t="s">
        <v>670</v>
      </c>
      <c r="G36" s="278" t="s">
        <v>671</v>
      </c>
      <c r="H36" s="273">
        <v>52.9</v>
      </c>
      <c r="I36" s="273">
        <v>43.65</v>
      </c>
      <c r="J36" s="273">
        <v>44</v>
      </c>
      <c r="K36" s="281">
        <v>44665</v>
      </c>
      <c r="L36" s="274" t="s">
        <v>227</v>
      </c>
      <c r="M36" s="273">
        <f t="shared" si="2"/>
        <v>46.85</v>
      </c>
    </row>
    <row r="37" spans="2:13" s="140" customFormat="1" ht="75">
      <c r="B37" s="260" t="str">
        <f>IF([3]INSUMOS!C148="MERCADO",[3]INSUMOS!A148,"ERRO")</f>
        <v>AR-CONDICIONADO</v>
      </c>
      <c r="C37" s="293">
        <f>[3]INSUMOS!B148</f>
        <v>4022</v>
      </c>
      <c r="D37" s="262" t="str">
        <f>IF([3]INSUMOS!C148="MERCADO",[3]INSUMOS!E148,"ERRO")</f>
        <v>CAPACITOR DUPLO DE 17+2.5 MFD 450VAC, PARA COMPRESSOR AR CONDICIONADO 9.000BTU</v>
      </c>
      <c r="E37" s="278" t="s">
        <v>672</v>
      </c>
      <c r="F37" s="278" t="s">
        <v>673</v>
      </c>
      <c r="G37" s="278" t="s">
        <v>674</v>
      </c>
      <c r="H37" s="273">
        <v>28.12</v>
      </c>
      <c r="I37" s="273">
        <v>21.1</v>
      </c>
      <c r="J37" s="273">
        <v>25.22</v>
      </c>
      <c r="K37" s="281">
        <v>44659</v>
      </c>
      <c r="L37" s="274" t="s">
        <v>227</v>
      </c>
      <c r="M37" s="273">
        <f t="shared" si="0"/>
        <v>24.81</v>
      </c>
    </row>
    <row r="38" spans="2:13" s="140" customFormat="1" ht="45">
      <c r="B38" s="260" t="str">
        <f>IF([3]INSUMOS!C149="MERCADO",[3]INSUMOS!A149,"ERRO")</f>
        <v>AR-CONDICIONADO</v>
      </c>
      <c r="C38" s="293">
        <f>[3]INSUMOS!B149</f>
        <v>4023</v>
      </c>
      <c r="D38" s="262" t="str">
        <f>IF([3]INSUMOS!C149="MERCADO",[3]INSUMOS!E149,"ERRO")</f>
        <v>CAPACITOR DE 17,5 MFD 380VAC PARA COMPRESSOR 9.000 OU 12.000BTU</v>
      </c>
      <c r="E38" s="278" t="s">
        <v>675</v>
      </c>
      <c r="F38" s="278" t="s">
        <v>676</v>
      </c>
      <c r="G38" s="278" t="s">
        <v>677</v>
      </c>
      <c r="H38" s="273">
        <v>22.63</v>
      </c>
      <c r="I38" s="273">
        <v>48.4</v>
      </c>
      <c r="J38" s="273">
        <v>19.899999999999999</v>
      </c>
      <c r="K38" s="281">
        <v>44659</v>
      </c>
      <c r="L38" s="274" t="s">
        <v>227</v>
      </c>
      <c r="M38" s="273">
        <f t="shared" si="0"/>
        <v>30.31</v>
      </c>
    </row>
    <row r="39" spans="2:13" s="140" customFormat="1" ht="45">
      <c r="B39" s="260" t="str">
        <f>IF([3]INSUMOS!C150="MERCADO",[3]INSUMOS!A150,"ERRO")</f>
        <v>AR-CONDICIONADO</v>
      </c>
      <c r="C39" s="293">
        <f>[3]INSUMOS!B150</f>
        <v>4024</v>
      </c>
      <c r="D39" s="262" t="str">
        <f>IF([3]INSUMOS!C150="MERCADO",[3]INSUMOS!E150,"ERRO")</f>
        <v>CAPACITOR DE 35 MFD 380VAC / 440VAC PARA COMPRESSOR 18.000BTU</v>
      </c>
      <c r="E39" s="278" t="s">
        <v>678</v>
      </c>
      <c r="F39" s="278" t="s">
        <v>679</v>
      </c>
      <c r="G39" s="278" t="s">
        <v>680</v>
      </c>
      <c r="H39" s="273">
        <v>23.9</v>
      </c>
      <c r="I39" s="273">
        <v>21.6</v>
      </c>
      <c r="J39" s="273">
        <v>17.95</v>
      </c>
      <c r="K39" s="281">
        <v>44659</v>
      </c>
      <c r="L39" s="274" t="s">
        <v>227</v>
      </c>
      <c r="M39" s="273">
        <f t="shared" si="0"/>
        <v>21.15</v>
      </c>
    </row>
    <row r="40" spans="2:13" s="140" customFormat="1" ht="75">
      <c r="B40" s="260" t="str">
        <f>IF([3]INSUMOS!C151="MERCADO",[3]INSUMOS!A151,"ERRO")</f>
        <v>AR-CONDICIONADO</v>
      </c>
      <c r="C40" s="293">
        <f>[3]INSUMOS!B151</f>
        <v>4025</v>
      </c>
      <c r="D40" s="262" t="str">
        <f>IF([3]INSUMOS!C151="MERCADO",[3]INSUMOS!E151,"ERRO")</f>
        <v>CAPACITOR SIMPLES DO MOTOR VENTILADOR 1,5UF 450VAC</v>
      </c>
      <c r="E40" s="278" t="s">
        <v>681</v>
      </c>
      <c r="F40" s="278" t="s">
        <v>682</v>
      </c>
      <c r="G40" s="278" t="s">
        <v>683</v>
      </c>
      <c r="H40" s="273">
        <v>30.48</v>
      </c>
      <c r="I40" s="273">
        <v>30.48</v>
      </c>
      <c r="J40" s="273">
        <v>29.9</v>
      </c>
      <c r="K40" s="281">
        <v>44664</v>
      </c>
      <c r="L40" s="274" t="s">
        <v>227</v>
      </c>
      <c r="M40" s="273">
        <f t="shared" si="0"/>
        <v>30.29</v>
      </c>
    </row>
    <row r="41" spans="2:13" s="140" customFormat="1" ht="135">
      <c r="B41" s="260" t="str">
        <f>IF([3]INSUMOS!C152="MERCADO",[3]INSUMOS!A152,"ERRO")</f>
        <v>AR-CONDICIONADO</v>
      </c>
      <c r="C41" s="293">
        <f>[3]INSUMOS!B152</f>
        <v>4026</v>
      </c>
      <c r="D41" s="262" t="str">
        <f>IF([3]INSUMOS!C152="MERCADO",[3]INSUMOS!E152,"ERRO")</f>
        <v>CAPACITOR SIMPLES DO MOTOR VENTILADOR 2,5UF 450VAC</v>
      </c>
      <c r="E41" s="278" t="s">
        <v>684</v>
      </c>
      <c r="F41" s="278" t="s">
        <v>685</v>
      </c>
      <c r="G41" s="278" t="s">
        <v>686</v>
      </c>
      <c r="H41" s="273">
        <v>12.6</v>
      </c>
      <c r="I41" s="273">
        <v>14.9</v>
      </c>
      <c r="J41" s="273">
        <v>12.2</v>
      </c>
      <c r="K41" s="281">
        <v>44664</v>
      </c>
      <c r="L41" s="274" t="s">
        <v>227</v>
      </c>
      <c r="M41" s="273">
        <f t="shared" si="0"/>
        <v>13.23</v>
      </c>
    </row>
    <row r="42" spans="2:13" s="140" customFormat="1" ht="105">
      <c r="B42" s="260" t="str">
        <f>IF([3]INSUMOS!C153="MERCADO",[3]INSUMOS!A153,"ERRO")</f>
        <v>AR-CONDICIONADO</v>
      </c>
      <c r="C42" s="293">
        <f>[3]INSUMOS!B153</f>
        <v>4027</v>
      </c>
      <c r="D42" s="262" t="str">
        <f>IF([3]INSUMOS!C153="MERCADO",[3]INSUMOS!E153,"ERRO")</f>
        <v>CAPACITOR SIMPLES DO MOTOR VENTILADOR 4UF 450VAC</v>
      </c>
      <c r="E42" s="278" t="s">
        <v>687</v>
      </c>
      <c r="F42" s="278" t="s">
        <v>688</v>
      </c>
      <c r="G42" s="278" t="s">
        <v>689</v>
      </c>
      <c r="H42" s="273">
        <v>18.5</v>
      </c>
      <c r="I42" s="273">
        <v>15</v>
      </c>
      <c r="J42" s="273">
        <v>62.57</v>
      </c>
      <c r="K42" s="281">
        <v>44664</v>
      </c>
      <c r="L42" s="274" t="s">
        <v>227</v>
      </c>
      <c r="M42" s="273">
        <f t="shared" si="0"/>
        <v>32.020000000000003</v>
      </c>
    </row>
    <row r="43" spans="2:13" s="140" customFormat="1" ht="90">
      <c r="B43" s="260" t="str">
        <f>IF([3]INSUMOS!C154="MERCADO",[3]INSUMOS!A154,"ERRO")</f>
        <v>AR-CONDICIONADO</v>
      </c>
      <c r="C43" s="293">
        <f>[3]INSUMOS!B154</f>
        <v>4028</v>
      </c>
      <c r="D43" s="262" t="str">
        <f>IF([3]INSUMOS!C154="MERCADO",[3]INSUMOS!E154,"ERRO")</f>
        <v>CAPACITOR SIMPLES DO MOTOR VENTILADOR 8UF 450VAC</v>
      </c>
      <c r="E43" s="278" t="s">
        <v>690</v>
      </c>
      <c r="F43" s="278" t="s">
        <v>691</v>
      </c>
      <c r="G43" s="278" t="s">
        <v>692</v>
      </c>
      <c r="H43" s="273">
        <v>51.86</v>
      </c>
      <c r="I43" s="273">
        <v>58.5</v>
      </c>
      <c r="J43" s="273">
        <v>26.01</v>
      </c>
      <c r="K43" s="281">
        <v>44664</v>
      </c>
      <c r="L43" s="274" t="s">
        <v>227</v>
      </c>
      <c r="M43" s="273">
        <f t="shared" si="0"/>
        <v>45.46</v>
      </c>
    </row>
    <row r="44" spans="2:13" s="140" customFormat="1" ht="60">
      <c r="B44" s="260" t="str">
        <f>IF([3]INSUMOS!C155="MERCADO",[3]INSUMOS!A155,"ERRO")</f>
        <v>AR-CONDICIONADO</v>
      </c>
      <c r="C44" s="293">
        <f>[3]INSUMOS!B155</f>
        <v>4029</v>
      </c>
      <c r="D44" s="262" t="str">
        <f>IF([3]INSUMOS!C155="MERCADO",[3]INSUMOS!E155,"ERRO")</f>
        <v>CAPACITOR 10MFD 380V C/TERMINAL 40X60</v>
      </c>
      <c r="E44" s="278" t="s">
        <v>693</v>
      </c>
      <c r="F44" s="278" t="s">
        <v>694</v>
      </c>
      <c r="G44" s="278" t="s">
        <v>695</v>
      </c>
      <c r="H44" s="273">
        <v>12.61</v>
      </c>
      <c r="I44" s="273">
        <v>7.6</v>
      </c>
      <c r="J44" s="273">
        <v>14.4</v>
      </c>
      <c r="K44" s="281">
        <v>44659</v>
      </c>
      <c r="L44" s="274" t="s">
        <v>227</v>
      </c>
      <c r="M44" s="273">
        <f t="shared" si="0"/>
        <v>11.54</v>
      </c>
    </row>
    <row r="45" spans="2:13" s="140" customFormat="1" ht="105">
      <c r="B45" s="260" t="str">
        <f>IF([3]INSUMOS!C156="MERCADO",[3]INSUMOS!A156,"ERRO")</f>
        <v>AR-CONDICIONADO</v>
      </c>
      <c r="C45" s="293">
        <f>[3]INSUMOS!B156</f>
        <v>4030</v>
      </c>
      <c r="D45" s="262" t="str">
        <f>IF([3]INSUMOS!C156="MERCADO",[3]INSUMOS!E156,"ERRO")</f>
        <v>CONTATOR TRIPOLAR DE 9A 1NA 220V</v>
      </c>
      <c r="E45" s="278" t="s">
        <v>696</v>
      </c>
      <c r="F45" s="278" t="s">
        <v>697</v>
      </c>
      <c r="G45" s="278" t="s">
        <v>698</v>
      </c>
      <c r="H45" s="273">
        <v>162.19999999999999</v>
      </c>
      <c r="I45" s="273">
        <v>158.09</v>
      </c>
      <c r="J45" s="273">
        <v>119</v>
      </c>
      <c r="K45" s="281">
        <v>44665</v>
      </c>
      <c r="L45" s="274" t="s">
        <v>227</v>
      </c>
      <c r="M45" s="273">
        <f t="shared" si="0"/>
        <v>146.43</v>
      </c>
    </row>
    <row r="46" spans="2:13" s="140" customFormat="1" ht="90">
      <c r="B46" s="260" t="str">
        <f>IF([3]INSUMOS!C157="MERCADO",[3]INSUMOS!A157,"ERRO")</f>
        <v>AR-CONDICIONADO</v>
      </c>
      <c r="C46" s="293">
        <f>[3]INSUMOS!B157</f>
        <v>4031</v>
      </c>
      <c r="D46" s="262" t="str">
        <f>IF([3]INSUMOS!C157="MERCADO",[3]INSUMOS!E157,"ERRO")</f>
        <v>CONTATOR TRIPOLAR DE 25A 220V</v>
      </c>
      <c r="E46" s="278" t="s">
        <v>699</v>
      </c>
      <c r="F46" s="278" t="s">
        <v>700</v>
      </c>
      <c r="G46" s="278" t="s">
        <v>701</v>
      </c>
      <c r="H46" s="273">
        <v>198.2</v>
      </c>
      <c r="I46" s="273">
        <v>168.54</v>
      </c>
      <c r="J46" s="273">
        <v>218.72</v>
      </c>
      <c r="K46" s="281">
        <v>44665</v>
      </c>
      <c r="L46" s="274" t="s">
        <v>227</v>
      </c>
      <c r="M46" s="273">
        <f t="shared" si="0"/>
        <v>195.15</v>
      </c>
    </row>
    <row r="47" spans="2:13" s="140" customFormat="1" ht="90">
      <c r="B47" s="260" t="str">
        <f>IF([3]INSUMOS!C158="MERCADO",[3]INSUMOS!A158,"ERRO")</f>
        <v>AR-CONDICIONADO</v>
      </c>
      <c r="C47" s="293">
        <f>[3]INSUMOS!B158</f>
        <v>4032</v>
      </c>
      <c r="D47" s="262" t="str">
        <f>IF([3]INSUMOS!C158="MERCADO",[3]INSUMOS!E158,"ERRO")</f>
        <v>CONTATOR TRIPOLAR DE 32A 220V</v>
      </c>
      <c r="E47" s="278" t="s">
        <v>702</v>
      </c>
      <c r="F47" s="278" t="s">
        <v>703</v>
      </c>
      <c r="G47" s="278" t="s">
        <v>704</v>
      </c>
      <c r="H47" s="273">
        <v>269.2</v>
      </c>
      <c r="I47" s="273">
        <v>316.60000000000002</v>
      </c>
      <c r="J47" s="273">
        <v>342.09</v>
      </c>
      <c r="K47" s="281">
        <v>44665</v>
      </c>
      <c r="L47" s="274" t="s">
        <v>227</v>
      </c>
      <c r="M47" s="273">
        <f t="shared" si="0"/>
        <v>309.3</v>
      </c>
    </row>
    <row r="48" spans="2:13" s="140" customFormat="1" ht="180">
      <c r="B48" s="260" t="str">
        <f>IF([3]INSUMOS!C159="MERCADO",[3]INSUMOS!A159,"ERRO")</f>
        <v>AR-CONDICIONADO</v>
      </c>
      <c r="C48" s="293">
        <f>[3]INSUMOS!B159</f>
        <v>4033</v>
      </c>
      <c r="D48" s="262" t="str">
        <f>IF([3]INSUMOS!C159="MERCADO",[3]INSUMOS!E159,"ERRO")</f>
        <v>CONTATOR TRIPOLAR DE 40A 220V</v>
      </c>
      <c r="E48" s="278" t="s">
        <v>705</v>
      </c>
      <c r="F48" s="278" t="s">
        <v>706</v>
      </c>
      <c r="G48" s="278" t="s">
        <v>707</v>
      </c>
      <c r="H48" s="273">
        <v>360.53</v>
      </c>
      <c r="I48" s="273">
        <v>424</v>
      </c>
      <c r="J48" s="273">
        <v>357.17</v>
      </c>
      <c r="K48" s="281">
        <v>44665</v>
      </c>
      <c r="L48" s="274" t="s">
        <v>227</v>
      </c>
      <c r="M48" s="273">
        <f t="shared" si="0"/>
        <v>380.57</v>
      </c>
    </row>
    <row r="49" spans="2:13" s="140" customFormat="1" ht="180">
      <c r="B49" s="260" t="str">
        <f>IF([3]INSUMOS!C160="MERCADO",[3]INSUMOS!A160,"ERRO")</f>
        <v>AR-CONDICIONADO</v>
      </c>
      <c r="C49" s="293">
        <f>[3]INSUMOS!B160</f>
        <v>4034</v>
      </c>
      <c r="D49" s="262" t="str">
        <f>IF([3]INSUMOS!C160="MERCADO",[3]INSUMOS!E160,"ERRO")</f>
        <v>CONTATOR TRIPOLAR DE 50A 220V</v>
      </c>
      <c r="E49" s="278" t="s">
        <v>708</v>
      </c>
      <c r="F49" s="278" t="s">
        <v>709</v>
      </c>
      <c r="G49" s="278" t="s">
        <v>710</v>
      </c>
      <c r="H49" s="273">
        <v>483.98</v>
      </c>
      <c r="I49" s="273">
        <v>554.29999999999995</v>
      </c>
      <c r="J49" s="273">
        <v>479.5</v>
      </c>
      <c r="K49" s="281">
        <v>44665</v>
      </c>
      <c r="L49" s="274" t="s">
        <v>227</v>
      </c>
      <c r="M49" s="273">
        <f t="shared" si="0"/>
        <v>505.93</v>
      </c>
    </row>
    <row r="50" spans="2:13" s="140" customFormat="1" ht="75">
      <c r="B50" s="260" t="str">
        <f>IF([3]INSUMOS!C161="MERCADO",[3]INSUMOS!A161,"ERRO")</f>
        <v>AR-CONDICIONADO</v>
      </c>
      <c r="C50" s="293">
        <f>[3]INSUMOS!B161</f>
        <v>4035</v>
      </c>
      <c r="D50" s="262" t="str">
        <f>IF([3]INSUMOS!C161="MERCADO",[3]INSUMOS!E161,"ERRO")</f>
        <v>CORREIA EM V PARA VENTILADOR AR COND B27</v>
      </c>
      <c r="E50" s="278" t="s">
        <v>711</v>
      </c>
      <c r="F50" s="278" t="s">
        <v>712</v>
      </c>
      <c r="G50" s="278" t="s">
        <v>713</v>
      </c>
      <c r="H50" s="273">
        <v>9.16</v>
      </c>
      <c r="I50" s="273">
        <v>27.54</v>
      </c>
      <c r="J50" s="273">
        <v>13.41</v>
      </c>
      <c r="K50" s="281">
        <v>44665</v>
      </c>
      <c r="L50" s="274" t="s">
        <v>227</v>
      </c>
      <c r="M50" s="273">
        <f t="shared" si="0"/>
        <v>16.7</v>
      </c>
    </row>
    <row r="51" spans="2:13" s="140" customFormat="1" ht="30">
      <c r="B51" s="260" t="str">
        <f>IF([3]INSUMOS!C162="MERCADO",[3]INSUMOS!A162,"ERRO")</f>
        <v>AR-CONDICIONADO</v>
      </c>
      <c r="C51" s="293">
        <f>[3]INSUMOS!B162</f>
        <v>4036</v>
      </c>
      <c r="D51" s="262" t="str">
        <f>IF([3]INSUMOS!C162="MERCADO",[3]INSUMOS!E162,"ERRO")</f>
        <v>CORREIA EM V PARA VENTILADOR AR COND B28</v>
      </c>
      <c r="E51" s="278" t="s">
        <v>714</v>
      </c>
      <c r="F51" s="278" t="s">
        <v>715</v>
      </c>
      <c r="G51" s="278" t="s">
        <v>716</v>
      </c>
      <c r="H51" s="273">
        <v>9.41</v>
      </c>
      <c r="I51" s="273">
        <v>18.989999999999998</v>
      </c>
      <c r="J51" s="273">
        <v>28.49</v>
      </c>
      <c r="K51" s="281">
        <v>44665</v>
      </c>
      <c r="L51" s="274" t="s">
        <v>227</v>
      </c>
      <c r="M51" s="273">
        <f t="shared" si="0"/>
        <v>18.96</v>
      </c>
    </row>
    <row r="52" spans="2:13" s="140" customFormat="1" ht="30">
      <c r="B52" s="260" t="str">
        <f>IF([3]INSUMOS!C163="MERCADO",[3]INSUMOS!A163,"ERRO")</f>
        <v>AR-CONDICIONADO</v>
      </c>
      <c r="C52" s="293">
        <f>[3]INSUMOS!B163</f>
        <v>4037</v>
      </c>
      <c r="D52" s="262" t="str">
        <f>IF([3]INSUMOS!C163="MERCADO",[3]INSUMOS!E163,"ERRO")</f>
        <v>CORREIA EM V PARA VENTILADOR AR COND B32</v>
      </c>
      <c r="E52" s="278" t="s">
        <v>717</v>
      </c>
      <c r="F52" s="278" t="s">
        <v>718</v>
      </c>
      <c r="G52" s="278" t="s">
        <v>719</v>
      </c>
      <c r="H52" s="273">
        <v>35.880000000000003</v>
      </c>
      <c r="I52" s="273">
        <v>10.76</v>
      </c>
      <c r="J52" s="273">
        <v>19.899999999999999</v>
      </c>
      <c r="K52" s="281">
        <v>44665</v>
      </c>
      <c r="L52" s="274" t="s">
        <v>227</v>
      </c>
      <c r="M52" s="273">
        <f t="shared" si="0"/>
        <v>22.18</v>
      </c>
    </row>
    <row r="53" spans="2:13" s="140" customFormat="1" ht="90">
      <c r="B53" s="260" t="str">
        <f>IF([3]INSUMOS!C164="MERCADO",[3]INSUMOS!A164,"ERRO")</f>
        <v>AR-CONDICIONADO</v>
      </c>
      <c r="C53" s="293">
        <f>[3]INSUMOS!B164</f>
        <v>4038</v>
      </c>
      <c r="D53" s="262" t="str">
        <f>IF([3]INSUMOS!C164="MERCADO",[3]INSUMOS!E164,"ERRO")</f>
        <v>CORREIA EM V PARA VENTILADOR AR COND B35</v>
      </c>
      <c r="E53" s="278" t="s">
        <v>720</v>
      </c>
      <c r="F53" s="278" t="s">
        <v>721</v>
      </c>
      <c r="G53" s="278" t="s">
        <v>722</v>
      </c>
      <c r="H53" s="273">
        <v>17.010000000000002</v>
      </c>
      <c r="I53" s="273">
        <v>17.940000000000001</v>
      </c>
      <c r="J53" s="273">
        <v>16.09</v>
      </c>
      <c r="K53" s="281">
        <v>44665</v>
      </c>
      <c r="L53" s="274" t="s">
        <v>227</v>
      </c>
      <c r="M53" s="273">
        <f t="shared" si="0"/>
        <v>17.010000000000002</v>
      </c>
    </row>
    <row r="54" spans="2:13" s="140" customFormat="1" ht="90">
      <c r="B54" s="260" t="str">
        <f>IF([3]INSUMOS!C165="MERCADO",[3]INSUMOS!A165,"ERRO")</f>
        <v>AR-CONDICIONADO</v>
      </c>
      <c r="C54" s="293">
        <f>[3]INSUMOS!B165</f>
        <v>4039</v>
      </c>
      <c r="D54" s="262" t="str">
        <f>IF([3]INSUMOS!C165="MERCADO",[3]INSUMOS!E165,"ERRO")</f>
        <v>CORREIA EM V PARA VENTILADOR AR COND B38</v>
      </c>
      <c r="E54" s="278" t="s">
        <v>723</v>
      </c>
      <c r="F54" s="278" t="s">
        <v>724</v>
      </c>
      <c r="G54" s="278" t="s">
        <v>725</v>
      </c>
      <c r="H54" s="273">
        <v>18.91</v>
      </c>
      <c r="I54" s="273">
        <v>17.39</v>
      </c>
      <c r="J54" s="273">
        <v>19.32</v>
      </c>
      <c r="K54" s="281">
        <v>44665</v>
      </c>
      <c r="L54" s="274" t="s">
        <v>227</v>
      </c>
      <c r="M54" s="273">
        <f t="shared" si="0"/>
        <v>18.54</v>
      </c>
    </row>
    <row r="55" spans="2:13" s="140" customFormat="1" ht="120">
      <c r="B55" s="260" t="str">
        <f>IF([3]INSUMOS!C166="MERCADO",[3]INSUMOS!A166,"ERRO")</f>
        <v>AR-CONDICIONADO</v>
      </c>
      <c r="C55" s="293">
        <f>[3]INSUMOS!B166</f>
        <v>4040</v>
      </c>
      <c r="D55" s="262" t="str">
        <f>IF([3]INSUMOS!C166="MERCADO",[3]INSUMOS!E166,"ERRO")</f>
        <v>CORREIA EM V PARA VENTILADOR AR COND B42</v>
      </c>
      <c r="E55" s="278" t="s">
        <v>726</v>
      </c>
      <c r="F55" s="278" t="s">
        <v>727</v>
      </c>
      <c r="G55" s="278" t="s">
        <v>728</v>
      </c>
      <c r="H55" s="273">
        <v>19.29</v>
      </c>
      <c r="I55" s="273">
        <v>21.76</v>
      </c>
      <c r="J55" s="273">
        <v>18.899999999999999</v>
      </c>
      <c r="K55" s="281">
        <v>44665</v>
      </c>
      <c r="L55" s="274" t="s">
        <v>227</v>
      </c>
      <c r="M55" s="273">
        <f t="shared" si="0"/>
        <v>19.98</v>
      </c>
    </row>
    <row r="56" spans="2:13" s="140" customFormat="1" ht="90">
      <c r="B56" s="260" t="str">
        <f>IF([3]INSUMOS!C167="MERCADO",[3]INSUMOS!A167,"ERRO")</f>
        <v>AR-CONDICIONADO</v>
      </c>
      <c r="C56" s="293">
        <f>[3]INSUMOS!B167</f>
        <v>4041</v>
      </c>
      <c r="D56" s="262" t="str">
        <f>IF([3]INSUMOS!C167="MERCADO",[3]INSUMOS!E167,"ERRO")</f>
        <v>CORREIA EM V PARA VENTILADOR AR COND B44</v>
      </c>
      <c r="E56" s="278" t="s">
        <v>729</v>
      </c>
      <c r="F56" s="278" t="s">
        <v>730</v>
      </c>
      <c r="G56" s="278" t="s">
        <v>731</v>
      </c>
      <c r="H56" s="273">
        <v>21.76</v>
      </c>
      <c r="I56" s="273">
        <v>20.190000000000001</v>
      </c>
      <c r="J56" s="273">
        <v>21.99</v>
      </c>
      <c r="K56" s="281">
        <v>44665</v>
      </c>
      <c r="L56" s="274" t="s">
        <v>227</v>
      </c>
      <c r="M56" s="273">
        <f t="shared" si="0"/>
        <v>21.31</v>
      </c>
    </row>
    <row r="57" spans="2:13" s="140" customFormat="1" ht="120">
      <c r="B57" s="260" t="str">
        <f>IF([3]INSUMOS!C168="MERCADO",[3]INSUMOS!A168,"ERRO")</f>
        <v>AR-CONDICIONADO</v>
      </c>
      <c r="C57" s="293">
        <f>[3]INSUMOS!B168</f>
        <v>4042</v>
      </c>
      <c r="D57" s="262" t="str">
        <f>IF([3]INSUMOS!C168="MERCADO",[3]INSUMOS!E168,"ERRO")</f>
        <v>CORREIA EM V PARA VENTILADOR AR COND B46</v>
      </c>
      <c r="E57" s="278" t="s">
        <v>732</v>
      </c>
      <c r="F57" s="278" t="s">
        <v>733</v>
      </c>
      <c r="G57" s="278" t="s">
        <v>734</v>
      </c>
      <c r="H57" s="273">
        <v>22.71</v>
      </c>
      <c r="I57" s="273">
        <v>21.09</v>
      </c>
      <c r="J57" s="273">
        <v>19.899999999999999</v>
      </c>
      <c r="K57" s="281">
        <v>44665</v>
      </c>
      <c r="L57" s="274" t="s">
        <v>227</v>
      </c>
      <c r="M57" s="273">
        <f t="shared" ref="M57:M63" si="3">ROUND(AVERAGE(H57:J57),2)</f>
        <v>21.23</v>
      </c>
    </row>
    <row r="58" spans="2:13" s="140" customFormat="1" ht="105">
      <c r="B58" s="260" t="str">
        <f>IF([3]INSUMOS!C169="MERCADO",[3]INSUMOS!A169,"ERRO")</f>
        <v>AR-CONDICIONADO</v>
      </c>
      <c r="C58" s="293">
        <f>[3]INSUMOS!B169</f>
        <v>4043</v>
      </c>
      <c r="D58" s="262" t="str">
        <f>IF([3]INSUMOS!C169="MERCADO",[3]INSUMOS!E169,"ERRO")</f>
        <v>CORREIA EM V PARA VENTILADOR AR COND AX 3U315</v>
      </c>
      <c r="E58" s="278" t="s">
        <v>735</v>
      </c>
      <c r="F58" s="278" t="s">
        <v>736</v>
      </c>
      <c r="G58" s="278" t="s">
        <v>737</v>
      </c>
      <c r="H58" s="273">
        <v>32</v>
      </c>
      <c r="I58" s="273">
        <v>16</v>
      </c>
      <c r="J58" s="273">
        <v>12.9</v>
      </c>
      <c r="K58" s="281">
        <v>44665</v>
      </c>
      <c r="L58" s="274" t="s">
        <v>227</v>
      </c>
      <c r="M58" s="273">
        <f t="shared" si="3"/>
        <v>20.3</v>
      </c>
    </row>
    <row r="59" spans="2:13" s="140" customFormat="1" ht="105">
      <c r="B59" s="260" t="str">
        <f>IF([3]INSUMOS!C170="MERCADO",[3]INSUMOS!A170,"ERRO")</f>
        <v>AR-CONDICIONADO</v>
      </c>
      <c r="C59" s="293">
        <f>[3]INSUMOS!B170</f>
        <v>4044</v>
      </c>
      <c r="D59" s="262" t="str">
        <f>IF([3]INSUMOS!C170="MERCADO",[3]INSUMOS!E170,"ERRO")</f>
        <v>CORREIA EM V PARA VENTILADOR AR COND A 3U300</v>
      </c>
      <c r="E59" s="278" t="s">
        <v>738</v>
      </c>
      <c r="F59" s="278" t="s">
        <v>739</v>
      </c>
      <c r="G59" s="278" t="s">
        <v>740</v>
      </c>
      <c r="H59" s="273">
        <v>29</v>
      </c>
      <c r="I59" s="273">
        <v>19.989999999999998</v>
      </c>
      <c r="J59" s="273">
        <v>15.99</v>
      </c>
      <c r="K59" s="281">
        <v>44665</v>
      </c>
      <c r="L59" s="274" t="s">
        <v>227</v>
      </c>
      <c r="M59" s="273">
        <f t="shared" si="3"/>
        <v>21.66</v>
      </c>
    </row>
    <row r="60" spans="2:13" s="140" customFormat="1" ht="120">
      <c r="B60" s="260" t="str">
        <f>IF([3]INSUMOS!C171="MERCADO",[3]INSUMOS!A171,"ERRO")</f>
        <v>AR-CONDICIONADO</v>
      </c>
      <c r="C60" s="293">
        <f>[3]INSUMOS!B171</f>
        <v>4045</v>
      </c>
      <c r="D60" s="262" t="str">
        <f>IF([3]INSUMOS!C171="MERCADO",[3]INSUMOS!E171,"ERRO")</f>
        <v>CORREIA EM V PARA VENTILADOR AR COND A27</v>
      </c>
      <c r="E60" s="278" t="s">
        <v>741</v>
      </c>
      <c r="F60" s="278" t="s">
        <v>742</v>
      </c>
      <c r="G60" s="278" t="s">
        <v>743</v>
      </c>
      <c r="H60" s="273">
        <v>19.989999999999998</v>
      </c>
      <c r="I60" s="273">
        <v>10.35</v>
      </c>
      <c r="J60" s="273">
        <v>8.3699999999999992</v>
      </c>
      <c r="K60" s="281">
        <v>44665</v>
      </c>
      <c r="L60" s="274" t="s">
        <v>227</v>
      </c>
      <c r="M60" s="273">
        <f t="shared" si="3"/>
        <v>12.9</v>
      </c>
    </row>
    <row r="61" spans="2:13" s="140" customFormat="1" ht="105">
      <c r="B61" s="260" t="str">
        <f>IF([3]INSUMOS!C172="MERCADO",[3]INSUMOS!A172,"ERRO")</f>
        <v>AR-CONDICIONADO</v>
      </c>
      <c r="C61" s="293">
        <f>[3]INSUMOS!B172</f>
        <v>4046</v>
      </c>
      <c r="D61" s="262" t="str">
        <f>IF([3]INSUMOS!C172="MERCADO",[3]INSUMOS!E172,"ERRO")</f>
        <v>CORREIA EM V PARA VENTILADOR AR COND A32</v>
      </c>
      <c r="E61" s="278" t="s">
        <v>744</v>
      </c>
      <c r="F61" s="278" t="s">
        <v>745</v>
      </c>
      <c r="G61" s="278" t="s">
        <v>746</v>
      </c>
      <c r="H61" s="273">
        <v>6.96</v>
      </c>
      <c r="I61" s="273">
        <v>11.79</v>
      </c>
      <c r="J61" s="273">
        <v>9.7899999999999991</v>
      </c>
      <c r="K61" s="281">
        <v>44665</v>
      </c>
      <c r="L61" s="274" t="s">
        <v>227</v>
      </c>
      <c r="M61" s="273">
        <f t="shared" si="3"/>
        <v>9.51</v>
      </c>
    </row>
    <row r="62" spans="2:13" s="140" customFormat="1" ht="120">
      <c r="B62" s="260" t="str">
        <f>IF([3]INSUMOS!C173="MERCADO",[3]INSUMOS!A173,"ERRO")</f>
        <v>AR-CONDICIONADO</v>
      </c>
      <c r="C62" s="293">
        <f>[3]INSUMOS!B173</f>
        <v>4047</v>
      </c>
      <c r="D62" s="262" t="str">
        <f>IF([3]INSUMOS!C173="MERCADO",[3]INSUMOS!E173,"ERRO")</f>
        <v>CORREIA EM V PARA VENTILADOR AR COND A34</v>
      </c>
      <c r="E62" s="278" t="s">
        <v>747</v>
      </c>
      <c r="F62" s="278" t="s">
        <v>748</v>
      </c>
      <c r="G62" s="278" t="s">
        <v>749</v>
      </c>
      <c r="H62" s="273">
        <v>23</v>
      </c>
      <c r="I62" s="273">
        <v>12.51</v>
      </c>
      <c r="J62" s="273">
        <v>10.49</v>
      </c>
      <c r="K62" s="281">
        <v>44665</v>
      </c>
      <c r="L62" s="274" t="s">
        <v>227</v>
      </c>
      <c r="M62" s="273">
        <f t="shared" si="3"/>
        <v>15.33</v>
      </c>
    </row>
    <row r="63" spans="2:13" s="140" customFormat="1" ht="90">
      <c r="B63" s="260" t="str">
        <f>IF([3]INSUMOS!C174="MERCADO",[3]INSUMOS!A174,"ERRO")</f>
        <v>AR-CONDICIONADO</v>
      </c>
      <c r="C63" s="293">
        <f>[3]INSUMOS!B174</f>
        <v>4048</v>
      </c>
      <c r="D63" s="262" t="str">
        <f>IF([3]INSUMOS!C174="MERCADO",[3]INSUMOS!E174,"ERRO")</f>
        <v>CORREIA EM V PARA VENTILADOR AR COND A38</v>
      </c>
      <c r="E63" s="278" t="s">
        <v>750</v>
      </c>
      <c r="F63" s="278" t="s">
        <v>751</v>
      </c>
      <c r="G63" s="278" t="s">
        <v>752</v>
      </c>
      <c r="H63" s="273">
        <v>12.42</v>
      </c>
      <c r="I63" s="273">
        <v>14.9</v>
      </c>
      <c r="J63" s="273">
        <v>11.69</v>
      </c>
      <c r="K63" s="281">
        <v>44665</v>
      </c>
      <c r="L63" s="274" t="s">
        <v>227</v>
      </c>
      <c r="M63" s="273">
        <f t="shared" si="3"/>
        <v>13</v>
      </c>
    </row>
    <row r="64" spans="2:13" s="140" customFormat="1" ht="60">
      <c r="B64" s="260" t="str">
        <f>IF([3]INSUMOS!C175="MERCADO",[3]INSUMOS!A175,"ERRO")</f>
        <v>AR-CONDICIONADO</v>
      </c>
      <c r="C64" s="293">
        <f>[3]INSUMOS!B175</f>
        <v>4049</v>
      </c>
      <c r="D64" s="262" t="str">
        <f>IF([3]INSUMOS!C175="MERCADO",[3]INSUMOS!E175,"ERRO")</f>
        <v>GÁS REFRIGERANTE R22, CILINDRO DE 13,6KG (PARA A MAIORIA DOS AR COND ATUAIS)</v>
      </c>
      <c r="E64" s="278" t="s">
        <v>753</v>
      </c>
      <c r="F64" s="278" t="s">
        <v>754</v>
      </c>
      <c r="G64" s="278" t="s">
        <v>755</v>
      </c>
      <c r="H64" s="273">
        <v>712.4</v>
      </c>
      <c r="I64" s="273">
        <v>699.98</v>
      </c>
      <c r="J64" s="273">
        <v>782.32</v>
      </c>
      <c r="K64" s="281">
        <v>44659</v>
      </c>
      <c r="L64" s="274" t="s">
        <v>227</v>
      </c>
      <c r="M64" s="273">
        <f t="shared" si="0"/>
        <v>731.57</v>
      </c>
    </row>
    <row r="65" spans="2:13" s="140" customFormat="1" ht="45">
      <c r="B65" s="260" t="str">
        <f>IF([3]INSUMOS!C176="MERCADO",[3]INSUMOS!A176,"ERRO")</f>
        <v>AR-CONDICIONADO</v>
      </c>
      <c r="C65" s="293">
        <f>[3]INSUMOS!B176</f>
        <v>4050</v>
      </c>
      <c r="D65" s="262" t="str">
        <f>IF([3]INSUMOS!C176="MERCADO",[3]INSUMOS!E176,"ERRO")</f>
        <v>GÁS REFRIGERANTE R410A, CILINDRO DE 11,34KG (PARA SIST INVERTER)</v>
      </c>
      <c r="E65" s="278" t="s">
        <v>756</v>
      </c>
      <c r="F65" s="278" t="s">
        <v>757</v>
      </c>
      <c r="G65" s="278" t="s">
        <v>758</v>
      </c>
      <c r="H65" s="273">
        <v>845.4</v>
      </c>
      <c r="I65" s="273">
        <v>879.98</v>
      </c>
      <c r="J65" s="273">
        <v>959.33</v>
      </c>
      <c r="K65" s="281">
        <v>44659</v>
      </c>
      <c r="L65" s="274" t="s">
        <v>227</v>
      </c>
      <c r="M65" s="273">
        <f t="shared" si="0"/>
        <v>894.9</v>
      </c>
    </row>
    <row r="66" spans="2:13" s="140" customFormat="1" ht="90">
      <c r="B66" s="260" t="str">
        <f>IF([3]INSUMOS!C177="MERCADO",[3]INSUMOS!A177,"ERRO")</f>
        <v>AR-CONDICIONADO</v>
      </c>
      <c r="C66" s="293">
        <f>[3]INSUMOS!B177</f>
        <v>4051</v>
      </c>
      <c r="D66" s="262" t="str">
        <f>IF([3]INSUMOS!C177="MERCADO",[3]INSUMOS!E177,"ERRO")</f>
        <v>GÁS REFRIGERANTE R134A, CILINDRO DE 13,6KG (SUBSTITUTO PARA O R12)</v>
      </c>
      <c r="E66" s="278" t="s">
        <v>759</v>
      </c>
      <c r="F66" s="278" t="s">
        <v>760</v>
      </c>
      <c r="G66" s="278" t="s">
        <v>761</v>
      </c>
      <c r="H66" s="273">
        <v>614.64</v>
      </c>
      <c r="I66" s="273">
        <v>685.52</v>
      </c>
      <c r="J66" s="273">
        <v>652.30999999999995</v>
      </c>
      <c r="K66" s="281">
        <v>44659</v>
      </c>
      <c r="L66" s="274" t="s">
        <v>227</v>
      </c>
      <c r="M66" s="273">
        <f t="shared" si="0"/>
        <v>650.82000000000005</v>
      </c>
    </row>
    <row r="67" spans="2:13" s="140" customFormat="1" ht="45">
      <c r="B67" s="260" t="str">
        <f>IF([3]INSUMOS!C178="MERCADO",[3]INSUMOS!A178,"ERRO")</f>
        <v>AR-CONDICIONADO</v>
      </c>
      <c r="C67" s="293">
        <f>[3]INSUMOS!B178</f>
        <v>4052</v>
      </c>
      <c r="D67" s="262" t="str">
        <f>IF([3]INSUMOS!C178="MERCADO",[3]INSUMOS!E178,"ERRO")</f>
        <v>GÁS REFRIGERANTE R141B, CILINDRO DE 13,6KG (SUBSTITUTO PARA O R11)</v>
      </c>
      <c r="E67" s="278" t="s">
        <v>762</v>
      </c>
      <c r="F67" s="278" t="s">
        <v>763</v>
      </c>
      <c r="G67" s="278" t="s">
        <v>764</v>
      </c>
      <c r="H67" s="273">
        <v>1261.31</v>
      </c>
      <c r="I67" s="273">
        <v>1799</v>
      </c>
      <c r="J67" s="273">
        <v>837</v>
      </c>
      <c r="K67" s="281">
        <v>44659</v>
      </c>
      <c r="L67" s="274" t="s">
        <v>227</v>
      </c>
      <c r="M67" s="273">
        <f t="shared" si="0"/>
        <v>1299.0999999999999</v>
      </c>
    </row>
    <row r="68" spans="2:13" s="140" customFormat="1" ht="60">
      <c r="B68" s="260" t="str">
        <f>IF([3]INSUMOS!C179="MERCADO",[3]INSUMOS!A179,"ERRO")</f>
        <v>AR-CONDICIONADO</v>
      </c>
      <c r="C68" s="293">
        <f>[3]INSUMOS!B179</f>
        <v>4053</v>
      </c>
      <c r="D68" s="262" t="str">
        <f>IF([3]INSUMOS!C179="MERCADO",[3]INSUMOS!E179,"ERRO")</f>
        <v>LIMPA CONTATO BLACK SUL BRASIL 300ML 200GR</v>
      </c>
      <c r="E68" s="278" t="s">
        <v>765</v>
      </c>
      <c r="F68" s="278" t="s">
        <v>766</v>
      </c>
      <c r="G68" s="278" t="s">
        <v>767</v>
      </c>
      <c r="H68" s="273">
        <v>22.3</v>
      </c>
      <c r="I68" s="273">
        <v>21.04</v>
      </c>
      <c r="J68" s="273">
        <v>18.989999999999998</v>
      </c>
      <c r="K68" s="281">
        <v>44659</v>
      </c>
      <c r="L68" s="274" t="s">
        <v>227</v>
      </c>
      <c r="M68" s="273">
        <f t="shared" si="0"/>
        <v>20.78</v>
      </c>
    </row>
    <row r="69" spans="2:13" s="140" customFormat="1" ht="75">
      <c r="B69" s="260" t="str">
        <f>IF([3]INSUMOS!C180="MERCADO",[3]INSUMOS!A180,"ERRO")</f>
        <v>AR-CONDICIONADO</v>
      </c>
      <c r="C69" s="293">
        <f>[3]INSUMOS!B180</f>
        <v>4054</v>
      </c>
      <c r="D69" s="262" t="str">
        <f>IF([3]INSUMOS!C180="MERCADO",[3]INSUMOS!E180,"ERRO")</f>
        <v>GÁS ACETILENO PARA SOLDA BERNZOMATIC 880342 MAPP 400GR</v>
      </c>
      <c r="E69" s="278" t="s">
        <v>768</v>
      </c>
      <c r="F69" s="278" t="s">
        <v>769</v>
      </c>
      <c r="G69" s="278" t="s">
        <v>770</v>
      </c>
      <c r="H69" s="273">
        <v>98.34</v>
      </c>
      <c r="I69" s="273">
        <v>76.89</v>
      </c>
      <c r="J69" s="273">
        <v>105.74</v>
      </c>
      <c r="K69" s="281">
        <v>44659</v>
      </c>
      <c r="L69" s="274" t="s">
        <v>227</v>
      </c>
      <c r="M69" s="273">
        <f t="shared" si="0"/>
        <v>93.66</v>
      </c>
    </row>
    <row r="70" spans="2:13" s="140" customFormat="1" ht="60">
      <c r="B70" s="260" t="str">
        <f>IF([3]INSUMOS!C181="MERCADO",[3]INSUMOS!A181,"ERRO")</f>
        <v>AR-CONDICIONADO</v>
      </c>
      <c r="C70" s="293">
        <f>[3]INSUMOS!B181</f>
        <v>4055</v>
      </c>
      <c r="D70" s="262" t="str">
        <f>IF([3]INSUMOS!C181="MERCADO",[3]INSUMOS!E181,"ERRO")</f>
        <v>CILINDRO DE GÁS OXIGÊNIO 930ML 136G PARA TURBO SET</v>
      </c>
      <c r="E70" s="278" t="s">
        <v>771</v>
      </c>
      <c r="F70" s="278" t="s">
        <v>772</v>
      </c>
      <c r="G70" s="278" t="s">
        <v>773</v>
      </c>
      <c r="H70" s="273">
        <v>150.80000000000001</v>
      </c>
      <c r="I70" s="273">
        <v>154.69</v>
      </c>
      <c r="J70" s="273">
        <v>138.97999999999999</v>
      </c>
      <c r="K70" s="281">
        <v>44659</v>
      </c>
      <c r="L70" s="274" t="s">
        <v>227</v>
      </c>
      <c r="M70" s="273">
        <f t="shared" si="0"/>
        <v>148.16</v>
      </c>
    </row>
    <row r="71" spans="2:13" s="140" customFormat="1" ht="45">
      <c r="B71" s="260" t="str">
        <f>IF([3]INSUMOS!C182="MERCADO",[3]INSUMOS!A182,"ERRO")</f>
        <v>AR-CONDICIONADO</v>
      </c>
      <c r="C71" s="293">
        <f>[3]INSUMOS!B182</f>
        <v>4056</v>
      </c>
      <c r="D71" s="262" t="str">
        <f>IF([3]INSUMOS!C182="MERCADO",[3]INSUMOS!E182,"ERRO")</f>
        <v>PORCA LATÃO PARA REFRIGERAÇÃO DE 1/4"</v>
      </c>
      <c r="E71" s="278" t="s">
        <v>774</v>
      </c>
      <c r="F71" s="278" t="s">
        <v>775</v>
      </c>
      <c r="G71" s="278" t="s">
        <v>776</v>
      </c>
      <c r="H71" s="273">
        <v>3.11</v>
      </c>
      <c r="I71" s="273">
        <v>5.08</v>
      </c>
      <c r="J71" s="273"/>
      <c r="K71" s="281">
        <v>44659</v>
      </c>
      <c r="L71" s="274" t="s">
        <v>227</v>
      </c>
      <c r="M71" s="273">
        <f t="shared" si="0"/>
        <v>4.0999999999999996</v>
      </c>
    </row>
    <row r="72" spans="2:13" ht="45">
      <c r="B72" s="260" t="str">
        <f>IF([3]INSUMOS!C183="MERCADO",[3]INSUMOS!A183,"ERRO")</f>
        <v>AR-CONDICIONADO</v>
      </c>
      <c r="C72" s="293">
        <f>[3]INSUMOS!B183</f>
        <v>4057</v>
      </c>
      <c r="D72" s="262" t="str">
        <f>IF([3]INSUMOS!C183="MERCADO",[3]INSUMOS!E183,"ERRO")</f>
        <v>PORCA LATÃO PARA REFRIGERAÇÃO DE 3/8"</v>
      </c>
      <c r="E72" s="278" t="s">
        <v>777</v>
      </c>
      <c r="F72" s="278" t="s">
        <v>778</v>
      </c>
      <c r="G72" s="278" t="s">
        <v>779</v>
      </c>
      <c r="H72" s="273">
        <v>6.9</v>
      </c>
      <c r="I72" s="273">
        <v>6.1</v>
      </c>
      <c r="J72" s="273">
        <v>4.7</v>
      </c>
      <c r="K72" s="281">
        <v>44659</v>
      </c>
      <c r="L72" s="274" t="s">
        <v>227</v>
      </c>
      <c r="M72" s="273">
        <f t="shared" si="0"/>
        <v>5.9</v>
      </c>
    </row>
    <row r="73" spans="2:13" ht="60">
      <c r="B73" s="260" t="str">
        <f>IF([3]INSUMOS!C184="MERCADO",[3]INSUMOS!A184,"ERRO")</f>
        <v>AR-CONDICIONADO</v>
      </c>
      <c r="C73" s="293">
        <f>[3]INSUMOS!B184</f>
        <v>4058</v>
      </c>
      <c r="D73" s="262" t="str">
        <f>IF([3]INSUMOS!C184="MERCADO",[3]INSUMOS!E184,"ERRO")</f>
        <v>PORCA LATÃO PARA REFRIGERAÇÃO DE 1/2"</v>
      </c>
      <c r="E73" s="278" t="s">
        <v>780</v>
      </c>
      <c r="F73" s="278" t="s">
        <v>781</v>
      </c>
      <c r="G73" s="278" t="s">
        <v>782</v>
      </c>
      <c r="H73" s="273">
        <v>6.47</v>
      </c>
      <c r="I73" s="273">
        <v>11.19</v>
      </c>
      <c r="J73" s="273">
        <v>6.83</v>
      </c>
      <c r="K73" s="281">
        <v>44659</v>
      </c>
      <c r="L73" s="274" t="s">
        <v>227</v>
      </c>
      <c r="M73" s="273">
        <f t="shared" si="0"/>
        <v>8.16</v>
      </c>
    </row>
    <row r="74" spans="2:13" ht="60">
      <c r="B74" s="260" t="str">
        <f>IF([3]INSUMOS!C185="MERCADO",[3]INSUMOS!A185,"ERRO")</f>
        <v>AR-CONDICIONADO</v>
      </c>
      <c r="C74" s="293">
        <f>[3]INSUMOS!B185</f>
        <v>4059</v>
      </c>
      <c r="D74" s="262" t="str">
        <f>IF([3]INSUMOS!C185="MERCADO",[3]INSUMOS!E185,"ERRO")</f>
        <v>PORCA LATÃO PARA REFRIGERAÇÃO DE 5/8"</v>
      </c>
      <c r="E74" s="278" t="s">
        <v>783</v>
      </c>
      <c r="F74" s="278" t="s">
        <v>784</v>
      </c>
      <c r="G74" s="278" t="s">
        <v>785</v>
      </c>
      <c r="H74" s="273">
        <v>10.34</v>
      </c>
      <c r="I74" s="273">
        <v>12.17</v>
      </c>
      <c r="J74" s="273">
        <v>7.9</v>
      </c>
      <c r="K74" s="281">
        <v>44659</v>
      </c>
      <c r="L74" s="274" t="s">
        <v>227</v>
      </c>
      <c r="M74" s="273">
        <f t="shared" si="0"/>
        <v>10.14</v>
      </c>
    </row>
    <row r="75" spans="2:13" ht="45">
      <c r="B75" s="260" t="str">
        <f>IF([3]INSUMOS!C186="MERCADO",[3]INSUMOS!A186,"ERRO")</f>
        <v>AR-CONDICIONADO</v>
      </c>
      <c r="C75" s="293">
        <f>[3]INSUMOS!B186</f>
        <v>4060</v>
      </c>
      <c r="D75" s="262" t="str">
        <f>IF([3]INSUMOS!C186="MERCADO",[3]INSUMOS!E186,"ERRO")</f>
        <v>PORCA LATÃO PARA REFRIGERAÇÃO DE 3/4"</v>
      </c>
      <c r="E75" s="278" t="s">
        <v>786</v>
      </c>
      <c r="F75" s="278" t="s">
        <v>787</v>
      </c>
      <c r="G75" s="278" t="s">
        <v>788</v>
      </c>
      <c r="H75" s="273">
        <v>12.33</v>
      </c>
      <c r="I75" s="273">
        <v>19.34</v>
      </c>
      <c r="J75" s="273">
        <v>11.9</v>
      </c>
      <c r="K75" s="281">
        <v>44659</v>
      </c>
      <c r="L75" s="274" t="s">
        <v>227</v>
      </c>
      <c r="M75" s="273">
        <f t="shared" si="0"/>
        <v>14.52</v>
      </c>
    </row>
    <row r="76" spans="2:13" ht="30">
      <c r="B76" s="260" t="str">
        <f>IF([3]INSUMOS!C187="MERCADO",[3]INSUMOS!A187,"ERRO")</f>
        <v>AR-CONDICIONADO</v>
      </c>
      <c r="C76" s="293">
        <f>[3]INSUMOS!B187</f>
        <v>4061</v>
      </c>
      <c r="D76" s="262" t="str">
        <f>IF([3]INSUMOS!C187="MERCADO",[3]INSUMOS!E187,"ERRO")</f>
        <v>PORCA LATÃO PARA REFRIGERAÇÃO DE 7/8"</v>
      </c>
      <c r="E76" s="278" t="s">
        <v>789</v>
      </c>
      <c r="F76" s="278" t="s">
        <v>790</v>
      </c>
      <c r="G76" s="278" t="s">
        <v>791</v>
      </c>
      <c r="H76" s="273">
        <v>27.49</v>
      </c>
      <c r="I76" s="273">
        <v>32.549999999999997</v>
      </c>
      <c r="J76" s="273">
        <v>22.52</v>
      </c>
      <c r="K76" s="281">
        <v>44659</v>
      </c>
      <c r="L76" s="274" t="s">
        <v>227</v>
      </c>
      <c r="M76" s="273">
        <f t="shared" si="0"/>
        <v>27.52</v>
      </c>
    </row>
    <row r="77" spans="2:13" ht="60">
      <c r="B77" s="260" t="str">
        <f>IF([3]INSUMOS!C188="MERCADO",[3]INSUMOS!A188,"ERRO")</f>
        <v>AR-CONDICIONADO</v>
      </c>
      <c r="C77" s="293">
        <f>[3]INSUMOS!B188</f>
        <v>4062</v>
      </c>
      <c r="D77" s="262" t="str">
        <f>IF([3]INSUMOS!C188="MERCADO",[3]INSUMOS!E188,"ERRO")</f>
        <v>NIPLES LATÃO PARA REFRIGERAÇÃO DE 1/4"</v>
      </c>
      <c r="E77" s="278" t="s">
        <v>792</v>
      </c>
      <c r="F77" s="278" t="s">
        <v>793</v>
      </c>
      <c r="G77" s="278" t="s">
        <v>794</v>
      </c>
      <c r="H77" s="273">
        <v>3.44</v>
      </c>
      <c r="I77" s="273">
        <v>4.9000000000000004</v>
      </c>
      <c r="J77" s="273">
        <v>5.43</v>
      </c>
      <c r="K77" s="281">
        <v>44662</v>
      </c>
      <c r="L77" s="274" t="s">
        <v>227</v>
      </c>
      <c r="M77" s="273">
        <f t="shared" si="0"/>
        <v>4.59</v>
      </c>
    </row>
    <row r="78" spans="2:13" ht="60">
      <c r="B78" s="260" t="str">
        <f>IF([3]INSUMOS!C189="MERCADO",[3]INSUMOS!A189,"ERRO")</f>
        <v>AR-CONDICIONADO</v>
      </c>
      <c r="C78" s="293">
        <f>[3]INSUMOS!B189</f>
        <v>4063</v>
      </c>
      <c r="D78" s="262" t="str">
        <f>IF([3]INSUMOS!C189="MERCADO",[3]INSUMOS!E189,"ERRO")</f>
        <v>NIPLES LATÃO PARA REFRIGERAÇÃO DE 3/8"</v>
      </c>
      <c r="E78" s="278" t="s">
        <v>795</v>
      </c>
      <c r="F78" s="278" t="s">
        <v>796</v>
      </c>
      <c r="G78" s="278" t="s">
        <v>797</v>
      </c>
      <c r="H78" s="273">
        <v>5.69</v>
      </c>
      <c r="I78" s="273">
        <v>8.9</v>
      </c>
      <c r="J78" s="273">
        <v>8.5</v>
      </c>
      <c r="K78" s="281">
        <v>44662</v>
      </c>
      <c r="L78" s="274" t="s">
        <v>227</v>
      </c>
      <c r="M78" s="273">
        <f t="shared" si="0"/>
        <v>7.7</v>
      </c>
    </row>
    <row r="79" spans="2:13" ht="60">
      <c r="B79" s="260" t="str">
        <f>IF([3]INSUMOS!C190="MERCADO",[3]INSUMOS!A190,"ERRO")</f>
        <v>AR-CONDICIONADO</v>
      </c>
      <c r="C79" s="293">
        <f>[3]INSUMOS!B190</f>
        <v>4064</v>
      </c>
      <c r="D79" s="262" t="str">
        <f>IF([3]INSUMOS!C190="MERCADO",[3]INSUMOS!E190,"ERRO")</f>
        <v>NIPLES LATÃO PARA REFRIGERAÇÃO DE 1/2"</v>
      </c>
      <c r="E79" s="278" t="s">
        <v>798</v>
      </c>
      <c r="F79" s="278" t="s">
        <v>799</v>
      </c>
      <c r="G79" s="278" t="s">
        <v>800</v>
      </c>
      <c r="H79" s="273">
        <v>8.18</v>
      </c>
      <c r="I79" s="273">
        <v>12.9</v>
      </c>
      <c r="J79" s="273">
        <v>12.47</v>
      </c>
      <c r="K79" s="281">
        <v>44662</v>
      </c>
      <c r="L79" s="274" t="s">
        <v>227</v>
      </c>
      <c r="M79" s="273">
        <f t="shared" si="0"/>
        <v>11.18</v>
      </c>
    </row>
    <row r="80" spans="2:13" ht="60">
      <c r="B80" s="260" t="str">
        <f>IF([3]INSUMOS!C191="MERCADO",[3]INSUMOS!A191,"ERRO")</f>
        <v>AR-CONDICIONADO</v>
      </c>
      <c r="C80" s="293">
        <f>[3]INSUMOS!B191</f>
        <v>4065</v>
      </c>
      <c r="D80" s="262" t="str">
        <f>IF([3]INSUMOS!C191="MERCADO",[3]INSUMOS!E191,"ERRO")</f>
        <v>NIPLES LATÃO PARA REFRIGERAÇÃO DE 5/8"</v>
      </c>
      <c r="E80" s="278" t="s">
        <v>801</v>
      </c>
      <c r="F80" s="278" t="s">
        <v>802</v>
      </c>
      <c r="G80" s="278" t="s">
        <v>803</v>
      </c>
      <c r="H80" s="273">
        <v>12.52</v>
      </c>
      <c r="I80" s="273">
        <v>18.5</v>
      </c>
      <c r="J80" s="273">
        <v>21.38</v>
      </c>
      <c r="K80" s="281">
        <v>44662</v>
      </c>
      <c r="L80" s="274" t="s">
        <v>227</v>
      </c>
      <c r="M80" s="273">
        <f t="shared" si="0"/>
        <v>17.47</v>
      </c>
    </row>
    <row r="81" spans="2:13" ht="90">
      <c r="B81" s="260" t="str">
        <f>IF([3]INSUMOS!C192="MERCADO",[3]INSUMOS!A192,"ERRO")</f>
        <v>AR-CONDICIONADO</v>
      </c>
      <c r="C81" s="293">
        <f>[3]INSUMOS!B192</f>
        <v>4066</v>
      </c>
      <c r="D81" s="262" t="str">
        <f>IF([3]INSUMOS!C192="MERCADO",[3]INSUMOS!E192,"ERRO")</f>
        <v>NIPLES LATÃO PARA REFRIGERAÇÃO DE 3/4"</v>
      </c>
      <c r="E81" s="278" t="s">
        <v>804</v>
      </c>
      <c r="F81" s="278" t="s">
        <v>805</v>
      </c>
      <c r="G81" s="278" t="s">
        <v>806</v>
      </c>
      <c r="H81" s="273">
        <v>22.6</v>
      </c>
      <c r="I81" s="273">
        <v>17.399999999999999</v>
      </c>
      <c r="J81" s="273">
        <v>28.51</v>
      </c>
      <c r="K81" s="281">
        <v>44662</v>
      </c>
      <c r="L81" s="274" t="s">
        <v>227</v>
      </c>
      <c r="M81" s="273">
        <f t="shared" si="0"/>
        <v>22.84</v>
      </c>
    </row>
    <row r="82" spans="2:13" ht="45">
      <c r="B82" s="260" t="str">
        <f>IF([3]INSUMOS!C193="MERCADO",[3]INSUMOS!A193,"ERRO")</f>
        <v>AR-CONDICIONADO</v>
      </c>
      <c r="C82" s="293">
        <f>[3]INSUMOS!B193</f>
        <v>4067</v>
      </c>
      <c r="D82" s="262" t="str">
        <f>IF([3]INSUMOS!C193="MERCADO",[3]INSUMOS!E193,"ERRO")</f>
        <v>NIPLES LATÃO PARA REFRIGERAÇÃO DE 7/8"</v>
      </c>
      <c r="E82" s="278" t="s">
        <v>807</v>
      </c>
      <c r="F82" s="278" t="s">
        <v>808</v>
      </c>
      <c r="G82" s="278" t="s">
        <v>809</v>
      </c>
      <c r="H82" s="273">
        <v>61.1</v>
      </c>
      <c r="I82" s="273">
        <v>42.14</v>
      </c>
      <c r="J82" s="273">
        <v>86.52</v>
      </c>
      <c r="K82" s="281">
        <v>44662</v>
      </c>
      <c r="L82" s="274" t="s">
        <v>227</v>
      </c>
      <c r="M82" s="273">
        <f t="shared" si="0"/>
        <v>63.25</v>
      </c>
    </row>
    <row r="83" spans="2:13" ht="60">
      <c r="B83" s="282" t="str">
        <f>IF([3]INSUMOS!C194="MERCADO",[3]INSUMOS!A194,"ERRO")</f>
        <v>AR-CONDICIONADO</v>
      </c>
      <c r="C83" s="293">
        <f>[3]INSUMOS!B194</f>
        <v>4068</v>
      </c>
      <c r="D83" s="283" t="str">
        <f>IF([3]INSUMOS!C194="MERCADO",[3]INSUMOS!E194,"ERRO")</f>
        <v>PLUG FUSÍVEL DE SEGURANÇA (DISPOSITIVO PARA PROTEÇÃO DE BUJÃO FUSÍVEL)</v>
      </c>
      <c r="E83" s="278" t="s">
        <v>810</v>
      </c>
      <c r="F83" s="278" t="s">
        <v>811</v>
      </c>
      <c r="G83" s="278" t="s">
        <v>812</v>
      </c>
      <c r="H83" s="284">
        <v>87.5</v>
      </c>
      <c r="I83" s="284">
        <v>60</v>
      </c>
      <c r="J83" s="284">
        <v>50</v>
      </c>
      <c r="K83" s="285">
        <v>44669</v>
      </c>
      <c r="L83" s="286" t="s">
        <v>227</v>
      </c>
      <c r="M83" s="284">
        <f t="shared" si="0"/>
        <v>65.83</v>
      </c>
    </row>
    <row r="84" spans="2:13" ht="120">
      <c r="B84" s="260" t="str">
        <f>IF([3]INSUMOS!C195="MERCADO",[3]INSUMOS!A195,"ERRO")</f>
        <v>AR-CONDICIONADO</v>
      </c>
      <c r="C84" s="293">
        <f>[3]INSUMOS!B195</f>
        <v>4069</v>
      </c>
      <c r="D84" s="262" t="str">
        <f>IF([3]INSUMOS!C195="MERCADO",[3]INSUMOS!E195,"ERRO")</f>
        <v>DETERGENTE DE LIMPEZA DE SERPENTINAS DE AR CONDICIONADO (ZENNITH OU SIMILAR)</v>
      </c>
      <c r="E84" s="278" t="s">
        <v>813</v>
      </c>
      <c r="F84" s="278" t="s">
        <v>814</v>
      </c>
      <c r="G84" s="278" t="s">
        <v>815</v>
      </c>
      <c r="H84" s="273">
        <v>19.899999999999999</v>
      </c>
      <c r="I84" s="273">
        <v>22.8</v>
      </c>
      <c r="J84" s="273">
        <v>15.99</v>
      </c>
      <c r="K84" s="281">
        <v>44662</v>
      </c>
      <c r="L84" s="274" t="s">
        <v>227</v>
      </c>
      <c r="M84" s="273">
        <f t="shared" si="0"/>
        <v>19.559999999999999</v>
      </c>
    </row>
    <row r="85" spans="2:13" ht="90">
      <c r="B85" s="260" t="str">
        <f>IF([3]INSUMOS!C196="MERCADO",[3]INSUMOS!A196,"ERRO")</f>
        <v>AR-CONDICIONADO</v>
      </c>
      <c r="C85" s="293">
        <f>[3]INSUMOS!B196</f>
        <v>4070</v>
      </c>
      <c r="D85" s="262" t="str">
        <f>IF([3]INSUMOS!C196="MERCADO",[3]INSUMOS!E196,"ERRO")</f>
        <v>PRESSOSTATO DE ALTA PRESSÃO TIPO CEBOLINHA, 200-400 PSI OU SIMILAR</v>
      </c>
      <c r="E85" s="278" t="s">
        <v>816</v>
      </c>
      <c r="F85" s="278" t="s">
        <v>817</v>
      </c>
      <c r="G85" s="278" t="s">
        <v>818</v>
      </c>
      <c r="H85" s="273">
        <v>80.5</v>
      </c>
      <c r="I85" s="273">
        <v>128</v>
      </c>
      <c r="J85" s="273">
        <v>102.69</v>
      </c>
      <c r="K85" s="281">
        <v>44665</v>
      </c>
      <c r="L85" s="274" t="s">
        <v>227</v>
      </c>
      <c r="M85" s="273">
        <f t="shared" si="0"/>
        <v>103.73</v>
      </c>
    </row>
    <row r="86" spans="2:13" ht="75">
      <c r="B86" s="260" t="str">
        <f>IF([3]INSUMOS!C197="MERCADO",[3]INSUMOS!A197,"ERRO")</f>
        <v>AR-CONDICIONADO</v>
      </c>
      <c r="C86" s="293">
        <f>[3]INSUMOS!B197</f>
        <v>4071</v>
      </c>
      <c r="D86" s="262" t="str">
        <f>IF([3]INSUMOS!C197="MERCADO",[3]INSUMOS!E197,"ERRO")</f>
        <v>PRESSOSTATO DE BAIXA PRESSÃO TIPO CEBOLINHA, 19-46 PSI OU SIMILAR</v>
      </c>
      <c r="E86" s="278" t="s">
        <v>819</v>
      </c>
      <c r="F86" s="278" t="s">
        <v>820</v>
      </c>
      <c r="G86" s="278" t="s">
        <v>821</v>
      </c>
      <c r="H86" s="273">
        <v>67.89</v>
      </c>
      <c r="I86" s="273">
        <v>64.84</v>
      </c>
      <c r="J86" s="273">
        <v>92.07</v>
      </c>
      <c r="K86" s="281">
        <v>44665</v>
      </c>
      <c r="L86" s="274" t="s">
        <v>227</v>
      </c>
      <c r="M86" s="273">
        <f t="shared" ref="M86" si="4">ROUND(AVERAGE(H86:J86),2)</f>
        <v>74.930000000000007</v>
      </c>
    </row>
    <row r="87" spans="2:13" ht="60">
      <c r="B87" s="260" t="str">
        <f>IF([3]INSUMOS!C198="MERCADO",[3]INSUMOS!A198,"ERRO")</f>
        <v>AR-CONDICIONADO</v>
      </c>
      <c r="C87" s="293">
        <f>[3]INSUMOS!B198</f>
        <v>4072</v>
      </c>
      <c r="D87" s="262" t="str">
        <f>IF([3]INSUMOS!C198="MERCADO",[3]INSUMOS!E198,"ERRO")</f>
        <v>SOLDA FOSCOPER UNIDADE VARETA 460MM X 2,3 MM</v>
      </c>
      <c r="E87" s="278" t="s">
        <v>822</v>
      </c>
      <c r="F87" s="278" t="s">
        <v>823</v>
      </c>
      <c r="G87" s="278" t="s">
        <v>824</v>
      </c>
      <c r="H87" s="273">
        <v>3.5</v>
      </c>
      <c r="I87" s="273">
        <v>3.04</v>
      </c>
      <c r="J87" s="273">
        <v>3.34</v>
      </c>
      <c r="K87" s="281">
        <v>44662</v>
      </c>
      <c r="L87" s="274" t="s">
        <v>227</v>
      </c>
      <c r="M87" s="273">
        <f t="shared" si="0"/>
        <v>3.29</v>
      </c>
    </row>
    <row r="88" spans="2:13" ht="90">
      <c r="B88" s="260" t="str">
        <f>IF([3]INSUMOS!C199="MERCADO",[3]INSUMOS!A199,"ERRO")</f>
        <v>AR-CONDICIONADO</v>
      </c>
      <c r="C88" s="293">
        <f>[3]INSUMOS!B199</f>
        <v>4073</v>
      </c>
      <c r="D88" s="262" t="str">
        <f>IF([3]INSUMOS!C199="MERCADO",[3]INSUMOS!E199,"ERRO")</f>
        <v>SOLDA FOSCOPER UNIDADE VARETA 460MM X 2,5MM</v>
      </c>
      <c r="E88" s="278" t="s">
        <v>825</v>
      </c>
      <c r="F88" s="278" t="s">
        <v>826</v>
      </c>
      <c r="G88" s="278" t="s">
        <v>827</v>
      </c>
      <c r="H88" s="273">
        <v>2.98</v>
      </c>
      <c r="I88" s="273">
        <v>2.99</v>
      </c>
      <c r="J88" s="273">
        <v>4.96</v>
      </c>
      <c r="K88" s="281">
        <v>44662</v>
      </c>
      <c r="L88" s="274" t="s">
        <v>227</v>
      </c>
      <c r="M88" s="273">
        <f t="shared" si="0"/>
        <v>3.64</v>
      </c>
    </row>
    <row r="89" spans="2:13" ht="105">
      <c r="B89" s="260" t="str">
        <f>IF([3]INSUMOS!C200="MERCADO",[3]INSUMOS!A200,"ERRO")</f>
        <v>AR-CONDICIONADO</v>
      </c>
      <c r="C89" s="293">
        <f>[3]INSUMOS!B200</f>
        <v>4074</v>
      </c>
      <c r="D89" s="262" t="str">
        <f>IF([3]INSUMOS!C200="MERCADO",[3]INSUMOS!E200,"ERRO")</f>
        <v>TERMINAL ELÉTRICO FORQUILHA ISOLADO, DE 1,5 A 2,5MM², SVS2-4, AZUL, EMBALAGEM COM 100 PEÇAS</v>
      </c>
      <c r="E89" s="278" t="s">
        <v>828</v>
      </c>
      <c r="F89" s="278" t="s">
        <v>829</v>
      </c>
      <c r="G89" s="278" t="s">
        <v>830</v>
      </c>
      <c r="H89" s="273">
        <v>20.43</v>
      </c>
      <c r="I89" s="273">
        <v>27.65</v>
      </c>
      <c r="J89" s="273">
        <v>21.84</v>
      </c>
      <c r="K89" s="281">
        <v>44663</v>
      </c>
      <c r="L89" s="274" t="s">
        <v>227</v>
      </c>
      <c r="M89" s="273">
        <f t="shared" si="0"/>
        <v>23.31</v>
      </c>
    </row>
    <row r="90" spans="2:13" ht="120">
      <c r="B90" s="260" t="str">
        <f>IF([3]INSUMOS!C201="MERCADO",[3]INSUMOS!A201,"ERRO")</f>
        <v>AR-CONDICIONADO</v>
      </c>
      <c r="C90" s="293">
        <f>[3]INSUMOS!B201</f>
        <v>4075</v>
      </c>
      <c r="D90" s="262" t="str">
        <f>IF([3]INSUMOS!C201="MERCADO",[3]INSUMOS!E201,"ERRO")</f>
        <v>TERMINAL ELÉTRICO FORQUILHA ISOLADO, DE 4,0 A 6,0MM², SVS5.5-6, AMARELO, EMBALAGEM COM 100 PEÇAS</v>
      </c>
      <c r="E90" s="278" t="s">
        <v>831</v>
      </c>
      <c r="F90" s="278" t="s">
        <v>832</v>
      </c>
      <c r="G90" s="278" t="s">
        <v>833</v>
      </c>
      <c r="H90" s="273">
        <v>72.02</v>
      </c>
      <c r="I90" s="273">
        <v>44.93</v>
      </c>
      <c r="J90" s="273">
        <v>58.95</v>
      </c>
      <c r="K90" s="281">
        <v>44663</v>
      </c>
      <c r="L90" s="274" t="s">
        <v>227</v>
      </c>
      <c r="M90" s="273">
        <f t="shared" si="0"/>
        <v>58.63</v>
      </c>
    </row>
    <row r="91" spans="2:13" ht="90">
      <c r="B91" s="260" t="str">
        <f>IF([3]INSUMOS!C202="MERCADO",[3]INSUMOS!A202,"ERRO")</f>
        <v>AR-CONDICIONADO</v>
      </c>
      <c r="C91" s="293">
        <f>[3]INSUMOS!B202</f>
        <v>4076</v>
      </c>
      <c r="D91" s="262" t="str">
        <f>IF([3]INSUMOS!C202="MERCADO",[3]INSUMOS!E202,"ERRO")</f>
        <v>TERMINAL ELÉTRICO FORQUILHA ISOLADO, DE 10,0MM², SVS8-8, VERMELHO, EMBALAGEM COM 100 PEÇAS</v>
      </c>
      <c r="E91" s="278" t="s">
        <v>834</v>
      </c>
      <c r="F91" s="278" t="s">
        <v>835</v>
      </c>
      <c r="G91" s="278" t="s">
        <v>836</v>
      </c>
      <c r="H91" s="273">
        <v>156.96</v>
      </c>
      <c r="I91" s="273">
        <v>155</v>
      </c>
      <c r="J91" s="273">
        <v>141</v>
      </c>
      <c r="K91" s="281">
        <v>44663</v>
      </c>
      <c r="L91" s="274" t="s">
        <v>227</v>
      </c>
      <c r="M91" s="273">
        <f t="shared" si="0"/>
        <v>150.99</v>
      </c>
    </row>
    <row r="92" spans="2:13" ht="60">
      <c r="B92" s="260" t="str">
        <f>IF([3]INSUMOS!C203="MERCADO",[3]INSUMOS!A203,"ERRO")</f>
        <v>AR-CONDICIONADO</v>
      </c>
      <c r="C92" s="293">
        <f>[3]INSUMOS!B203</f>
        <v>4077</v>
      </c>
      <c r="D92" s="262" t="str">
        <f>IF([3]INSUMOS!C203="MERCADO",[3]INSUMOS!E203,"ERRO")</f>
        <v>TERMINAL ELÉTRICO PINO ISOLADO, DE 1,5 A 2,5MM², PTV 2-13, AZUL, EMBALAGEM COM 100 PEÇAS</v>
      </c>
      <c r="E92" s="278" t="s">
        <v>837</v>
      </c>
      <c r="F92" s="278" t="s">
        <v>838</v>
      </c>
      <c r="G92" s="278" t="s">
        <v>839</v>
      </c>
      <c r="H92" s="273">
        <v>33.79</v>
      </c>
      <c r="I92" s="273">
        <v>23.93</v>
      </c>
      <c r="J92" s="273">
        <v>30.67</v>
      </c>
      <c r="K92" s="281">
        <v>44663</v>
      </c>
      <c r="L92" s="274" t="s">
        <v>227</v>
      </c>
      <c r="M92" s="273">
        <f t="shared" si="0"/>
        <v>29.46</v>
      </c>
    </row>
    <row r="93" spans="2:13" ht="90">
      <c r="B93" s="260" t="str">
        <f>IF([3]INSUMOS!C204="MERCADO",[3]INSUMOS!A204,"ERRO")</f>
        <v>AR-CONDICIONADO</v>
      </c>
      <c r="C93" s="293">
        <f>[3]INSUMOS!B204</f>
        <v>4078</v>
      </c>
      <c r="D93" s="262" t="str">
        <f>IF([3]INSUMOS!C204="MERCADO",[3]INSUMOS!E204,"ERRO")</f>
        <v>TERMINAL ELÉTRICO PINO ISOLADO, DE 4,0 A 6,0MM², PTV 5.5-13, AMARELO, EMBALAGEM COM 100 PEÇAS</v>
      </c>
      <c r="E93" s="278" t="s">
        <v>840</v>
      </c>
      <c r="F93" s="278" t="s">
        <v>841</v>
      </c>
      <c r="G93" s="278" t="s">
        <v>842</v>
      </c>
      <c r="H93" s="273">
        <v>71.680000000000007</v>
      </c>
      <c r="I93" s="273">
        <v>40.75</v>
      </c>
      <c r="J93" s="273">
        <v>55.5</v>
      </c>
      <c r="K93" s="281">
        <v>44663</v>
      </c>
      <c r="L93" s="274" t="s">
        <v>227</v>
      </c>
      <c r="M93" s="273">
        <f t="shared" si="0"/>
        <v>55.98</v>
      </c>
    </row>
    <row r="94" spans="2:13" ht="60">
      <c r="B94" s="260" t="str">
        <f>IF([3]INSUMOS!C205="MERCADO",[3]INSUMOS!A205,"ERRO")</f>
        <v>AR-CONDICIONADO</v>
      </c>
      <c r="C94" s="293">
        <f>[3]INSUMOS!B205</f>
        <v>4079</v>
      </c>
      <c r="D94" s="262" t="str">
        <f>IF([3]INSUMOS!C205="MERCADO",[3]INSUMOS!E205,"ERRO")</f>
        <v>TERMINAL ELÉTRICO PINO ISOLADO, DE 10MM², 12MM, PTVS 10-12, VERMELHO, EMBALAGEM COM 50 PEÇAS</v>
      </c>
      <c r="E94" s="278" t="s">
        <v>843</v>
      </c>
      <c r="F94" s="278" t="s">
        <v>844</v>
      </c>
      <c r="G94" s="278" t="s">
        <v>845</v>
      </c>
      <c r="H94" s="273">
        <v>56.42</v>
      </c>
      <c r="I94" s="273">
        <v>119.9</v>
      </c>
      <c r="J94" s="273">
        <v>68.900000000000006</v>
      </c>
      <c r="K94" s="281">
        <v>44663</v>
      </c>
      <c r="L94" s="274" t="s">
        <v>227</v>
      </c>
      <c r="M94" s="273">
        <f t="shared" si="0"/>
        <v>81.739999999999995</v>
      </c>
    </row>
    <row r="95" spans="2:13" ht="60">
      <c r="B95" s="260" t="str">
        <f>IF([3]INSUMOS!C206="MERCADO",[3]INSUMOS!A206,"ERRO")</f>
        <v>AR-CONDICIONADO</v>
      </c>
      <c r="C95" s="293">
        <f>[3]INSUMOS!B206</f>
        <v>4080</v>
      </c>
      <c r="D95" s="262" t="str">
        <f>IF([3]INSUMOS!C206="MERCADO",[3]INSUMOS!E206,"ERRO")</f>
        <v>TERMINAL ELÉTRICO OLHAL ISOLADO, DE 1,5 A 2,5MM², RVS2-5, AZUL, EMBALAGEM COM 100 PEÇAS</v>
      </c>
      <c r="E95" s="278" t="s">
        <v>846</v>
      </c>
      <c r="F95" s="278" t="s">
        <v>847</v>
      </c>
      <c r="G95" s="278" t="s">
        <v>848</v>
      </c>
      <c r="H95" s="273">
        <v>51.82</v>
      </c>
      <c r="I95" s="273">
        <v>24.69</v>
      </c>
      <c r="J95" s="273">
        <v>29.48</v>
      </c>
      <c r="K95" s="281">
        <v>44663</v>
      </c>
      <c r="L95" s="274" t="s">
        <v>227</v>
      </c>
      <c r="M95" s="273">
        <f t="shared" ref="M95:M107" si="5">ROUND(AVERAGE(H95:J95),2)</f>
        <v>35.33</v>
      </c>
    </row>
    <row r="96" spans="2:13" ht="60">
      <c r="B96" s="260" t="str">
        <f>IF([3]INSUMOS!C207="MERCADO",[3]INSUMOS!A207,"ERRO")</f>
        <v>AR-CONDICIONADO</v>
      </c>
      <c r="C96" s="293">
        <f>[3]INSUMOS!B207</f>
        <v>4081</v>
      </c>
      <c r="D96" s="262" t="str">
        <f>IF([3]INSUMOS!C207="MERCADO",[3]INSUMOS!E207,"ERRO")</f>
        <v>TERMINAL ELÉTRICO OLHAL ISOLADO, DE 4,0 A 6,0MM², RV5.5-6, AMARELO, EMBALAGEM COM 100 PEÇAS</v>
      </c>
      <c r="E96" s="278" t="s">
        <v>849</v>
      </c>
      <c r="F96" s="278" t="s">
        <v>850</v>
      </c>
      <c r="G96" s="278" t="s">
        <v>851</v>
      </c>
      <c r="H96" s="273">
        <v>76.86</v>
      </c>
      <c r="I96" s="273">
        <v>67.650000000000006</v>
      </c>
      <c r="J96" s="273">
        <v>49.9</v>
      </c>
      <c r="K96" s="281">
        <v>44663</v>
      </c>
      <c r="L96" s="274" t="s">
        <v>227</v>
      </c>
      <c r="M96" s="273">
        <f t="shared" si="5"/>
        <v>64.8</v>
      </c>
    </row>
    <row r="97" spans="2:13" ht="45">
      <c r="B97" s="260" t="str">
        <f>IF([3]INSUMOS!C208="MERCADO",[3]INSUMOS!A208,"ERRO")</f>
        <v>AR-CONDICIONADO</v>
      </c>
      <c r="C97" s="293">
        <f>[3]INSUMOS!B208</f>
        <v>4082</v>
      </c>
      <c r="D97" s="262" t="str">
        <f>IF([3]INSUMOS!C208="MERCADO",[3]INSUMOS!E208,"ERRO")</f>
        <v>TERMINAL ELÉTRICO OLHAL ISOLADO, DE 10,0MM², M6, VERMELHO, CADA UNIDADE</v>
      </c>
      <c r="E97" s="278" t="s">
        <v>852</v>
      </c>
      <c r="F97" s="278" t="s">
        <v>853</v>
      </c>
      <c r="G97" s="278" t="s">
        <v>854</v>
      </c>
      <c r="H97" s="273">
        <v>1.51</v>
      </c>
      <c r="I97" s="273">
        <v>1.67</v>
      </c>
      <c r="J97" s="273">
        <v>1.65</v>
      </c>
      <c r="K97" s="281">
        <v>44663</v>
      </c>
      <c r="L97" s="274" t="s">
        <v>227</v>
      </c>
      <c r="M97" s="273">
        <f t="shared" si="5"/>
        <v>1.61</v>
      </c>
    </row>
    <row r="98" spans="2:13" ht="60">
      <c r="B98" s="260" t="str">
        <f>IF([3]INSUMOS!C209="MERCADO",[3]INSUMOS!A209,"ERRO")</f>
        <v>AR-CONDICIONADO</v>
      </c>
      <c r="C98" s="293">
        <f>[3]INSUMOS!B209</f>
        <v>4083</v>
      </c>
      <c r="D98" s="262" t="str">
        <f>IF([3]INSUMOS!C209="MERCADO",[3]INSUMOS!E209,"ERRO")</f>
        <v>TERMOSTATO SPRINGER CROSS RC-80810-2 OU SIMILAR</v>
      </c>
      <c r="E98" s="278" t="s">
        <v>855</v>
      </c>
      <c r="F98" s="278" t="s">
        <v>856</v>
      </c>
      <c r="G98" s="278" t="s">
        <v>857</v>
      </c>
      <c r="H98" s="273">
        <v>90</v>
      </c>
      <c r="I98" s="273">
        <v>128.61000000000001</v>
      </c>
      <c r="J98" s="273">
        <v>90</v>
      </c>
      <c r="K98" s="281">
        <v>44663</v>
      </c>
      <c r="L98" s="274" t="s">
        <v>227</v>
      </c>
      <c r="M98" s="273">
        <f t="shared" si="5"/>
        <v>102.87</v>
      </c>
    </row>
    <row r="99" spans="2:13" ht="75">
      <c r="B99" s="260" t="str">
        <f>IF([3]INSUMOS!C210="MERCADO",[3]INSUMOS!A210,"ERRO")</f>
        <v>AR-CONDICIONADO</v>
      </c>
      <c r="C99" s="293">
        <f>[3]INSUMOS!B210</f>
        <v>4084</v>
      </c>
      <c r="D99" s="262" t="str">
        <f>IF([3]INSUMOS!C210="MERCADO",[3]INSUMOS!E210,"ERRO")</f>
        <v>TERMOSTATO AMBIENTE ELETRÔNICO, 220V, DUPLO ESTÁGIO E UMA VELOCIDADE, OU SIMILAR</v>
      </c>
      <c r="E99" s="278" t="s">
        <v>858</v>
      </c>
      <c r="F99" s="278" t="s">
        <v>859</v>
      </c>
      <c r="G99" s="278" t="s">
        <v>860</v>
      </c>
      <c r="H99" s="273">
        <v>416.13</v>
      </c>
      <c r="I99" s="273">
        <v>377.15</v>
      </c>
      <c r="J99" s="273">
        <v>350.71</v>
      </c>
      <c r="K99" s="281">
        <v>44663</v>
      </c>
      <c r="L99" s="274" t="s">
        <v>227</v>
      </c>
      <c r="M99" s="273">
        <f t="shared" si="5"/>
        <v>381.33</v>
      </c>
    </row>
    <row r="100" spans="2:13" ht="60">
      <c r="B100" s="260" t="str">
        <f>IF([3]INSUMOS!C211="MERCADO",[3]INSUMOS!A211,"ERRO")</f>
        <v>AR-CONDICIONADO</v>
      </c>
      <c r="C100" s="293">
        <f>[3]INSUMOS!B211</f>
        <v>4085</v>
      </c>
      <c r="D100" s="262" t="str">
        <f>IF([3]INSUMOS!C211="MERCADO",[3]INSUMOS!E211,"ERRO")</f>
        <v>TERMOSTATO AMBIENTE ANALÓGICO DE UM ESTÁGIO E UMA VELOCIDADE, 220V, 10°C A 30°C</v>
      </c>
      <c r="E100" s="278" t="s">
        <v>861</v>
      </c>
      <c r="F100" s="278" t="s">
        <v>862</v>
      </c>
      <c r="G100" s="278" t="s">
        <v>863</v>
      </c>
      <c r="H100" s="273">
        <v>137.49</v>
      </c>
      <c r="I100" s="273">
        <v>198.6</v>
      </c>
      <c r="J100" s="273">
        <v>183.33</v>
      </c>
      <c r="K100" s="281">
        <v>44663</v>
      </c>
      <c r="L100" s="274" t="s">
        <v>227</v>
      </c>
      <c r="M100" s="273">
        <f t="shared" si="5"/>
        <v>173.14</v>
      </c>
    </row>
    <row r="101" spans="2:13" ht="60">
      <c r="B101" s="260" t="str">
        <f>IF([3]INSUMOS!C212="MERCADO",[3]INSUMOS!A212,"ERRO")</f>
        <v>AR-CONDICIONADO</v>
      </c>
      <c r="C101" s="293">
        <f>[3]INSUMOS!B212</f>
        <v>4086</v>
      </c>
      <c r="D101" s="262" t="str">
        <f>IF([3]INSUMOS!C212="MERCADO",[3]INSUMOS!E212,"ERRO")</f>
        <v>TERMOSTATO CONSUL 10 A 21BTU RC-31601-2</v>
      </c>
      <c r="E101" s="278" t="s">
        <v>864</v>
      </c>
      <c r="F101" s="278" t="s">
        <v>865</v>
      </c>
      <c r="G101" s="278" t="s">
        <v>866</v>
      </c>
      <c r="H101" s="273">
        <v>32.06</v>
      </c>
      <c r="I101" s="273">
        <v>199.9</v>
      </c>
      <c r="J101" s="273">
        <v>189.91</v>
      </c>
      <c r="K101" s="281">
        <v>44663</v>
      </c>
      <c r="L101" s="274" t="s">
        <v>227</v>
      </c>
      <c r="M101" s="273">
        <f t="shared" si="5"/>
        <v>140.62</v>
      </c>
    </row>
    <row r="102" spans="2:13" ht="45">
      <c r="B102" s="260" t="str">
        <f>IF([3]INSUMOS!C213="MERCADO",[3]INSUMOS!A213,"ERRO")</f>
        <v>AR-CONDICIONADO</v>
      </c>
      <c r="C102" s="293">
        <f>[3]INSUMOS!B213</f>
        <v>4087</v>
      </c>
      <c r="D102" s="262" t="str">
        <f>IF([3]INSUMOS!C213="MERCADO",[3]INSUMOS!E213,"ERRO")</f>
        <v>TERMOSTATO AMBIENTE ELETRÔNICO DE UM ESTÁGIO E UMA VELOCIDADE, 220V</v>
      </c>
      <c r="E102" s="278" t="s">
        <v>867</v>
      </c>
      <c r="F102" s="278" t="s">
        <v>860</v>
      </c>
      <c r="G102" s="278" t="s">
        <v>868</v>
      </c>
      <c r="H102" s="273">
        <v>395.49</v>
      </c>
      <c r="I102" s="273">
        <v>350.71</v>
      </c>
      <c r="J102" s="273">
        <v>292.60000000000002</v>
      </c>
      <c r="K102" s="281">
        <v>44663</v>
      </c>
      <c r="L102" s="274" t="s">
        <v>227</v>
      </c>
      <c r="M102" s="273">
        <f t="shared" si="5"/>
        <v>346.27</v>
      </c>
    </row>
    <row r="103" spans="2:13" ht="75">
      <c r="B103" s="260" t="str">
        <f>IF([3]INSUMOS!C214="MERCADO",[3]INSUMOS!A214,"ERRO")</f>
        <v>AR-CONDICIONADO</v>
      </c>
      <c r="C103" s="293">
        <f>[3]INSUMOS!B214</f>
        <v>4088</v>
      </c>
      <c r="D103" s="262" t="str">
        <f>IF([3]INSUMOS!C214="MERCADO",[3]INSUMOS!E214,"ERRO")</f>
        <v>TERMOSTATO PARA AR CONDICIONADO UNIVERSAL 7.000 A 30.000 BTUS</v>
      </c>
      <c r="E103" s="278" t="s">
        <v>869</v>
      </c>
      <c r="F103" s="278" t="s">
        <v>870</v>
      </c>
      <c r="G103" s="278" t="s">
        <v>871</v>
      </c>
      <c r="H103" s="273">
        <v>156.16</v>
      </c>
      <c r="I103" s="273">
        <v>169.8</v>
      </c>
      <c r="J103" s="273">
        <v>189.41</v>
      </c>
      <c r="K103" s="281">
        <v>44664</v>
      </c>
      <c r="L103" s="274" t="s">
        <v>227</v>
      </c>
      <c r="M103" s="273">
        <f t="shared" si="5"/>
        <v>171.79</v>
      </c>
    </row>
    <row r="104" spans="2:13" ht="45">
      <c r="B104" s="260" t="str">
        <f>IF([3]INSUMOS!C215="MERCADO",[3]INSUMOS!A215,"ERRO")</f>
        <v>AR-CONDICIONADO</v>
      </c>
      <c r="C104" s="293">
        <f>[3]INSUMOS!B215</f>
        <v>4089</v>
      </c>
      <c r="D104" s="262" t="str">
        <f>IF([3]INSUMOS!C215="MERCADO",[3]INSUMOS!E215,"ERRO")</f>
        <v>TUBO CAPILAR 0,31 PARA AR CONDICIONADO</v>
      </c>
      <c r="E104" s="278" t="s">
        <v>872</v>
      </c>
      <c r="F104" s="278" t="s">
        <v>873</v>
      </c>
      <c r="G104" s="278" t="s">
        <v>874</v>
      </c>
      <c r="H104" s="273">
        <v>9.8800000000000008</v>
      </c>
      <c r="I104" s="273">
        <v>8.17</v>
      </c>
      <c r="J104" s="273">
        <v>10.57</v>
      </c>
      <c r="K104" s="281">
        <v>44665</v>
      </c>
      <c r="L104" s="274" t="s">
        <v>227</v>
      </c>
      <c r="M104" s="273">
        <f t="shared" si="5"/>
        <v>9.5399999999999991</v>
      </c>
    </row>
    <row r="105" spans="2:13" ht="30">
      <c r="B105" s="260" t="str">
        <f>IF([3]INSUMOS!C216="MERCADO",[3]INSUMOS!A216,"ERRO")</f>
        <v>AR-CONDICIONADO</v>
      </c>
      <c r="C105" s="293">
        <f>[3]INSUMOS!B216</f>
        <v>4090</v>
      </c>
      <c r="D105" s="262" t="str">
        <f>IF([3]INSUMOS!C216="MERCADO",[3]INSUMOS!E216,"ERRO")</f>
        <v>TUBO CAPILAR 0,36 PARA AR CONDICIONADO</v>
      </c>
      <c r="E105" s="278" t="s">
        <v>875</v>
      </c>
      <c r="F105" s="278" t="s">
        <v>876</v>
      </c>
      <c r="G105" s="278" t="s">
        <v>877</v>
      </c>
      <c r="H105" s="273">
        <v>11.87</v>
      </c>
      <c r="I105" s="273">
        <v>11.63</v>
      </c>
      <c r="J105" s="273">
        <v>12.51</v>
      </c>
      <c r="K105" s="281">
        <v>44665</v>
      </c>
      <c r="L105" s="274" t="s">
        <v>227</v>
      </c>
      <c r="M105" s="273">
        <f t="shared" si="5"/>
        <v>12</v>
      </c>
    </row>
    <row r="106" spans="2:13" ht="30">
      <c r="B106" s="260" t="str">
        <f>IF([3]INSUMOS!C217="MERCADO",[3]INSUMOS!A217,"ERRO")</f>
        <v>AR-CONDICIONADO</v>
      </c>
      <c r="C106" s="293">
        <f>[3]INSUMOS!B217</f>
        <v>4091</v>
      </c>
      <c r="D106" s="262" t="str">
        <f>IF([3]INSUMOS!C217="MERCADO",[3]INSUMOS!E217,"ERRO")</f>
        <v>TUBO CAPILAR 0,42 PARA AR CONDICIONADO</v>
      </c>
      <c r="E106" s="278" t="s">
        <v>878</v>
      </c>
      <c r="F106" s="278" t="s">
        <v>879</v>
      </c>
      <c r="G106" s="278" t="s">
        <v>880</v>
      </c>
      <c r="H106" s="273">
        <v>12.87</v>
      </c>
      <c r="I106" s="273">
        <v>11.81</v>
      </c>
      <c r="J106" s="273">
        <v>14.45</v>
      </c>
      <c r="K106" s="281">
        <v>44665</v>
      </c>
      <c r="L106" s="274" t="s">
        <v>227</v>
      </c>
      <c r="M106" s="273">
        <f t="shared" si="5"/>
        <v>13.04</v>
      </c>
    </row>
    <row r="107" spans="2:13" ht="30">
      <c r="B107" s="260" t="str">
        <f>IF([3]INSUMOS!C218="MERCADO",[3]INSUMOS!A218,"ERRO")</f>
        <v>AR-CONDICIONADO</v>
      </c>
      <c r="C107" s="293">
        <f>[3]INSUMOS!B218</f>
        <v>4092</v>
      </c>
      <c r="D107" s="262" t="str">
        <f>IF([3]INSUMOS!C218="MERCADO",[3]INSUMOS!E218,"ERRO")</f>
        <v>TUBO CAPILAR 0,50 PARA AR CONDICIONADO</v>
      </c>
      <c r="E107" s="278" t="s">
        <v>881</v>
      </c>
      <c r="F107" s="278" t="s">
        <v>882</v>
      </c>
      <c r="G107" s="278" t="s">
        <v>883</v>
      </c>
      <c r="H107" s="273">
        <v>14.87</v>
      </c>
      <c r="I107" s="273">
        <v>13.85</v>
      </c>
      <c r="J107" s="273">
        <v>16.39</v>
      </c>
      <c r="K107" s="281">
        <v>44665</v>
      </c>
      <c r="L107" s="274" t="s">
        <v>227</v>
      </c>
      <c r="M107" s="273">
        <f t="shared" si="5"/>
        <v>15.04</v>
      </c>
    </row>
    <row r="108" spans="2:13" ht="60">
      <c r="B108" s="260" t="str">
        <f>IF([3]INSUMOS!C219="MERCADO",[3]INSUMOS!A219,"ERRO")</f>
        <v>AR-CONDICIONADO</v>
      </c>
      <c r="C108" s="293">
        <f>[3]INSUMOS!B219</f>
        <v>4093</v>
      </c>
      <c r="D108" s="262" t="str">
        <f>IF([3]INSUMOS!C219="MERCADO",[3]INSUMOS!E219,"ERRO")</f>
        <v>TUBO CAPILAR 0,64 PARA AR CONDICIONADO</v>
      </c>
      <c r="E108" s="278" t="s">
        <v>884</v>
      </c>
      <c r="F108" s="278" t="s">
        <v>885</v>
      </c>
      <c r="G108" s="278" t="s">
        <v>886</v>
      </c>
      <c r="H108" s="273">
        <v>14.87</v>
      </c>
      <c r="I108" s="273">
        <v>19.989999999999998</v>
      </c>
      <c r="J108" s="273">
        <v>18.329999999999998</v>
      </c>
      <c r="K108" s="281">
        <v>44665</v>
      </c>
      <c r="L108" s="274" t="s">
        <v>227</v>
      </c>
      <c r="M108" s="273">
        <f t="shared" ref="M108:M110" si="6">ROUND(AVERAGE(H108:J108),2)</f>
        <v>17.73</v>
      </c>
    </row>
    <row r="109" spans="2:13" ht="30" customHeight="1">
      <c r="B109" s="248" t="s">
        <v>471</v>
      </c>
      <c r="C109" s="309">
        <v>4094</v>
      </c>
      <c r="D109" s="262" t="s">
        <v>1015</v>
      </c>
      <c r="E109" s="278" t="s">
        <v>1025</v>
      </c>
      <c r="F109" s="278" t="s">
        <v>1026</v>
      </c>
      <c r="G109" s="278" t="s">
        <v>1027</v>
      </c>
      <c r="H109" s="273">
        <v>155</v>
      </c>
      <c r="I109" s="273">
        <v>150</v>
      </c>
      <c r="J109" s="273">
        <v>185</v>
      </c>
      <c r="K109" s="281">
        <v>44764</v>
      </c>
      <c r="L109" s="274"/>
      <c r="M109" s="273">
        <f t="shared" si="6"/>
        <v>163.33000000000001</v>
      </c>
    </row>
    <row r="110" spans="2:13" ht="30" customHeight="1">
      <c r="B110" s="248" t="s">
        <v>471</v>
      </c>
      <c r="C110" s="309">
        <v>4095</v>
      </c>
      <c r="D110" s="262" t="s">
        <v>1017</v>
      </c>
      <c r="E110" s="278" t="s">
        <v>1025</v>
      </c>
      <c r="F110" s="278" t="s">
        <v>1026</v>
      </c>
      <c r="G110" s="278" t="s">
        <v>1027</v>
      </c>
      <c r="H110" s="273">
        <v>46.35</v>
      </c>
      <c r="I110" s="273">
        <v>28.79</v>
      </c>
      <c r="J110" s="273">
        <v>8</v>
      </c>
      <c r="K110" s="281">
        <v>44764</v>
      </c>
      <c r="L110" s="274"/>
      <c r="M110" s="273">
        <f t="shared" si="6"/>
        <v>27.71</v>
      </c>
    </row>
    <row r="111" spans="2:13" ht="45">
      <c r="B111" s="296" t="s">
        <v>996</v>
      </c>
      <c r="C111" s="297"/>
      <c r="D111" s="298"/>
      <c r="E111" s="299"/>
      <c r="F111" s="299"/>
      <c r="G111" s="299"/>
      <c r="H111" s="300"/>
      <c r="I111" s="300"/>
      <c r="J111" s="300"/>
      <c r="K111" s="301"/>
      <c r="L111" s="302"/>
      <c r="M111" s="303">
        <f>SUM(M6:M110)</f>
        <v>20858.520000000008</v>
      </c>
    </row>
  </sheetData>
  <autoFilter ref="A5:O5"/>
  <mergeCells count="3">
    <mergeCell ref="B1:M1"/>
    <mergeCell ref="B2:M2"/>
    <mergeCell ref="E3:M3"/>
  </mergeCells>
  <hyperlinks>
    <hyperlink ref="E9" r:id="rId1"/>
    <hyperlink ref="F9" r:id="rId2"/>
    <hyperlink ref="G9" r:id="rId3"/>
    <hyperlink ref="E10" display="https://www.magazineluiza.com.br/kit-universal-duplo-acionamento-caixa-acoplada-deca-1100-si-60-01/p/kc406h4ck8/cj/acop/?&amp;seller_id=hidrautecmateriaishidraulicos&amp;utm_source=google&amp;utm_medium=pla&amp;utm_campaign=&amp;partner_id=64262&amp;&amp;&amp;utm_source=google&amp;utm_mediu"/>
    <hyperlink ref="F10" display="https://www.amazon.com.br/Reparo-Caixa-Acoplada-Duplo-Acionamento-Deca/dp/B07JJZSK8R/ref=asc_df_B07JJZSK8R/?tag=googleshopp00-20&amp;linkCode=df0&amp;hvadid=379787065820&amp;hvpos=&amp;hvnetw=g&amp;hvrand=7148952361155354932&amp;hvpone=&amp;hvptwo=&amp;hvqmt=&amp;hvdev=c&amp;hvdvcmdl=&amp;hvlocint="/>
    <hyperlink ref="G10" r:id="rId4"/>
    <hyperlink ref="E11" r:id="rId5"/>
    <hyperlink ref="F11" r:id="rId6"/>
    <hyperlink ref="G11" r:id="rId7"/>
    <hyperlink ref="F12" r:id="rId8"/>
    <hyperlink ref="G12" r:id="rId9"/>
    <hyperlink ref="E13" r:id="rId10"/>
    <hyperlink ref="F13" r:id="rId11"/>
    <hyperlink ref="G13" display="https://www.magazineluiza.com.br/grelha-inox-para-banheiro-quadrada-10x10cm-palacio-das-torneiras/p/fjbb4d31b2/cj/ragl/?&amp;seller_id=palaciodastorneiras&amp;utm_source=google&amp;utm_medium=pla&amp;utm_campaign=&amp;partner_id=64262&amp;&amp;&amp;utm_source=google&amp;utm_medium=pla&amp;utm_c"/>
    <hyperlink ref="E14" display="https://www.submarino.com.br/produto/4628088669?epar=bp_pl_px_go_pmax_b2wads_geral_gmv&amp;opn=XMLGOOGLE&amp;WT.srch=1&amp;aid=61e48691132c90a78658f83c&amp;sid=25415213000105&amp;pid=4628088669&amp;chave=vnzpla_61e48691132c90a78658f83c_25415213000105_4628088669&amp;gclid=CjwKCAjwrqq"/>
    <hyperlink ref="F14" r:id="rId12"/>
    <hyperlink ref="G14" r:id="rId13"/>
    <hyperlink ref="E15" r:id="rId14"/>
    <hyperlink ref="F15" r:id="rId15"/>
    <hyperlink ref="G15" r:id="rId16"/>
    <hyperlink ref="E16" r:id="rId17"/>
    <hyperlink ref="F16" r:id="rId18"/>
    <hyperlink ref="G16" r:id="rId19"/>
    <hyperlink ref="F17" r:id="rId20"/>
    <hyperlink ref="G17" r:id="rId21"/>
    <hyperlink ref="E17" r:id="rId22"/>
    <hyperlink ref="E18" r:id="rId23"/>
    <hyperlink ref="F18" r:id="rId24"/>
    <hyperlink ref="G18" r:id="rId25"/>
    <hyperlink ref="E19" r:id="rId26"/>
    <hyperlink ref="F19" r:id="rId27"/>
    <hyperlink ref="G19" r:id="rId28"/>
    <hyperlink ref="E37" r:id="rId29"/>
    <hyperlink ref="F37" r:id="rId30"/>
    <hyperlink ref="G37" r:id="rId31"/>
    <hyperlink ref="E38" r:id="rId32"/>
    <hyperlink ref="G38" r:id="rId33"/>
    <hyperlink ref="F38" r:id="rId34"/>
    <hyperlink ref="E39" r:id="rId35"/>
    <hyperlink ref="F39" r:id="rId36"/>
    <hyperlink ref="G39" r:id="rId37"/>
    <hyperlink ref="E44" r:id="rId38"/>
    <hyperlink ref="F44" r:id="rId39"/>
    <hyperlink ref="G44" r:id="rId40"/>
    <hyperlink ref="E64" r:id="rId41"/>
    <hyperlink ref="F64" r:id="rId42"/>
    <hyperlink ref="G64" r:id="rId43"/>
    <hyperlink ref="E65" r:id="rId44"/>
    <hyperlink ref="F65" r:id="rId45"/>
    <hyperlink ref="G65" r:id="rId46"/>
    <hyperlink ref="E66" r:id="rId47"/>
    <hyperlink ref="F66" r:id="rId48"/>
    <hyperlink ref="G66" r:id="rId49"/>
    <hyperlink ref="E67" r:id="rId50"/>
    <hyperlink ref="F67" r:id="rId51"/>
    <hyperlink ref="G67" r:id="rId52"/>
    <hyperlink ref="G68" r:id="rId53"/>
    <hyperlink ref="F68" r:id="rId54"/>
    <hyperlink ref="E68" r:id="rId55"/>
    <hyperlink ref="E69" r:id="rId56"/>
    <hyperlink ref="F69" r:id="rId57"/>
    <hyperlink ref="G69" r:id="rId58"/>
    <hyperlink ref="E70" r:id="rId59"/>
    <hyperlink ref="F70" r:id="rId60"/>
    <hyperlink ref="G70" r:id="rId61"/>
    <hyperlink ref="E71" r:id="rId62"/>
    <hyperlink ref="F71" r:id="rId63"/>
    <hyperlink ref="G71" r:id="rId64"/>
    <hyperlink ref="E72" r:id="rId65"/>
    <hyperlink ref="F72" r:id="rId66"/>
    <hyperlink ref="G72" r:id="rId67"/>
    <hyperlink ref="E73" r:id="rId68"/>
    <hyperlink ref="F73" r:id="rId69"/>
    <hyperlink ref="G73" r:id="rId70"/>
    <hyperlink ref="E74" r:id="rId71"/>
    <hyperlink ref="F74" r:id="rId72"/>
    <hyperlink ref="G74" r:id="rId73"/>
    <hyperlink ref="E75" r:id="rId74"/>
    <hyperlink ref="F75" r:id="rId75"/>
    <hyperlink ref="G75" r:id="rId76"/>
    <hyperlink ref="E76" r:id="rId77"/>
    <hyperlink ref="G76" r:id="rId78"/>
    <hyperlink ref="F76" r:id="rId79"/>
    <hyperlink ref="E77" r:id="rId80"/>
    <hyperlink ref="E78" r:id="rId81"/>
    <hyperlink ref="E79" r:id="rId82"/>
    <hyperlink ref="E80" r:id="rId83"/>
    <hyperlink ref="E81" r:id="rId84"/>
    <hyperlink ref="F77" r:id="rId85"/>
    <hyperlink ref="F78" r:id="rId86"/>
    <hyperlink ref="F79" r:id="rId87"/>
    <hyperlink ref="F80" r:id="rId88"/>
    <hyperlink ref="G77" r:id="rId89"/>
    <hyperlink ref="G79" r:id="rId90"/>
    <hyperlink ref="G78" r:id="rId91"/>
    <hyperlink ref="F81" r:id="rId92"/>
    <hyperlink ref="G80" r:id="rId93"/>
    <hyperlink ref="G81" r:id="rId94"/>
    <hyperlink ref="E82" r:id="rId95"/>
    <hyperlink ref="F82" r:id="rId96"/>
    <hyperlink ref="G82" r:id="rId97"/>
    <hyperlink ref="E84" r:id="rId98"/>
    <hyperlink ref="F84" r:id="rId99"/>
    <hyperlink ref="G84" r:id="rId100"/>
    <hyperlink ref="E87" r:id="rId101"/>
    <hyperlink ref="F87" r:id="rId102"/>
    <hyperlink ref="G87" r:id="rId103"/>
    <hyperlink ref="E88" r:id="rId104"/>
    <hyperlink ref="F88" r:id="rId105"/>
    <hyperlink ref="G88" r:id="rId106"/>
    <hyperlink ref="E89" r:id="rId107"/>
    <hyperlink ref="F89" r:id="rId108"/>
    <hyperlink ref="G89" r:id="rId109"/>
    <hyperlink ref="E90" r:id="rId110"/>
    <hyperlink ref="F90" r:id="rId111"/>
    <hyperlink ref="G90" r:id="rId112"/>
    <hyperlink ref="E91" r:id="rId113"/>
    <hyperlink ref="F91" r:id="rId114"/>
    <hyperlink ref="G91" r:id="rId115" location="position=7&amp;search_layout=stack&amp;type=item&amp;tracking_id=9dee889d-838d-4c82-b2e7-a52abfc87c65"/>
    <hyperlink ref="E92" r:id="rId116"/>
    <hyperlink ref="F92" r:id="rId117"/>
    <hyperlink ref="G92" r:id="rId118"/>
    <hyperlink ref="E93" r:id="rId119"/>
    <hyperlink ref="F93" r:id="rId120"/>
    <hyperlink ref="G93" r:id="rId121"/>
    <hyperlink ref="E94" r:id="rId122"/>
    <hyperlink ref="F94" r:id="rId123"/>
    <hyperlink ref="G94" r:id="rId124"/>
    <hyperlink ref="E95" r:id="rId125"/>
    <hyperlink ref="F95" r:id="rId126"/>
    <hyperlink ref="G95" r:id="rId127"/>
    <hyperlink ref="E96" r:id="rId128"/>
    <hyperlink ref="F96" r:id="rId129"/>
    <hyperlink ref="G96" r:id="rId130"/>
    <hyperlink ref="E97" r:id="rId131"/>
    <hyperlink ref="F97" r:id="rId132"/>
    <hyperlink ref="G97" r:id="rId133"/>
    <hyperlink ref="E98" r:id="rId134"/>
    <hyperlink ref="F98" r:id="rId135"/>
    <hyperlink ref="G98" r:id="rId136"/>
    <hyperlink ref="E99" r:id="rId137"/>
    <hyperlink ref="F99" r:id="rId138"/>
    <hyperlink ref="G99" r:id="rId139"/>
    <hyperlink ref="E100" r:id="rId140"/>
    <hyperlink ref="F100" r:id="rId141"/>
    <hyperlink ref="G100" r:id="rId142"/>
    <hyperlink ref="E101" r:id="rId143"/>
    <hyperlink ref="F101" r:id="rId144"/>
    <hyperlink ref="G101" r:id="rId145"/>
    <hyperlink ref="E102" r:id="rId146"/>
    <hyperlink ref="F102" r:id="rId147"/>
    <hyperlink ref="G102" r:id="rId148"/>
    <hyperlink ref="E40" r:id="rId149"/>
    <hyperlink ref="F40" r:id="rId150"/>
    <hyperlink ref="G40" r:id="rId151"/>
    <hyperlink ref="E41" r:id="rId152"/>
    <hyperlink ref="F41" r:id="rId153"/>
    <hyperlink ref="G41" display="https://www.magazineluiza.com.br/capacitor-25-uf-para-ar-condicionado-electrolux-33010026-450v/p/hb0d41h8ga/cj/ccto/?&amp;seller_id=friopecas&amp;utm_source=google&amp;utm_medium=pla&amp;utm_campaign=&amp;partner_id=61981&amp;gclid=EAIaIQobChMI2orq68uR9wIVDUJIAB36JwuGEAQYASABEgI"/>
    <hyperlink ref="E42" r:id="rId154"/>
    <hyperlink ref="F42" r:id="rId155"/>
    <hyperlink ref="G42" r:id="rId156"/>
    <hyperlink ref="E43" r:id="rId157"/>
    <hyperlink ref="F43" r:id="rId158"/>
    <hyperlink ref="G43" r:id="rId159" location="position=2&amp;search_layout=stack&amp;type=item&amp;tracking_id=86aae2de-1f35-4723-8a21-0a17a1f72358"/>
    <hyperlink ref="E103" r:id="rId160"/>
    <hyperlink ref="F103" r:id="rId161"/>
    <hyperlink ref="G103" r:id="rId162"/>
    <hyperlink ref="E104" r:id="rId163"/>
    <hyperlink ref="E105" r:id="rId164"/>
    <hyperlink ref="E106" r:id="rId165"/>
    <hyperlink ref="E107" r:id="rId166"/>
    <hyperlink ref="F104" r:id="rId167"/>
    <hyperlink ref="F105" r:id="rId168"/>
    <hyperlink ref="F106" r:id="rId169"/>
    <hyperlink ref="F107" r:id="rId170"/>
    <hyperlink ref="G104" r:id="rId171"/>
    <hyperlink ref="G105" r:id="rId172"/>
    <hyperlink ref="G106" r:id="rId173"/>
    <hyperlink ref="G107" r:id="rId174"/>
    <hyperlink ref="E85" r:id="rId175"/>
    <hyperlink ref="F85" r:id="rId176"/>
    <hyperlink ref="G85" r:id="rId177"/>
    <hyperlink ref="E86" r:id="rId178"/>
    <hyperlink ref="F86" r:id="rId179"/>
    <hyperlink ref="G86" r:id="rId180"/>
    <hyperlink ref="E20" r:id="rId181"/>
    <hyperlink ref="G20" r:id="rId182"/>
    <hyperlink ref="F20" r:id="rId183"/>
    <hyperlink ref="E21" r:id="rId184"/>
    <hyperlink ref="F21" r:id="rId185"/>
    <hyperlink ref="G21" r:id="rId186"/>
    <hyperlink ref="E22" r:id="rId187"/>
    <hyperlink ref="F22" r:id="rId188"/>
    <hyperlink ref="G22" r:id="rId189"/>
    <hyperlink ref="E23" r:id="rId190"/>
    <hyperlink ref="F23" r:id="rId191"/>
    <hyperlink ref="G23" r:id="rId192"/>
    <hyperlink ref="E24" r:id="rId193"/>
    <hyperlink ref="F24" r:id="rId194"/>
    <hyperlink ref="G24" r:id="rId195"/>
    <hyperlink ref="E25" r:id="rId196"/>
    <hyperlink ref="F25" r:id="rId197"/>
    <hyperlink ref="G25" r:id="rId198"/>
    <hyperlink ref="E26" r:id="rId199"/>
    <hyperlink ref="F26" r:id="rId200"/>
    <hyperlink ref="G26" r:id="rId201"/>
    <hyperlink ref="E27" r:id="rId202"/>
    <hyperlink ref="G27" r:id="rId203"/>
    <hyperlink ref="F27" r:id="rId204"/>
    <hyperlink ref="E28" r:id="rId205"/>
    <hyperlink ref="F28" r:id="rId206"/>
    <hyperlink ref="G28" r:id="rId207"/>
    <hyperlink ref="E29" r:id="rId208"/>
    <hyperlink ref="F29" r:id="rId209"/>
    <hyperlink ref="G29" r:id="rId210"/>
    <hyperlink ref="E30" r:id="rId211"/>
    <hyperlink ref="F30" r:id="rId212"/>
    <hyperlink ref="G30" r:id="rId213"/>
    <hyperlink ref="E31" r:id="rId214"/>
    <hyperlink ref="F31" r:id="rId215"/>
    <hyperlink ref="G31" r:id="rId216"/>
    <hyperlink ref="E32" r:id="rId217"/>
    <hyperlink ref="F32" r:id="rId218"/>
    <hyperlink ref="G32" r:id="rId219"/>
    <hyperlink ref="E33" r:id="rId220"/>
    <hyperlink ref="F33" r:id="rId221"/>
    <hyperlink ref="G33" r:id="rId222"/>
    <hyperlink ref="E34" r:id="rId223"/>
    <hyperlink ref="F34" r:id="rId224"/>
    <hyperlink ref="G34" r:id="rId225"/>
    <hyperlink ref="E35" r:id="rId226"/>
    <hyperlink ref="G35" r:id="rId227"/>
    <hyperlink ref="F35" r:id="rId228"/>
    <hyperlink ref="G36" r:id="rId229"/>
    <hyperlink ref="E36" r:id="rId230"/>
    <hyperlink ref="F36" r:id="rId231"/>
    <hyperlink ref="E45" r:id="rId232"/>
    <hyperlink ref="F45" r:id="rId233"/>
    <hyperlink ref="G45" r:id="rId234"/>
    <hyperlink ref="E46" r:id="rId235"/>
    <hyperlink ref="F46" r:id="rId236"/>
    <hyperlink ref="G46" r:id="rId237"/>
    <hyperlink ref="E47" r:id="rId238"/>
    <hyperlink ref="F47" r:id="rId239"/>
    <hyperlink ref="G47" r:id="rId240"/>
    <hyperlink ref="E48" r:id="rId241"/>
    <hyperlink ref="F48" display="https://www.anhangueraferramentas.com.br/produto/contator-tripolar-40a-220v-1na-1nf-cwm40-11-30-v26-weg-108161?utm_source=google&amp;utm_medium=cpc&amp;utm_campaign=https://www.anhangueraferramentas.com.br/produto/contator-tripolar-40a-220v-1na-1nf-cwm40-11-30-v2"/>
    <hyperlink ref="G48" r:id="rId242"/>
    <hyperlink ref="E49" r:id="rId243"/>
    <hyperlink ref="F49" display="https://www.anhangueraferramentas.com.br/produto/contator-tripolar-50a-220v-1na-1nf-cwm50-11-30-v26-weg-108154?utm_source=google&amp;utm_medium=cpc&amp;utm_campaign=https://www.anhangueraferramentas.com.br/produto/contator-tripolar-50a-220v-1na-1nf-cwm50-11-30-v2"/>
    <hyperlink ref="G49" r:id="rId244"/>
    <hyperlink ref="E52" r:id="rId245"/>
    <hyperlink ref="F52" r:id="rId246"/>
    <hyperlink ref="G52" r:id="rId247"/>
    <hyperlink ref="E51" r:id="rId248"/>
    <hyperlink ref="F51" r:id="rId249"/>
    <hyperlink ref="G51" r:id="rId250"/>
    <hyperlink ref="E50" r:id="rId251"/>
    <hyperlink ref="F50" r:id="rId252"/>
    <hyperlink ref="G50" r:id="rId253"/>
    <hyperlink ref="E53" r:id="rId254"/>
    <hyperlink ref="F53" r:id="rId255"/>
    <hyperlink ref="G53" r:id="rId256"/>
    <hyperlink ref="E54" r:id="rId257"/>
    <hyperlink ref="F54" r:id="rId258"/>
    <hyperlink ref="G54" r:id="rId259"/>
    <hyperlink ref="E55" r:id="rId260"/>
    <hyperlink ref="F55" r:id="rId261"/>
    <hyperlink ref="G55" r:id="rId262"/>
    <hyperlink ref="E56" r:id="rId263"/>
    <hyperlink ref="F56" r:id="rId264"/>
    <hyperlink ref="G56" r:id="rId265"/>
    <hyperlink ref="E57" r:id="rId266"/>
    <hyperlink ref="F57" r:id="rId267"/>
    <hyperlink ref="G57" r:id="rId268"/>
    <hyperlink ref="E59" r:id="rId269"/>
    <hyperlink ref="F59" r:id="rId270"/>
    <hyperlink ref="G59" r:id="rId271"/>
    <hyperlink ref="E58" r:id="rId272"/>
    <hyperlink ref="F58" r:id="rId273"/>
    <hyperlink ref="G58" r:id="rId274"/>
    <hyperlink ref="E60" r:id="rId275"/>
    <hyperlink ref="F60" r:id="rId276"/>
    <hyperlink ref="G60" r:id="rId277"/>
    <hyperlink ref="E61" r:id="rId278"/>
    <hyperlink ref="F61" r:id="rId279"/>
    <hyperlink ref="G61" r:id="rId280"/>
    <hyperlink ref="E62" r:id="rId281"/>
    <hyperlink ref="F62" r:id="rId282"/>
    <hyperlink ref="G62" r:id="rId283"/>
    <hyperlink ref="E63" r:id="rId284"/>
    <hyperlink ref="F63" r:id="rId285"/>
    <hyperlink ref="G63" r:id="rId286"/>
    <hyperlink ref="E83" r:id="rId287"/>
    <hyperlink ref="F83" r:id="rId288"/>
    <hyperlink ref="G83" r:id="rId289"/>
    <hyperlink ref="E108" r:id="rId290"/>
    <hyperlink ref="G108" r:id="rId291"/>
    <hyperlink ref="F108" r:id="rId292"/>
    <hyperlink ref="E12" r:id="rId293" location="info-section"/>
    <hyperlink ref="F8" r:id="rId294"/>
    <hyperlink ref="G8" r:id="rId295"/>
    <hyperlink ref="E8" r:id="rId296"/>
    <hyperlink ref="F7" r:id="rId297"/>
    <hyperlink ref="G7" r:id="rId298"/>
    <hyperlink ref="E7" r:id="rId299"/>
    <hyperlink ref="G6" r:id="rId300"/>
    <hyperlink ref="F6" r:id="rId301"/>
    <hyperlink ref="E6" r:id="rId302"/>
    <hyperlink ref="E109" r:id="rId303"/>
    <hyperlink ref="E110" r:id="rId304"/>
  </hyperlinks>
  <pageMargins left="0.511811024" right="0.511811024" top="0.78740157499999996" bottom="0.78740157499999996" header="0.31496062000000002" footer="0.31496062000000002"/>
  <pageSetup paperSize="9" orientation="portrait" r:id="rId30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52"/>
  <sheetViews>
    <sheetView showGridLines="0" topLeftCell="A40" workbookViewId="0">
      <selection activeCell="B54" sqref="B54"/>
    </sheetView>
  </sheetViews>
  <sheetFormatPr defaultRowHeight="15"/>
  <cols>
    <col min="1" max="1" width="59.5703125" bestFit="1" customWidth="1"/>
    <col min="2" max="2" width="38.140625" bestFit="1" customWidth="1"/>
    <col min="3" max="3" width="14.5703125" customWidth="1"/>
    <col min="4" max="4" width="16" customWidth="1"/>
    <col min="5" max="8" width="15.140625" customWidth="1"/>
  </cols>
  <sheetData>
    <row r="1" spans="1:4" s="140" customFormat="1" ht="15.75" thickBot="1">
      <c r="A1" s="484" t="s">
        <v>887</v>
      </c>
      <c r="B1" s="485"/>
      <c r="C1" s="485"/>
      <c r="D1" s="486"/>
    </row>
    <row r="3" spans="1:4">
      <c r="A3" s="489" t="s">
        <v>888</v>
      </c>
      <c r="B3" s="490"/>
      <c r="C3" s="490"/>
      <c r="D3" s="491"/>
    </row>
    <row r="4" spans="1:4">
      <c r="A4" s="137" t="s">
        <v>889</v>
      </c>
      <c r="B4" s="495" t="s">
        <v>890</v>
      </c>
      <c r="C4" s="495"/>
      <c r="D4" s="495"/>
    </row>
    <row r="5" spans="1:4">
      <c r="A5" s="137" t="s">
        <v>891</v>
      </c>
      <c r="B5" s="492" t="s">
        <v>892</v>
      </c>
      <c r="C5" s="492"/>
      <c r="D5" s="492"/>
    </row>
    <row r="6" spans="1:4">
      <c r="A6" s="137" t="s">
        <v>893</v>
      </c>
      <c r="B6" s="492" t="s">
        <v>894</v>
      </c>
      <c r="C6" s="492"/>
      <c r="D6" s="492"/>
    </row>
    <row r="7" spans="1:4">
      <c r="A7" s="137" t="s">
        <v>895</v>
      </c>
      <c r="B7" s="492">
        <v>2013</v>
      </c>
      <c r="C7" s="492"/>
      <c r="D7" s="492"/>
    </row>
    <row r="8" spans="1:4">
      <c r="A8" s="137" t="s">
        <v>896</v>
      </c>
      <c r="B8" s="492" t="s">
        <v>897</v>
      </c>
      <c r="C8" s="492"/>
      <c r="D8" s="492"/>
    </row>
    <row r="9" spans="1:4">
      <c r="A9" s="137" t="s">
        <v>898</v>
      </c>
      <c r="B9" s="492">
        <v>11.7</v>
      </c>
      <c r="C9" s="492"/>
      <c r="D9" s="492"/>
    </row>
    <row r="10" spans="1:4">
      <c r="A10" s="137" t="s">
        <v>899</v>
      </c>
      <c r="B10" s="493">
        <v>44593</v>
      </c>
      <c r="C10" s="493"/>
      <c r="D10" s="493"/>
    </row>
    <row r="11" spans="1:4">
      <c r="A11" s="137" t="s">
        <v>900</v>
      </c>
      <c r="B11" s="494">
        <v>44222</v>
      </c>
      <c r="C11" s="494"/>
      <c r="D11" s="494"/>
    </row>
    <row r="12" spans="1:4">
      <c r="B12" s="220"/>
      <c r="C12" s="220"/>
      <c r="D12" s="220"/>
    </row>
    <row r="13" spans="1:4">
      <c r="A13" s="489" t="s">
        <v>901</v>
      </c>
      <c r="B13" s="490"/>
      <c r="C13" s="490"/>
      <c r="D13" s="491"/>
    </row>
    <row r="14" spans="1:4" s="77" customFormat="1" ht="31.5" customHeight="1">
      <c r="A14" s="144" t="s">
        <v>902</v>
      </c>
      <c r="B14" s="496" t="s">
        <v>903</v>
      </c>
      <c r="C14" s="497"/>
      <c r="D14" s="497"/>
    </row>
    <row r="15" spans="1:4">
      <c r="A15" s="137" t="s">
        <v>904</v>
      </c>
      <c r="B15" s="493">
        <v>44593</v>
      </c>
      <c r="C15" s="493"/>
      <c r="D15" s="493"/>
    </row>
    <row r="16" spans="1:4">
      <c r="A16" s="137" t="s">
        <v>905</v>
      </c>
      <c r="B16" s="473">
        <v>8</v>
      </c>
      <c r="C16" s="473"/>
      <c r="D16" s="473"/>
    </row>
    <row r="17" spans="1:8">
      <c r="A17" s="137" t="s">
        <v>906</v>
      </c>
      <c r="B17" s="473">
        <v>7.3979999999999997</v>
      </c>
      <c r="C17" s="473"/>
      <c r="D17" s="473"/>
    </row>
    <row r="18" spans="1:8">
      <c r="A18" s="137" t="s">
        <v>907</v>
      </c>
      <c r="B18" s="473">
        <v>7</v>
      </c>
      <c r="C18" s="473"/>
      <c r="D18" s="473"/>
    </row>
    <row r="20" spans="1:8">
      <c r="A20" s="479" t="s">
        <v>908</v>
      </c>
      <c r="B20" s="480"/>
      <c r="C20" s="480"/>
      <c r="D20" s="480"/>
      <c r="E20" s="480"/>
      <c r="F20" s="480"/>
      <c r="G20" s="480"/>
      <c r="H20" s="480"/>
    </row>
    <row r="21" spans="1:8" ht="45">
      <c r="A21" s="202" t="s">
        <v>909</v>
      </c>
      <c r="B21" s="203" t="s">
        <v>910</v>
      </c>
      <c r="C21" s="204" t="s">
        <v>911</v>
      </c>
      <c r="D21" s="204" t="s">
        <v>912</v>
      </c>
      <c r="E21" s="204" t="s">
        <v>913</v>
      </c>
      <c r="F21" s="204" t="s">
        <v>914</v>
      </c>
      <c r="G21" s="204" t="s">
        <v>915</v>
      </c>
      <c r="H21" s="204" t="s">
        <v>916</v>
      </c>
    </row>
    <row r="22" spans="1:8" ht="20.100000000000001" customHeight="1">
      <c r="A22" s="137" t="s">
        <v>917</v>
      </c>
      <c r="B22" s="138">
        <v>314</v>
      </c>
      <c r="C22" s="138">
        <v>1</v>
      </c>
      <c r="D22" s="138">
        <f>(B22*2)*C22</f>
        <v>628</v>
      </c>
      <c r="E22" s="138">
        <v>11.7</v>
      </c>
      <c r="F22" s="138">
        <f>$B$16</f>
        <v>8</v>
      </c>
      <c r="G22" s="141">
        <f>(D22/E22)*F22</f>
        <v>429.40170940170941</v>
      </c>
      <c r="H22" s="138">
        <f>G22*12</f>
        <v>5152.8205128205127</v>
      </c>
    </row>
    <row r="23" spans="1:8" ht="20.100000000000001" customHeight="1">
      <c r="A23" s="137" t="s">
        <v>918</v>
      </c>
      <c r="B23" s="138">
        <v>152</v>
      </c>
      <c r="C23" s="138">
        <v>1</v>
      </c>
      <c r="D23" s="138">
        <f t="shared" ref="D23:D25" si="0">(B23*2)*C23</f>
        <v>304</v>
      </c>
      <c r="E23" s="138">
        <v>11.7</v>
      </c>
      <c r="F23" s="138">
        <f t="shared" ref="F23:F25" si="1">$B$16</f>
        <v>8</v>
      </c>
      <c r="G23" s="141">
        <f t="shared" ref="G23:G25" si="2">(D23/E23)*F23</f>
        <v>207.86324786324786</v>
      </c>
      <c r="H23" s="138">
        <f t="shared" ref="H23:H25" si="3">G23*12</f>
        <v>2494.3589743589746</v>
      </c>
    </row>
    <row r="24" spans="1:8" ht="20.100000000000001" customHeight="1">
      <c r="A24" s="137" t="s">
        <v>919</v>
      </c>
      <c r="B24" s="138">
        <v>158</v>
      </c>
      <c r="C24" s="138">
        <v>1</v>
      </c>
      <c r="D24" s="138">
        <f t="shared" si="0"/>
        <v>316</v>
      </c>
      <c r="E24" s="138">
        <v>11.7</v>
      </c>
      <c r="F24" s="138">
        <f t="shared" si="1"/>
        <v>8</v>
      </c>
      <c r="G24" s="141">
        <f t="shared" si="2"/>
        <v>216.06837606837607</v>
      </c>
      <c r="H24" s="138">
        <f t="shared" si="3"/>
        <v>2592.8205128205127</v>
      </c>
    </row>
    <row r="25" spans="1:8" ht="20.100000000000001" customHeight="1">
      <c r="A25" s="137" t="s">
        <v>920</v>
      </c>
      <c r="B25" s="138">
        <v>23</v>
      </c>
      <c r="C25" s="138">
        <v>1</v>
      </c>
      <c r="D25" s="138">
        <f t="shared" si="0"/>
        <v>46</v>
      </c>
      <c r="E25" s="138">
        <v>11.7</v>
      </c>
      <c r="F25" s="138">
        <f t="shared" si="1"/>
        <v>8</v>
      </c>
      <c r="G25" s="141">
        <f t="shared" si="2"/>
        <v>31.452991452991455</v>
      </c>
      <c r="H25" s="138">
        <f t="shared" si="3"/>
        <v>377.43589743589746</v>
      </c>
    </row>
    <row r="26" spans="1:8" ht="20.100000000000001" customHeight="1">
      <c r="A26" s="487" t="s">
        <v>921</v>
      </c>
      <c r="B26" s="488"/>
      <c r="C26" s="143">
        <f t="shared" ref="C26:H26" si="4">SUM(C22:C25)</f>
        <v>4</v>
      </c>
      <c r="D26" s="143">
        <f t="shared" si="4"/>
        <v>1294</v>
      </c>
      <c r="E26" s="143">
        <f t="shared" si="4"/>
        <v>46.8</v>
      </c>
      <c r="F26" s="143">
        <f t="shared" si="4"/>
        <v>32</v>
      </c>
      <c r="G26" s="143">
        <f t="shared" si="4"/>
        <v>884.78632478632483</v>
      </c>
      <c r="H26" s="143">
        <f t="shared" si="4"/>
        <v>10617.435897435898</v>
      </c>
    </row>
    <row r="28" spans="1:8">
      <c r="A28" s="476" t="s">
        <v>922</v>
      </c>
      <c r="B28" s="477"/>
      <c r="C28" s="477"/>
      <c r="D28" s="478"/>
    </row>
    <row r="29" spans="1:8" ht="26.25" customHeight="1">
      <c r="A29" s="205" t="s">
        <v>923</v>
      </c>
      <c r="B29" s="206" t="s">
        <v>924</v>
      </c>
      <c r="C29" s="207" t="s">
        <v>925</v>
      </c>
      <c r="D29" s="207" t="s">
        <v>926</v>
      </c>
    </row>
    <row r="30" spans="1:8" ht="20.100000000000001" customHeight="1">
      <c r="A30" s="137" t="s">
        <v>917</v>
      </c>
      <c r="B30" s="138">
        <f>2*C22</f>
        <v>2</v>
      </c>
      <c r="C30" s="138">
        <f>(20.6+22)/2</f>
        <v>21.3</v>
      </c>
      <c r="D30" s="138">
        <f>B30*C30</f>
        <v>42.6</v>
      </c>
    </row>
    <row r="31" spans="1:8" ht="20.100000000000001" customHeight="1">
      <c r="A31" s="137" t="s">
        <v>918</v>
      </c>
      <c r="B31" s="138">
        <f>2*C23</f>
        <v>2</v>
      </c>
      <c r="C31" s="138">
        <f>(15.4+16.8)/2</f>
        <v>16.100000000000001</v>
      </c>
      <c r="D31" s="138">
        <f t="shared" ref="D31:D33" si="5">B31*C31</f>
        <v>32.200000000000003</v>
      </c>
    </row>
    <row r="32" spans="1:8" ht="20.100000000000001" customHeight="1">
      <c r="A32" s="137" t="s">
        <v>919</v>
      </c>
      <c r="B32" s="138">
        <f>2*C24</f>
        <v>2</v>
      </c>
      <c r="C32" s="138">
        <v>23.7</v>
      </c>
      <c r="D32" s="138">
        <f t="shared" si="5"/>
        <v>47.4</v>
      </c>
    </row>
    <row r="33" spans="1:7" ht="20.100000000000001" customHeight="1">
      <c r="A33" s="137" t="s">
        <v>920</v>
      </c>
      <c r="B33" s="138">
        <f>1*C25</f>
        <v>1</v>
      </c>
      <c r="C33" s="138">
        <v>4.0999999999999996</v>
      </c>
      <c r="D33" s="138">
        <f t="shared" si="5"/>
        <v>4.0999999999999996</v>
      </c>
    </row>
    <row r="35" spans="1:7">
      <c r="A35" s="476" t="s">
        <v>927</v>
      </c>
      <c r="B35" s="477"/>
      <c r="C35" s="477"/>
      <c r="D35" s="478"/>
      <c r="E35" s="139"/>
    </row>
    <row r="36" spans="1:7" ht="30">
      <c r="A36" s="483" t="s">
        <v>928</v>
      </c>
      <c r="B36" s="483"/>
      <c r="C36" s="202" t="s">
        <v>929</v>
      </c>
      <c r="D36" s="202" t="s">
        <v>930</v>
      </c>
    </row>
    <row r="37" spans="1:7" ht="20.100000000000001" customHeight="1">
      <c r="A37" s="144" t="s">
        <v>931</v>
      </c>
      <c r="B37" s="142">
        <f>B11*0.05</f>
        <v>2211.1</v>
      </c>
      <c r="C37" s="138">
        <v>5</v>
      </c>
      <c r="D37" s="138">
        <f>ROUND(B37/C37,2)</f>
        <v>442.22</v>
      </c>
      <c r="E37" s="139"/>
    </row>
    <row r="38" spans="1:7" ht="20.100000000000001" customHeight="1">
      <c r="A38" s="144" t="s">
        <v>932</v>
      </c>
      <c r="B38" s="142">
        <f>B11*0.035</f>
        <v>1547.7700000000002</v>
      </c>
      <c r="C38" s="138">
        <v>5</v>
      </c>
      <c r="D38" s="138">
        <f t="shared" ref="D38:D41" si="6">ROUND(B38/C38,2)</f>
        <v>309.55</v>
      </c>
      <c r="E38" s="139"/>
    </row>
    <row r="39" spans="1:7" ht="20.100000000000001" customHeight="1">
      <c r="A39" s="144" t="s">
        <v>933</v>
      </c>
      <c r="B39" s="142">
        <v>5.23</v>
      </c>
      <c r="C39" s="138">
        <v>5</v>
      </c>
      <c r="D39" s="138">
        <f t="shared" si="6"/>
        <v>1.05</v>
      </c>
      <c r="E39" s="139"/>
    </row>
    <row r="40" spans="1:7" ht="20.100000000000001" customHeight="1">
      <c r="A40" s="144" t="s">
        <v>934</v>
      </c>
      <c r="B40" s="142">
        <f>B11*0.02</f>
        <v>884.44</v>
      </c>
      <c r="C40" s="138">
        <v>5</v>
      </c>
      <c r="D40" s="138">
        <f t="shared" si="6"/>
        <v>176.89</v>
      </c>
      <c r="E40" s="139"/>
    </row>
    <row r="41" spans="1:7" ht="20.100000000000001" customHeight="1">
      <c r="A41" s="144" t="s">
        <v>935</v>
      </c>
      <c r="B41" s="142">
        <f>30352*0.1</f>
        <v>3035.2000000000003</v>
      </c>
      <c r="C41" s="138">
        <v>5</v>
      </c>
      <c r="D41" s="138">
        <f t="shared" si="6"/>
        <v>607.04</v>
      </c>
      <c r="E41" s="139"/>
    </row>
    <row r="42" spans="1:7" ht="20.100000000000001" customHeight="1">
      <c r="A42" s="481" t="s">
        <v>936</v>
      </c>
      <c r="B42" s="481"/>
      <c r="C42" s="481"/>
      <c r="D42" s="145">
        <f>SUM(D37:D41)</f>
        <v>1536.75</v>
      </c>
      <c r="E42" s="139"/>
    </row>
    <row r="43" spans="1:7" ht="20.100000000000001" customHeight="1">
      <c r="A43" s="482" t="s">
        <v>937</v>
      </c>
      <c r="B43" s="482"/>
      <c r="C43" s="482"/>
      <c r="D43" s="208">
        <f>D42/12</f>
        <v>128.0625</v>
      </c>
      <c r="E43" s="139"/>
    </row>
    <row r="44" spans="1:7">
      <c r="B44" s="139"/>
      <c r="C44" s="139"/>
      <c r="D44" s="139"/>
      <c r="E44" s="139"/>
    </row>
    <row r="45" spans="1:7">
      <c r="A45" s="479" t="s">
        <v>938</v>
      </c>
      <c r="B45" s="480"/>
      <c r="C45" s="480"/>
      <c r="D45" s="480"/>
      <c r="E45" s="480"/>
      <c r="F45" s="480"/>
      <c r="G45" s="480"/>
    </row>
    <row r="46" spans="1:7" ht="45">
      <c r="A46" s="219" t="s">
        <v>939</v>
      </c>
      <c r="B46" s="206" t="s">
        <v>940</v>
      </c>
      <c r="C46" s="207" t="s">
        <v>941</v>
      </c>
      <c r="D46" s="204" t="s">
        <v>927</v>
      </c>
      <c r="E46" s="204" t="s">
        <v>942</v>
      </c>
      <c r="F46" s="204" t="s">
        <v>943</v>
      </c>
      <c r="G46" s="204" t="s">
        <v>944</v>
      </c>
    </row>
    <row r="47" spans="1:7">
      <c r="A47" s="137" t="s">
        <v>917</v>
      </c>
      <c r="B47" s="138">
        <f>G22</f>
        <v>429.40170940170941</v>
      </c>
      <c r="C47" s="138">
        <f>D30</f>
        <v>42.6</v>
      </c>
      <c r="D47" s="138">
        <f>$D$43</f>
        <v>128.0625</v>
      </c>
      <c r="E47" s="224">
        <f>B47+C47+D47</f>
        <v>600.06420940170938</v>
      </c>
      <c r="F47" s="222">
        <f>ROUND(22.12%*E47,2)</f>
        <v>132.72999999999999</v>
      </c>
      <c r="G47" s="223">
        <f>E47+F47</f>
        <v>732.7942094017094</v>
      </c>
    </row>
    <row r="48" spans="1:7">
      <c r="A48" s="137" t="s">
        <v>918</v>
      </c>
      <c r="B48" s="138">
        <f>G23</f>
        <v>207.86324786324786</v>
      </c>
      <c r="C48" s="138">
        <f>D31</f>
        <v>32.200000000000003</v>
      </c>
      <c r="D48" s="138">
        <f t="shared" ref="D48:D50" si="7">$D$43</f>
        <v>128.0625</v>
      </c>
      <c r="E48" s="224">
        <f t="shared" ref="E48:E50" si="8">B48+C48+D48</f>
        <v>368.12574786324785</v>
      </c>
      <c r="F48" s="222">
        <f t="shared" ref="F48:F50" si="9">ROUND(22.12%*E48,2)</f>
        <v>81.430000000000007</v>
      </c>
      <c r="G48" s="223">
        <f t="shared" ref="G48:G50" si="10">E48+F48</f>
        <v>449.55574786324786</v>
      </c>
    </row>
    <row r="49" spans="1:7">
      <c r="A49" s="137" t="s">
        <v>919</v>
      </c>
      <c r="B49" s="138">
        <f>G24</f>
        <v>216.06837606837607</v>
      </c>
      <c r="C49" s="138">
        <f>D32</f>
        <v>47.4</v>
      </c>
      <c r="D49" s="138">
        <f t="shared" si="7"/>
        <v>128.0625</v>
      </c>
      <c r="E49" s="224">
        <f t="shared" si="8"/>
        <v>391.53087606837607</v>
      </c>
      <c r="F49" s="222">
        <f t="shared" si="9"/>
        <v>86.61</v>
      </c>
      <c r="G49" s="223">
        <f t="shared" si="10"/>
        <v>478.14087606837609</v>
      </c>
    </row>
    <row r="50" spans="1:7">
      <c r="A50" s="137" t="s">
        <v>920</v>
      </c>
      <c r="B50" s="138">
        <f>G25</f>
        <v>31.452991452991455</v>
      </c>
      <c r="C50" s="138">
        <f>D33</f>
        <v>4.0999999999999996</v>
      </c>
      <c r="D50" s="138">
        <f t="shared" si="7"/>
        <v>128.0625</v>
      </c>
      <c r="E50" s="224">
        <f t="shared" si="8"/>
        <v>163.61549145299145</v>
      </c>
      <c r="F50" s="222">
        <f t="shared" si="9"/>
        <v>36.19</v>
      </c>
      <c r="G50" s="223">
        <f t="shared" si="10"/>
        <v>199.80549145299145</v>
      </c>
    </row>
    <row r="51" spans="1:7">
      <c r="A51" s="474" t="s">
        <v>945</v>
      </c>
      <c r="B51" s="474"/>
      <c r="C51" s="474"/>
      <c r="D51" s="474"/>
      <c r="E51" s="474"/>
      <c r="F51" s="474"/>
      <c r="G51" s="474"/>
    </row>
    <row r="52" spans="1:7">
      <c r="A52" s="475"/>
      <c r="B52" s="475"/>
      <c r="C52" s="475"/>
      <c r="D52" s="475"/>
      <c r="E52" s="475"/>
      <c r="F52" s="475"/>
      <c r="G52" s="475"/>
    </row>
  </sheetData>
  <mergeCells count="25">
    <mergeCell ref="A1:D1"/>
    <mergeCell ref="A26:B26"/>
    <mergeCell ref="A3:D3"/>
    <mergeCell ref="B5:D5"/>
    <mergeCell ref="B6:D6"/>
    <mergeCell ref="B7:D7"/>
    <mergeCell ref="B8:D8"/>
    <mergeCell ref="B9:D9"/>
    <mergeCell ref="B10:D10"/>
    <mergeCell ref="B11:D11"/>
    <mergeCell ref="B4:D4"/>
    <mergeCell ref="A13:D13"/>
    <mergeCell ref="B16:D16"/>
    <mergeCell ref="B14:D14"/>
    <mergeCell ref="B15:D15"/>
    <mergeCell ref="B17:D17"/>
    <mergeCell ref="B18:D18"/>
    <mergeCell ref="A51:G52"/>
    <mergeCell ref="A28:D28"/>
    <mergeCell ref="A20:H20"/>
    <mergeCell ref="A45:G45"/>
    <mergeCell ref="A42:C42"/>
    <mergeCell ref="A43:C43"/>
    <mergeCell ref="A35:D35"/>
    <mergeCell ref="A36:B36"/>
  </mergeCells>
  <hyperlinks>
    <hyperlink ref="B14" r:id="rId1"/>
  </hyperlinks>
  <pageMargins left="0.511811024" right="0.511811024" top="0.78740157499999996" bottom="0.78740157499999996" header="0.31496062000000002" footer="0.31496062000000002"/>
  <pageSetup paperSize="0" orientation="portrait" horizontalDpi="203" verticalDpi="20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8"/>
  <sheetViews>
    <sheetView showGridLines="0" workbookViewId="0">
      <selection activeCell="E14" sqref="E14"/>
    </sheetView>
  </sheetViews>
  <sheetFormatPr defaultRowHeight="12.75"/>
  <cols>
    <col min="1" max="1" width="4.7109375" style="114" bestFit="1" customWidth="1"/>
    <col min="2" max="2" width="32.140625" style="114" customWidth="1"/>
    <col min="3" max="3" width="11.28515625" style="114" customWidth="1"/>
    <col min="4" max="4" width="11.5703125" style="114" customWidth="1"/>
    <col min="5" max="5" width="20.140625" style="114" customWidth="1"/>
    <col min="6" max="6" width="9.140625" style="114"/>
    <col min="7" max="7" width="21.42578125" style="114" bestFit="1" customWidth="1"/>
    <col min="8" max="256" width="9.140625" style="114"/>
    <col min="257" max="257" width="4.7109375" style="114" bestFit="1" customWidth="1"/>
    <col min="258" max="258" width="32.140625" style="114" customWidth="1"/>
    <col min="259" max="259" width="11.28515625" style="114" customWidth="1"/>
    <col min="260" max="260" width="11.5703125" style="114" customWidth="1"/>
    <col min="261" max="261" width="20.140625" style="114" customWidth="1"/>
    <col min="262" max="512" width="9.140625" style="114"/>
    <col min="513" max="513" width="4.7109375" style="114" bestFit="1" customWidth="1"/>
    <col min="514" max="514" width="32.140625" style="114" customWidth="1"/>
    <col min="515" max="515" width="11.28515625" style="114" customWidth="1"/>
    <col min="516" max="516" width="11.5703125" style="114" customWidth="1"/>
    <col min="517" max="517" width="20.140625" style="114" customWidth="1"/>
    <col min="518" max="768" width="9.140625" style="114"/>
    <col min="769" max="769" width="4.7109375" style="114" bestFit="1" customWidth="1"/>
    <col min="770" max="770" width="32.140625" style="114" customWidth="1"/>
    <col min="771" max="771" width="11.28515625" style="114" customWidth="1"/>
    <col min="772" max="772" width="11.5703125" style="114" customWidth="1"/>
    <col min="773" max="773" width="20.140625" style="114" customWidth="1"/>
    <col min="774" max="1024" width="9.140625" style="114"/>
    <col min="1025" max="1025" width="4.7109375" style="114" bestFit="1" customWidth="1"/>
    <col min="1026" max="1026" width="32.140625" style="114" customWidth="1"/>
    <col min="1027" max="1027" width="11.28515625" style="114" customWidth="1"/>
    <col min="1028" max="1028" width="11.5703125" style="114" customWidth="1"/>
    <col min="1029" max="1029" width="20.140625" style="114" customWidth="1"/>
    <col min="1030" max="1280" width="9.140625" style="114"/>
    <col min="1281" max="1281" width="4.7109375" style="114" bestFit="1" customWidth="1"/>
    <col min="1282" max="1282" width="32.140625" style="114" customWidth="1"/>
    <col min="1283" max="1283" width="11.28515625" style="114" customWidth="1"/>
    <col min="1284" max="1284" width="11.5703125" style="114" customWidth="1"/>
    <col min="1285" max="1285" width="20.140625" style="114" customWidth="1"/>
    <col min="1286" max="1536" width="9.140625" style="114"/>
    <col min="1537" max="1537" width="4.7109375" style="114" bestFit="1" customWidth="1"/>
    <col min="1538" max="1538" width="32.140625" style="114" customWidth="1"/>
    <col min="1539" max="1539" width="11.28515625" style="114" customWidth="1"/>
    <col min="1540" max="1540" width="11.5703125" style="114" customWidth="1"/>
    <col min="1541" max="1541" width="20.140625" style="114" customWidth="1"/>
    <col min="1542" max="1792" width="9.140625" style="114"/>
    <col min="1793" max="1793" width="4.7109375" style="114" bestFit="1" customWidth="1"/>
    <col min="1794" max="1794" width="32.140625" style="114" customWidth="1"/>
    <col min="1795" max="1795" width="11.28515625" style="114" customWidth="1"/>
    <col min="1796" max="1796" width="11.5703125" style="114" customWidth="1"/>
    <col min="1797" max="1797" width="20.140625" style="114" customWidth="1"/>
    <col min="1798" max="2048" width="9.140625" style="114"/>
    <col min="2049" max="2049" width="4.7109375" style="114" bestFit="1" customWidth="1"/>
    <col min="2050" max="2050" width="32.140625" style="114" customWidth="1"/>
    <col min="2051" max="2051" width="11.28515625" style="114" customWidth="1"/>
    <col min="2052" max="2052" width="11.5703125" style="114" customWidth="1"/>
    <col min="2053" max="2053" width="20.140625" style="114" customWidth="1"/>
    <col min="2054" max="2304" width="9.140625" style="114"/>
    <col min="2305" max="2305" width="4.7109375" style="114" bestFit="1" customWidth="1"/>
    <col min="2306" max="2306" width="32.140625" style="114" customWidth="1"/>
    <col min="2307" max="2307" width="11.28515625" style="114" customWidth="1"/>
    <col min="2308" max="2308" width="11.5703125" style="114" customWidth="1"/>
    <col min="2309" max="2309" width="20.140625" style="114" customWidth="1"/>
    <col min="2310" max="2560" width="9.140625" style="114"/>
    <col min="2561" max="2561" width="4.7109375" style="114" bestFit="1" customWidth="1"/>
    <col min="2562" max="2562" width="32.140625" style="114" customWidth="1"/>
    <col min="2563" max="2563" width="11.28515625" style="114" customWidth="1"/>
    <col min="2564" max="2564" width="11.5703125" style="114" customWidth="1"/>
    <col min="2565" max="2565" width="20.140625" style="114" customWidth="1"/>
    <col min="2566" max="2816" width="9.140625" style="114"/>
    <col min="2817" max="2817" width="4.7109375" style="114" bestFit="1" customWidth="1"/>
    <col min="2818" max="2818" width="32.140625" style="114" customWidth="1"/>
    <col min="2819" max="2819" width="11.28515625" style="114" customWidth="1"/>
    <col min="2820" max="2820" width="11.5703125" style="114" customWidth="1"/>
    <col min="2821" max="2821" width="20.140625" style="114" customWidth="1"/>
    <col min="2822" max="3072" width="9.140625" style="114"/>
    <col min="3073" max="3073" width="4.7109375" style="114" bestFit="1" customWidth="1"/>
    <col min="3074" max="3074" width="32.140625" style="114" customWidth="1"/>
    <col min="3075" max="3075" width="11.28515625" style="114" customWidth="1"/>
    <col min="3076" max="3076" width="11.5703125" style="114" customWidth="1"/>
    <col min="3077" max="3077" width="20.140625" style="114" customWidth="1"/>
    <col min="3078" max="3328" width="9.140625" style="114"/>
    <col min="3329" max="3329" width="4.7109375" style="114" bestFit="1" customWidth="1"/>
    <col min="3330" max="3330" width="32.140625" style="114" customWidth="1"/>
    <col min="3331" max="3331" width="11.28515625" style="114" customWidth="1"/>
    <col min="3332" max="3332" width="11.5703125" style="114" customWidth="1"/>
    <col min="3333" max="3333" width="20.140625" style="114" customWidth="1"/>
    <col min="3334" max="3584" width="9.140625" style="114"/>
    <col min="3585" max="3585" width="4.7109375" style="114" bestFit="1" customWidth="1"/>
    <col min="3586" max="3586" width="32.140625" style="114" customWidth="1"/>
    <col min="3587" max="3587" width="11.28515625" style="114" customWidth="1"/>
    <col min="3588" max="3588" width="11.5703125" style="114" customWidth="1"/>
    <col min="3589" max="3589" width="20.140625" style="114" customWidth="1"/>
    <col min="3590" max="3840" width="9.140625" style="114"/>
    <col min="3841" max="3841" width="4.7109375" style="114" bestFit="1" customWidth="1"/>
    <col min="3842" max="3842" width="32.140625" style="114" customWidth="1"/>
    <col min="3843" max="3843" width="11.28515625" style="114" customWidth="1"/>
    <col min="3844" max="3844" width="11.5703125" style="114" customWidth="1"/>
    <col min="3845" max="3845" width="20.140625" style="114" customWidth="1"/>
    <col min="3846" max="4096" width="9.140625" style="114"/>
    <col min="4097" max="4097" width="4.7109375" style="114" bestFit="1" customWidth="1"/>
    <col min="4098" max="4098" width="32.140625" style="114" customWidth="1"/>
    <col min="4099" max="4099" width="11.28515625" style="114" customWidth="1"/>
    <col min="4100" max="4100" width="11.5703125" style="114" customWidth="1"/>
    <col min="4101" max="4101" width="20.140625" style="114" customWidth="1"/>
    <col min="4102" max="4352" width="9.140625" style="114"/>
    <col min="4353" max="4353" width="4.7109375" style="114" bestFit="1" customWidth="1"/>
    <col min="4354" max="4354" width="32.140625" style="114" customWidth="1"/>
    <col min="4355" max="4355" width="11.28515625" style="114" customWidth="1"/>
    <col min="4356" max="4356" width="11.5703125" style="114" customWidth="1"/>
    <col min="4357" max="4357" width="20.140625" style="114" customWidth="1"/>
    <col min="4358" max="4608" width="9.140625" style="114"/>
    <col min="4609" max="4609" width="4.7109375" style="114" bestFit="1" customWidth="1"/>
    <col min="4610" max="4610" width="32.140625" style="114" customWidth="1"/>
    <col min="4611" max="4611" width="11.28515625" style="114" customWidth="1"/>
    <col min="4612" max="4612" width="11.5703125" style="114" customWidth="1"/>
    <col min="4613" max="4613" width="20.140625" style="114" customWidth="1"/>
    <col min="4614" max="4864" width="9.140625" style="114"/>
    <col min="4865" max="4865" width="4.7109375" style="114" bestFit="1" customWidth="1"/>
    <col min="4866" max="4866" width="32.140625" style="114" customWidth="1"/>
    <col min="4867" max="4867" width="11.28515625" style="114" customWidth="1"/>
    <col min="4868" max="4868" width="11.5703125" style="114" customWidth="1"/>
    <col min="4869" max="4869" width="20.140625" style="114" customWidth="1"/>
    <col min="4870" max="5120" width="9.140625" style="114"/>
    <col min="5121" max="5121" width="4.7109375" style="114" bestFit="1" customWidth="1"/>
    <col min="5122" max="5122" width="32.140625" style="114" customWidth="1"/>
    <col min="5123" max="5123" width="11.28515625" style="114" customWidth="1"/>
    <col min="5124" max="5124" width="11.5703125" style="114" customWidth="1"/>
    <col min="5125" max="5125" width="20.140625" style="114" customWidth="1"/>
    <col min="5126" max="5376" width="9.140625" style="114"/>
    <col min="5377" max="5377" width="4.7109375" style="114" bestFit="1" customWidth="1"/>
    <col min="5378" max="5378" width="32.140625" style="114" customWidth="1"/>
    <col min="5379" max="5379" width="11.28515625" style="114" customWidth="1"/>
    <col min="5380" max="5380" width="11.5703125" style="114" customWidth="1"/>
    <col min="5381" max="5381" width="20.140625" style="114" customWidth="1"/>
    <col min="5382" max="5632" width="9.140625" style="114"/>
    <col min="5633" max="5633" width="4.7109375" style="114" bestFit="1" customWidth="1"/>
    <col min="5634" max="5634" width="32.140625" style="114" customWidth="1"/>
    <col min="5635" max="5635" width="11.28515625" style="114" customWidth="1"/>
    <col min="5636" max="5636" width="11.5703125" style="114" customWidth="1"/>
    <col min="5637" max="5637" width="20.140625" style="114" customWidth="1"/>
    <col min="5638" max="5888" width="9.140625" style="114"/>
    <col min="5889" max="5889" width="4.7109375" style="114" bestFit="1" customWidth="1"/>
    <col min="5890" max="5890" width="32.140625" style="114" customWidth="1"/>
    <col min="5891" max="5891" width="11.28515625" style="114" customWidth="1"/>
    <col min="5892" max="5892" width="11.5703125" style="114" customWidth="1"/>
    <col min="5893" max="5893" width="20.140625" style="114" customWidth="1"/>
    <col min="5894" max="6144" width="9.140625" style="114"/>
    <col min="6145" max="6145" width="4.7109375" style="114" bestFit="1" customWidth="1"/>
    <col min="6146" max="6146" width="32.140625" style="114" customWidth="1"/>
    <col min="6147" max="6147" width="11.28515625" style="114" customWidth="1"/>
    <col min="6148" max="6148" width="11.5703125" style="114" customWidth="1"/>
    <col min="6149" max="6149" width="20.140625" style="114" customWidth="1"/>
    <col min="6150" max="6400" width="9.140625" style="114"/>
    <col min="6401" max="6401" width="4.7109375" style="114" bestFit="1" customWidth="1"/>
    <col min="6402" max="6402" width="32.140625" style="114" customWidth="1"/>
    <col min="6403" max="6403" width="11.28515625" style="114" customWidth="1"/>
    <col min="6404" max="6404" width="11.5703125" style="114" customWidth="1"/>
    <col min="6405" max="6405" width="20.140625" style="114" customWidth="1"/>
    <col min="6406" max="6656" width="9.140625" style="114"/>
    <col min="6657" max="6657" width="4.7109375" style="114" bestFit="1" customWidth="1"/>
    <col min="6658" max="6658" width="32.140625" style="114" customWidth="1"/>
    <col min="6659" max="6659" width="11.28515625" style="114" customWidth="1"/>
    <col min="6660" max="6660" width="11.5703125" style="114" customWidth="1"/>
    <col min="6661" max="6661" width="20.140625" style="114" customWidth="1"/>
    <col min="6662" max="6912" width="9.140625" style="114"/>
    <col min="6913" max="6913" width="4.7109375" style="114" bestFit="1" customWidth="1"/>
    <col min="6914" max="6914" width="32.140625" style="114" customWidth="1"/>
    <col min="6915" max="6915" width="11.28515625" style="114" customWidth="1"/>
    <col min="6916" max="6916" width="11.5703125" style="114" customWidth="1"/>
    <col min="6917" max="6917" width="20.140625" style="114" customWidth="1"/>
    <col min="6918" max="7168" width="9.140625" style="114"/>
    <col min="7169" max="7169" width="4.7109375" style="114" bestFit="1" customWidth="1"/>
    <col min="7170" max="7170" width="32.140625" style="114" customWidth="1"/>
    <col min="7171" max="7171" width="11.28515625" style="114" customWidth="1"/>
    <col min="7172" max="7172" width="11.5703125" style="114" customWidth="1"/>
    <col min="7173" max="7173" width="20.140625" style="114" customWidth="1"/>
    <col min="7174" max="7424" width="9.140625" style="114"/>
    <col min="7425" max="7425" width="4.7109375" style="114" bestFit="1" customWidth="1"/>
    <col min="7426" max="7426" width="32.140625" style="114" customWidth="1"/>
    <col min="7427" max="7427" width="11.28515625" style="114" customWidth="1"/>
    <col min="7428" max="7428" width="11.5703125" style="114" customWidth="1"/>
    <col min="7429" max="7429" width="20.140625" style="114" customWidth="1"/>
    <col min="7430" max="7680" width="9.140625" style="114"/>
    <col min="7681" max="7681" width="4.7109375" style="114" bestFit="1" customWidth="1"/>
    <col min="7682" max="7682" width="32.140625" style="114" customWidth="1"/>
    <col min="7683" max="7683" width="11.28515625" style="114" customWidth="1"/>
    <col min="7684" max="7684" width="11.5703125" style="114" customWidth="1"/>
    <col min="7685" max="7685" width="20.140625" style="114" customWidth="1"/>
    <col min="7686" max="7936" width="9.140625" style="114"/>
    <col min="7937" max="7937" width="4.7109375" style="114" bestFit="1" customWidth="1"/>
    <col min="7938" max="7938" width="32.140625" style="114" customWidth="1"/>
    <col min="7939" max="7939" width="11.28515625" style="114" customWidth="1"/>
    <col min="7940" max="7940" width="11.5703125" style="114" customWidth="1"/>
    <col min="7941" max="7941" width="20.140625" style="114" customWidth="1"/>
    <col min="7942" max="8192" width="9.140625" style="114"/>
    <col min="8193" max="8193" width="4.7109375" style="114" bestFit="1" customWidth="1"/>
    <col min="8194" max="8194" width="32.140625" style="114" customWidth="1"/>
    <col min="8195" max="8195" width="11.28515625" style="114" customWidth="1"/>
    <col min="8196" max="8196" width="11.5703125" style="114" customWidth="1"/>
    <col min="8197" max="8197" width="20.140625" style="114" customWidth="1"/>
    <col min="8198" max="8448" width="9.140625" style="114"/>
    <col min="8449" max="8449" width="4.7109375" style="114" bestFit="1" customWidth="1"/>
    <col min="8450" max="8450" width="32.140625" style="114" customWidth="1"/>
    <col min="8451" max="8451" width="11.28515625" style="114" customWidth="1"/>
    <col min="8452" max="8452" width="11.5703125" style="114" customWidth="1"/>
    <col min="8453" max="8453" width="20.140625" style="114" customWidth="1"/>
    <col min="8454" max="8704" width="9.140625" style="114"/>
    <col min="8705" max="8705" width="4.7109375" style="114" bestFit="1" customWidth="1"/>
    <col min="8706" max="8706" width="32.140625" style="114" customWidth="1"/>
    <col min="8707" max="8707" width="11.28515625" style="114" customWidth="1"/>
    <col min="8708" max="8708" width="11.5703125" style="114" customWidth="1"/>
    <col min="8709" max="8709" width="20.140625" style="114" customWidth="1"/>
    <col min="8710" max="8960" width="9.140625" style="114"/>
    <col min="8961" max="8961" width="4.7109375" style="114" bestFit="1" customWidth="1"/>
    <col min="8962" max="8962" width="32.140625" style="114" customWidth="1"/>
    <col min="8963" max="8963" width="11.28515625" style="114" customWidth="1"/>
    <col min="8964" max="8964" width="11.5703125" style="114" customWidth="1"/>
    <col min="8965" max="8965" width="20.140625" style="114" customWidth="1"/>
    <col min="8966" max="9216" width="9.140625" style="114"/>
    <col min="9217" max="9217" width="4.7109375" style="114" bestFit="1" customWidth="1"/>
    <col min="9218" max="9218" width="32.140625" style="114" customWidth="1"/>
    <col min="9219" max="9219" width="11.28515625" style="114" customWidth="1"/>
    <col min="9220" max="9220" width="11.5703125" style="114" customWidth="1"/>
    <col min="9221" max="9221" width="20.140625" style="114" customWidth="1"/>
    <col min="9222" max="9472" width="9.140625" style="114"/>
    <col min="9473" max="9473" width="4.7109375" style="114" bestFit="1" customWidth="1"/>
    <col min="9474" max="9474" width="32.140625" style="114" customWidth="1"/>
    <col min="9475" max="9475" width="11.28515625" style="114" customWidth="1"/>
    <col min="9476" max="9476" width="11.5703125" style="114" customWidth="1"/>
    <col min="9477" max="9477" width="20.140625" style="114" customWidth="1"/>
    <col min="9478" max="9728" width="9.140625" style="114"/>
    <col min="9729" max="9729" width="4.7109375" style="114" bestFit="1" customWidth="1"/>
    <col min="9730" max="9730" width="32.140625" style="114" customWidth="1"/>
    <col min="9731" max="9731" width="11.28515625" style="114" customWidth="1"/>
    <col min="9732" max="9732" width="11.5703125" style="114" customWidth="1"/>
    <col min="9733" max="9733" width="20.140625" style="114" customWidth="1"/>
    <col min="9734" max="9984" width="9.140625" style="114"/>
    <col min="9985" max="9985" width="4.7109375" style="114" bestFit="1" customWidth="1"/>
    <col min="9986" max="9986" width="32.140625" style="114" customWidth="1"/>
    <col min="9987" max="9987" width="11.28515625" style="114" customWidth="1"/>
    <col min="9988" max="9988" width="11.5703125" style="114" customWidth="1"/>
    <col min="9989" max="9989" width="20.140625" style="114" customWidth="1"/>
    <col min="9990" max="10240" width="9.140625" style="114"/>
    <col min="10241" max="10241" width="4.7109375" style="114" bestFit="1" customWidth="1"/>
    <col min="10242" max="10242" width="32.140625" style="114" customWidth="1"/>
    <col min="10243" max="10243" width="11.28515625" style="114" customWidth="1"/>
    <col min="10244" max="10244" width="11.5703125" style="114" customWidth="1"/>
    <col min="10245" max="10245" width="20.140625" style="114" customWidth="1"/>
    <col min="10246" max="10496" width="9.140625" style="114"/>
    <col min="10497" max="10497" width="4.7109375" style="114" bestFit="1" customWidth="1"/>
    <col min="10498" max="10498" width="32.140625" style="114" customWidth="1"/>
    <col min="10499" max="10499" width="11.28515625" style="114" customWidth="1"/>
    <col min="10500" max="10500" width="11.5703125" style="114" customWidth="1"/>
    <col min="10501" max="10501" width="20.140625" style="114" customWidth="1"/>
    <col min="10502" max="10752" width="9.140625" style="114"/>
    <col min="10753" max="10753" width="4.7109375" style="114" bestFit="1" customWidth="1"/>
    <col min="10754" max="10754" width="32.140625" style="114" customWidth="1"/>
    <col min="10755" max="10755" width="11.28515625" style="114" customWidth="1"/>
    <col min="10756" max="10756" width="11.5703125" style="114" customWidth="1"/>
    <col min="10757" max="10757" width="20.140625" style="114" customWidth="1"/>
    <col min="10758" max="11008" width="9.140625" style="114"/>
    <col min="11009" max="11009" width="4.7109375" style="114" bestFit="1" customWidth="1"/>
    <col min="11010" max="11010" width="32.140625" style="114" customWidth="1"/>
    <col min="11011" max="11011" width="11.28515625" style="114" customWidth="1"/>
    <col min="11012" max="11012" width="11.5703125" style="114" customWidth="1"/>
    <col min="11013" max="11013" width="20.140625" style="114" customWidth="1"/>
    <col min="11014" max="11264" width="9.140625" style="114"/>
    <col min="11265" max="11265" width="4.7109375" style="114" bestFit="1" customWidth="1"/>
    <col min="11266" max="11266" width="32.140625" style="114" customWidth="1"/>
    <col min="11267" max="11267" width="11.28515625" style="114" customWidth="1"/>
    <col min="11268" max="11268" width="11.5703125" style="114" customWidth="1"/>
    <col min="11269" max="11269" width="20.140625" style="114" customWidth="1"/>
    <col min="11270" max="11520" width="9.140625" style="114"/>
    <col min="11521" max="11521" width="4.7109375" style="114" bestFit="1" customWidth="1"/>
    <col min="11522" max="11522" width="32.140625" style="114" customWidth="1"/>
    <col min="11523" max="11523" width="11.28515625" style="114" customWidth="1"/>
    <col min="11524" max="11524" width="11.5703125" style="114" customWidth="1"/>
    <col min="11525" max="11525" width="20.140625" style="114" customWidth="1"/>
    <col min="11526" max="11776" width="9.140625" style="114"/>
    <col min="11777" max="11777" width="4.7109375" style="114" bestFit="1" customWidth="1"/>
    <col min="11778" max="11778" width="32.140625" style="114" customWidth="1"/>
    <col min="11779" max="11779" width="11.28515625" style="114" customWidth="1"/>
    <col min="11780" max="11780" width="11.5703125" style="114" customWidth="1"/>
    <col min="11781" max="11781" width="20.140625" style="114" customWidth="1"/>
    <col min="11782" max="12032" width="9.140625" style="114"/>
    <col min="12033" max="12033" width="4.7109375" style="114" bestFit="1" customWidth="1"/>
    <col min="12034" max="12034" width="32.140625" style="114" customWidth="1"/>
    <col min="12035" max="12035" width="11.28515625" style="114" customWidth="1"/>
    <col min="12036" max="12036" width="11.5703125" style="114" customWidth="1"/>
    <col min="12037" max="12037" width="20.140625" style="114" customWidth="1"/>
    <col min="12038" max="12288" width="9.140625" style="114"/>
    <col min="12289" max="12289" width="4.7109375" style="114" bestFit="1" customWidth="1"/>
    <col min="12290" max="12290" width="32.140625" style="114" customWidth="1"/>
    <col min="12291" max="12291" width="11.28515625" style="114" customWidth="1"/>
    <col min="12292" max="12292" width="11.5703125" style="114" customWidth="1"/>
    <col min="12293" max="12293" width="20.140625" style="114" customWidth="1"/>
    <col min="12294" max="12544" width="9.140625" style="114"/>
    <col min="12545" max="12545" width="4.7109375" style="114" bestFit="1" customWidth="1"/>
    <col min="12546" max="12546" width="32.140625" style="114" customWidth="1"/>
    <col min="12547" max="12547" width="11.28515625" style="114" customWidth="1"/>
    <col min="12548" max="12548" width="11.5703125" style="114" customWidth="1"/>
    <col min="12549" max="12549" width="20.140625" style="114" customWidth="1"/>
    <col min="12550" max="12800" width="9.140625" style="114"/>
    <col min="12801" max="12801" width="4.7109375" style="114" bestFit="1" customWidth="1"/>
    <col min="12802" max="12802" width="32.140625" style="114" customWidth="1"/>
    <col min="12803" max="12803" width="11.28515625" style="114" customWidth="1"/>
    <col min="12804" max="12804" width="11.5703125" style="114" customWidth="1"/>
    <col min="12805" max="12805" width="20.140625" style="114" customWidth="1"/>
    <col min="12806" max="13056" width="9.140625" style="114"/>
    <col min="13057" max="13057" width="4.7109375" style="114" bestFit="1" customWidth="1"/>
    <col min="13058" max="13058" width="32.140625" style="114" customWidth="1"/>
    <col min="13059" max="13059" width="11.28515625" style="114" customWidth="1"/>
    <col min="13060" max="13060" width="11.5703125" style="114" customWidth="1"/>
    <col min="13061" max="13061" width="20.140625" style="114" customWidth="1"/>
    <col min="13062" max="13312" width="9.140625" style="114"/>
    <col min="13313" max="13313" width="4.7109375" style="114" bestFit="1" customWidth="1"/>
    <col min="13314" max="13314" width="32.140625" style="114" customWidth="1"/>
    <col min="13315" max="13315" width="11.28515625" style="114" customWidth="1"/>
    <col min="13316" max="13316" width="11.5703125" style="114" customWidth="1"/>
    <col min="13317" max="13317" width="20.140625" style="114" customWidth="1"/>
    <col min="13318" max="13568" width="9.140625" style="114"/>
    <col min="13569" max="13569" width="4.7109375" style="114" bestFit="1" customWidth="1"/>
    <col min="13570" max="13570" width="32.140625" style="114" customWidth="1"/>
    <col min="13571" max="13571" width="11.28515625" style="114" customWidth="1"/>
    <col min="13572" max="13572" width="11.5703125" style="114" customWidth="1"/>
    <col min="13573" max="13573" width="20.140625" style="114" customWidth="1"/>
    <col min="13574" max="13824" width="9.140625" style="114"/>
    <col min="13825" max="13825" width="4.7109375" style="114" bestFit="1" customWidth="1"/>
    <col min="13826" max="13826" width="32.140625" style="114" customWidth="1"/>
    <col min="13827" max="13827" width="11.28515625" style="114" customWidth="1"/>
    <col min="13828" max="13828" width="11.5703125" style="114" customWidth="1"/>
    <col min="13829" max="13829" width="20.140625" style="114" customWidth="1"/>
    <col min="13830" max="14080" width="9.140625" style="114"/>
    <col min="14081" max="14081" width="4.7109375" style="114" bestFit="1" customWidth="1"/>
    <col min="14082" max="14082" width="32.140625" style="114" customWidth="1"/>
    <col min="14083" max="14083" width="11.28515625" style="114" customWidth="1"/>
    <col min="14084" max="14084" width="11.5703125" style="114" customWidth="1"/>
    <col min="14085" max="14085" width="20.140625" style="114" customWidth="1"/>
    <col min="14086" max="14336" width="9.140625" style="114"/>
    <col min="14337" max="14337" width="4.7109375" style="114" bestFit="1" customWidth="1"/>
    <col min="14338" max="14338" width="32.140625" style="114" customWidth="1"/>
    <col min="14339" max="14339" width="11.28515625" style="114" customWidth="1"/>
    <col min="14340" max="14340" width="11.5703125" style="114" customWidth="1"/>
    <col min="14341" max="14341" width="20.140625" style="114" customWidth="1"/>
    <col min="14342" max="14592" width="9.140625" style="114"/>
    <col min="14593" max="14593" width="4.7109375" style="114" bestFit="1" customWidth="1"/>
    <col min="14594" max="14594" width="32.140625" style="114" customWidth="1"/>
    <col min="14595" max="14595" width="11.28515625" style="114" customWidth="1"/>
    <col min="14596" max="14596" width="11.5703125" style="114" customWidth="1"/>
    <col min="14597" max="14597" width="20.140625" style="114" customWidth="1"/>
    <col min="14598" max="14848" width="9.140625" style="114"/>
    <col min="14849" max="14849" width="4.7109375" style="114" bestFit="1" customWidth="1"/>
    <col min="14850" max="14850" width="32.140625" style="114" customWidth="1"/>
    <col min="14851" max="14851" width="11.28515625" style="114" customWidth="1"/>
    <col min="14852" max="14852" width="11.5703125" style="114" customWidth="1"/>
    <col min="14853" max="14853" width="20.140625" style="114" customWidth="1"/>
    <col min="14854" max="15104" width="9.140625" style="114"/>
    <col min="15105" max="15105" width="4.7109375" style="114" bestFit="1" customWidth="1"/>
    <col min="15106" max="15106" width="32.140625" style="114" customWidth="1"/>
    <col min="15107" max="15107" width="11.28515625" style="114" customWidth="1"/>
    <col min="15108" max="15108" width="11.5703125" style="114" customWidth="1"/>
    <col min="15109" max="15109" width="20.140625" style="114" customWidth="1"/>
    <col min="15110" max="15360" width="9.140625" style="114"/>
    <col min="15361" max="15361" width="4.7109375" style="114" bestFit="1" customWidth="1"/>
    <col min="15362" max="15362" width="32.140625" style="114" customWidth="1"/>
    <col min="15363" max="15363" width="11.28515625" style="114" customWidth="1"/>
    <col min="15364" max="15364" width="11.5703125" style="114" customWidth="1"/>
    <col min="15365" max="15365" width="20.140625" style="114" customWidth="1"/>
    <col min="15366" max="15616" width="9.140625" style="114"/>
    <col min="15617" max="15617" width="4.7109375" style="114" bestFit="1" customWidth="1"/>
    <col min="15618" max="15618" width="32.140625" style="114" customWidth="1"/>
    <col min="15619" max="15619" width="11.28515625" style="114" customWidth="1"/>
    <col min="15620" max="15620" width="11.5703125" style="114" customWidth="1"/>
    <col min="15621" max="15621" width="20.140625" style="114" customWidth="1"/>
    <col min="15622" max="15872" width="9.140625" style="114"/>
    <col min="15873" max="15873" width="4.7109375" style="114" bestFit="1" customWidth="1"/>
    <col min="15874" max="15874" width="32.140625" style="114" customWidth="1"/>
    <col min="15875" max="15875" width="11.28515625" style="114" customWidth="1"/>
    <col min="15876" max="15876" width="11.5703125" style="114" customWidth="1"/>
    <col min="15877" max="15877" width="20.140625" style="114" customWidth="1"/>
    <col min="15878" max="16128" width="9.140625" style="114"/>
    <col min="16129" max="16129" width="4.7109375" style="114" bestFit="1" customWidth="1"/>
    <col min="16130" max="16130" width="32.140625" style="114" customWidth="1"/>
    <col min="16131" max="16131" width="11.28515625" style="114" customWidth="1"/>
    <col min="16132" max="16132" width="11.5703125" style="114" customWidth="1"/>
    <col min="16133" max="16133" width="20.140625" style="114" customWidth="1"/>
    <col min="16134" max="16384" width="9.140625" style="114"/>
  </cols>
  <sheetData>
    <row r="1" spans="1:8" ht="15">
      <c r="A1" s="374" t="s">
        <v>946</v>
      </c>
      <c r="B1" s="374"/>
      <c r="C1" s="374"/>
      <c r="D1" s="374"/>
      <c r="E1" s="374"/>
      <c r="G1" s="124" t="s">
        <v>947</v>
      </c>
      <c r="H1" s="123">
        <v>2</v>
      </c>
    </row>
    <row r="2" spans="1:8" s="115" customFormat="1" ht="25.5">
      <c r="A2" s="214" t="s">
        <v>948</v>
      </c>
      <c r="B2" s="214" t="s">
        <v>949</v>
      </c>
      <c r="C2" s="214" t="s">
        <v>950</v>
      </c>
      <c r="D2" s="214" t="s">
        <v>951</v>
      </c>
      <c r="E2" s="214" t="s">
        <v>952</v>
      </c>
    </row>
    <row r="3" spans="1:8" s="115" customFormat="1">
      <c r="A3" s="116">
        <v>1</v>
      </c>
      <c r="B3" s="117" t="s">
        <v>953</v>
      </c>
      <c r="C3" s="118">
        <f>4*$H$1</f>
        <v>8</v>
      </c>
      <c r="D3" s="119">
        <v>52.8</v>
      </c>
      <c r="E3" s="119">
        <f>C3*D3</f>
        <v>422.4</v>
      </c>
    </row>
    <row r="4" spans="1:8" s="115" customFormat="1">
      <c r="A4" s="116">
        <v>2</v>
      </c>
      <c r="B4" s="117" t="s">
        <v>954</v>
      </c>
      <c r="C4" s="118">
        <f>4*$H$1</f>
        <v>8</v>
      </c>
      <c r="D4" s="119">
        <v>30</v>
      </c>
      <c r="E4" s="119">
        <f>C4*D4</f>
        <v>240</v>
      </c>
    </row>
    <row r="5" spans="1:8" s="115" customFormat="1" ht="25.5">
      <c r="A5" s="116">
        <v>4</v>
      </c>
      <c r="B5" s="117" t="s">
        <v>955</v>
      </c>
      <c r="C5" s="118">
        <f>2*$H$1</f>
        <v>4</v>
      </c>
      <c r="D5" s="119">
        <v>40</v>
      </c>
      <c r="E5" s="119">
        <f t="shared" ref="E5" si="0">C5*D5</f>
        <v>160</v>
      </c>
    </row>
    <row r="6" spans="1:8">
      <c r="A6" s="498" t="s">
        <v>20</v>
      </c>
      <c r="B6" s="498"/>
      <c r="C6" s="498"/>
      <c r="D6" s="498"/>
      <c r="E6" s="120">
        <f>SUM(E3:E5)</f>
        <v>822.4</v>
      </c>
    </row>
    <row r="7" spans="1:8" s="122" customFormat="1">
      <c r="A7" s="499" t="s">
        <v>956</v>
      </c>
      <c r="B7" s="499"/>
      <c r="C7" s="499"/>
      <c r="D7" s="499"/>
      <c r="E7" s="121">
        <f>E6/2</f>
        <v>411.2</v>
      </c>
    </row>
    <row r="8" spans="1:8" s="122" customFormat="1">
      <c r="A8" s="500" t="s">
        <v>957</v>
      </c>
      <c r="B8" s="500"/>
      <c r="C8" s="500"/>
      <c r="D8" s="500"/>
      <c r="E8" s="121">
        <f>E7/12</f>
        <v>34.266666666666666</v>
      </c>
    </row>
  </sheetData>
  <mergeCells count="4">
    <mergeCell ref="A1:E1"/>
    <mergeCell ref="A6:D6"/>
    <mergeCell ref="A7:D7"/>
    <mergeCell ref="A8:D8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15"/>
  <sheetViews>
    <sheetView showGridLines="0" workbookViewId="0">
      <selection activeCell="G10" sqref="G10"/>
    </sheetView>
  </sheetViews>
  <sheetFormatPr defaultRowHeight="12.75"/>
  <cols>
    <col min="1" max="1" width="4.7109375" style="122" bestFit="1" customWidth="1"/>
    <col min="2" max="2" width="32.140625" style="122" customWidth="1"/>
    <col min="3" max="3" width="11.28515625" style="122" customWidth="1"/>
    <col min="4" max="4" width="11.5703125" style="122" customWidth="1"/>
    <col min="5" max="5" width="20.140625" style="122" customWidth="1"/>
    <col min="6" max="6" width="9.140625" style="122"/>
    <col min="7" max="7" width="21.42578125" style="122" bestFit="1" customWidth="1"/>
    <col min="8" max="256" width="9.140625" style="122"/>
    <col min="257" max="257" width="4.7109375" style="122" bestFit="1" customWidth="1"/>
    <col min="258" max="258" width="32.140625" style="122" customWidth="1"/>
    <col min="259" max="259" width="11.28515625" style="122" customWidth="1"/>
    <col min="260" max="260" width="11.5703125" style="122" customWidth="1"/>
    <col min="261" max="261" width="20.140625" style="122" customWidth="1"/>
    <col min="262" max="512" width="9.140625" style="122"/>
    <col min="513" max="513" width="4.7109375" style="122" bestFit="1" customWidth="1"/>
    <col min="514" max="514" width="32.140625" style="122" customWidth="1"/>
    <col min="515" max="515" width="11.28515625" style="122" customWidth="1"/>
    <col min="516" max="516" width="11.5703125" style="122" customWidth="1"/>
    <col min="517" max="517" width="20.140625" style="122" customWidth="1"/>
    <col min="518" max="768" width="9.140625" style="122"/>
    <col min="769" max="769" width="4.7109375" style="122" bestFit="1" customWidth="1"/>
    <col min="770" max="770" width="32.140625" style="122" customWidth="1"/>
    <col min="771" max="771" width="11.28515625" style="122" customWidth="1"/>
    <col min="772" max="772" width="11.5703125" style="122" customWidth="1"/>
    <col min="773" max="773" width="20.140625" style="122" customWidth="1"/>
    <col min="774" max="1024" width="9.140625" style="122"/>
    <col min="1025" max="1025" width="4.7109375" style="122" bestFit="1" customWidth="1"/>
    <col min="1026" max="1026" width="32.140625" style="122" customWidth="1"/>
    <col min="1027" max="1027" width="11.28515625" style="122" customWidth="1"/>
    <col min="1028" max="1028" width="11.5703125" style="122" customWidth="1"/>
    <col min="1029" max="1029" width="20.140625" style="122" customWidth="1"/>
    <col min="1030" max="1280" width="9.140625" style="122"/>
    <col min="1281" max="1281" width="4.7109375" style="122" bestFit="1" customWidth="1"/>
    <col min="1282" max="1282" width="32.140625" style="122" customWidth="1"/>
    <col min="1283" max="1283" width="11.28515625" style="122" customWidth="1"/>
    <col min="1284" max="1284" width="11.5703125" style="122" customWidth="1"/>
    <col min="1285" max="1285" width="20.140625" style="122" customWidth="1"/>
    <col min="1286" max="1536" width="9.140625" style="122"/>
    <col min="1537" max="1537" width="4.7109375" style="122" bestFit="1" customWidth="1"/>
    <col min="1538" max="1538" width="32.140625" style="122" customWidth="1"/>
    <col min="1539" max="1539" width="11.28515625" style="122" customWidth="1"/>
    <col min="1540" max="1540" width="11.5703125" style="122" customWidth="1"/>
    <col min="1541" max="1541" width="20.140625" style="122" customWidth="1"/>
    <col min="1542" max="1792" width="9.140625" style="122"/>
    <col min="1793" max="1793" width="4.7109375" style="122" bestFit="1" customWidth="1"/>
    <col min="1794" max="1794" width="32.140625" style="122" customWidth="1"/>
    <col min="1795" max="1795" width="11.28515625" style="122" customWidth="1"/>
    <col min="1796" max="1796" width="11.5703125" style="122" customWidth="1"/>
    <col min="1797" max="1797" width="20.140625" style="122" customWidth="1"/>
    <col min="1798" max="2048" width="9.140625" style="122"/>
    <col min="2049" max="2049" width="4.7109375" style="122" bestFit="1" customWidth="1"/>
    <col min="2050" max="2050" width="32.140625" style="122" customWidth="1"/>
    <col min="2051" max="2051" width="11.28515625" style="122" customWidth="1"/>
    <col min="2052" max="2052" width="11.5703125" style="122" customWidth="1"/>
    <col min="2053" max="2053" width="20.140625" style="122" customWidth="1"/>
    <col min="2054" max="2304" width="9.140625" style="122"/>
    <col min="2305" max="2305" width="4.7109375" style="122" bestFit="1" customWidth="1"/>
    <col min="2306" max="2306" width="32.140625" style="122" customWidth="1"/>
    <col min="2307" max="2307" width="11.28515625" style="122" customWidth="1"/>
    <col min="2308" max="2308" width="11.5703125" style="122" customWidth="1"/>
    <col min="2309" max="2309" width="20.140625" style="122" customWidth="1"/>
    <col min="2310" max="2560" width="9.140625" style="122"/>
    <col min="2561" max="2561" width="4.7109375" style="122" bestFit="1" customWidth="1"/>
    <col min="2562" max="2562" width="32.140625" style="122" customWidth="1"/>
    <col min="2563" max="2563" width="11.28515625" style="122" customWidth="1"/>
    <col min="2564" max="2564" width="11.5703125" style="122" customWidth="1"/>
    <col min="2565" max="2565" width="20.140625" style="122" customWidth="1"/>
    <col min="2566" max="2816" width="9.140625" style="122"/>
    <col min="2817" max="2817" width="4.7109375" style="122" bestFit="1" customWidth="1"/>
    <col min="2818" max="2818" width="32.140625" style="122" customWidth="1"/>
    <col min="2819" max="2819" width="11.28515625" style="122" customWidth="1"/>
    <col min="2820" max="2820" width="11.5703125" style="122" customWidth="1"/>
    <col min="2821" max="2821" width="20.140625" style="122" customWidth="1"/>
    <col min="2822" max="3072" width="9.140625" style="122"/>
    <col min="3073" max="3073" width="4.7109375" style="122" bestFit="1" customWidth="1"/>
    <col min="3074" max="3074" width="32.140625" style="122" customWidth="1"/>
    <col min="3075" max="3075" width="11.28515625" style="122" customWidth="1"/>
    <col min="3076" max="3076" width="11.5703125" style="122" customWidth="1"/>
    <col min="3077" max="3077" width="20.140625" style="122" customWidth="1"/>
    <col min="3078" max="3328" width="9.140625" style="122"/>
    <col min="3329" max="3329" width="4.7109375" style="122" bestFit="1" customWidth="1"/>
    <col min="3330" max="3330" width="32.140625" style="122" customWidth="1"/>
    <col min="3331" max="3331" width="11.28515625" style="122" customWidth="1"/>
    <col min="3332" max="3332" width="11.5703125" style="122" customWidth="1"/>
    <col min="3333" max="3333" width="20.140625" style="122" customWidth="1"/>
    <col min="3334" max="3584" width="9.140625" style="122"/>
    <col min="3585" max="3585" width="4.7109375" style="122" bestFit="1" customWidth="1"/>
    <col min="3586" max="3586" width="32.140625" style="122" customWidth="1"/>
    <col min="3587" max="3587" width="11.28515625" style="122" customWidth="1"/>
    <col min="3588" max="3588" width="11.5703125" style="122" customWidth="1"/>
    <col min="3589" max="3589" width="20.140625" style="122" customWidth="1"/>
    <col min="3590" max="3840" width="9.140625" style="122"/>
    <col min="3841" max="3841" width="4.7109375" style="122" bestFit="1" customWidth="1"/>
    <col min="3842" max="3842" width="32.140625" style="122" customWidth="1"/>
    <col min="3843" max="3843" width="11.28515625" style="122" customWidth="1"/>
    <col min="3844" max="3844" width="11.5703125" style="122" customWidth="1"/>
    <col min="3845" max="3845" width="20.140625" style="122" customWidth="1"/>
    <col min="3846" max="4096" width="9.140625" style="122"/>
    <col min="4097" max="4097" width="4.7109375" style="122" bestFit="1" customWidth="1"/>
    <col min="4098" max="4098" width="32.140625" style="122" customWidth="1"/>
    <col min="4099" max="4099" width="11.28515625" style="122" customWidth="1"/>
    <col min="4100" max="4100" width="11.5703125" style="122" customWidth="1"/>
    <col min="4101" max="4101" width="20.140625" style="122" customWidth="1"/>
    <col min="4102" max="4352" width="9.140625" style="122"/>
    <col min="4353" max="4353" width="4.7109375" style="122" bestFit="1" customWidth="1"/>
    <col min="4354" max="4354" width="32.140625" style="122" customWidth="1"/>
    <col min="4355" max="4355" width="11.28515625" style="122" customWidth="1"/>
    <col min="4356" max="4356" width="11.5703125" style="122" customWidth="1"/>
    <col min="4357" max="4357" width="20.140625" style="122" customWidth="1"/>
    <col min="4358" max="4608" width="9.140625" style="122"/>
    <col min="4609" max="4609" width="4.7109375" style="122" bestFit="1" customWidth="1"/>
    <col min="4610" max="4610" width="32.140625" style="122" customWidth="1"/>
    <col min="4611" max="4611" width="11.28515625" style="122" customWidth="1"/>
    <col min="4612" max="4612" width="11.5703125" style="122" customWidth="1"/>
    <col min="4613" max="4613" width="20.140625" style="122" customWidth="1"/>
    <col min="4614" max="4864" width="9.140625" style="122"/>
    <col min="4865" max="4865" width="4.7109375" style="122" bestFit="1" customWidth="1"/>
    <col min="4866" max="4866" width="32.140625" style="122" customWidth="1"/>
    <col min="4867" max="4867" width="11.28515625" style="122" customWidth="1"/>
    <col min="4868" max="4868" width="11.5703125" style="122" customWidth="1"/>
    <col min="4869" max="4869" width="20.140625" style="122" customWidth="1"/>
    <col min="4870" max="5120" width="9.140625" style="122"/>
    <col min="5121" max="5121" width="4.7109375" style="122" bestFit="1" customWidth="1"/>
    <col min="5122" max="5122" width="32.140625" style="122" customWidth="1"/>
    <col min="5123" max="5123" width="11.28515625" style="122" customWidth="1"/>
    <col min="5124" max="5124" width="11.5703125" style="122" customWidth="1"/>
    <col min="5125" max="5125" width="20.140625" style="122" customWidth="1"/>
    <col min="5126" max="5376" width="9.140625" style="122"/>
    <col min="5377" max="5377" width="4.7109375" style="122" bestFit="1" customWidth="1"/>
    <col min="5378" max="5378" width="32.140625" style="122" customWidth="1"/>
    <col min="5379" max="5379" width="11.28515625" style="122" customWidth="1"/>
    <col min="5380" max="5380" width="11.5703125" style="122" customWidth="1"/>
    <col min="5381" max="5381" width="20.140625" style="122" customWidth="1"/>
    <col min="5382" max="5632" width="9.140625" style="122"/>
    <col min="5633" max="5633" width="4.7109375" style="122" bestFit="1" customWidth="1"/>
    <col min="5634" max="5634" width="32.140625" style="122" customWidth="1"/>
    <col min="5635" max="5635" width="11.28515625" style="122" customWidth="1"/>
    <col min="5636" max="5636" width="11.5703125" style="122" customWidth="1"/>
    <col min="5637" max="5637" width="20.140625" style="122" customWidth="1"/>
    <col min="5638" max="5888" width="9.140625" style="122"/>
    <col min="5889" max="5889" width="4.7109375" style="122" bestFit="1" customWidth="1"/>
    <col min="5890" max="5890" width="32.140625" style="122" customWidth="1"/>
    <col min="5891" max="5891" width="11.28515625" style="122" customWidth="1"/>
    <col min="5892" max="5892" width="11.5703125" style="122" customWidth="1"/>
    <col min="5893" max="5893" width="20.140625" style="122" customWidth="1"/>
    <col min="5894" max="6144" width="9.140625" style="122"/>
    <col min="6145" max="6145" width="4.7109375" style="122" bestFit="1" customWidth="1"/>
    <col min="6146" max="6146" width="32.140625" style="122" customWidth="1"/>
    <col min="6147" max="6147" width="11.28515625" style="122" customWidth="1"/>
    <col min="6148" max="6148" width="11.5703125" style="122" customWidth="1"/>
    <col min="6149" max="6149" width="20.140625" style="122" customWidth="1"/>
    <col min="6150" max="6400" width="9.140625" style="122"/>
    <col min="6401" max="6401" width="4.7109375" style="122" bestFit="1" customWidth="1"/>
    <col min="6402" max="6402" width="32.140625" style="122" customWidth="1"/>
    <col min="6403" max="6403" width="11.28515625" style="122" customWidth="1"/>
    <col min="6404" max="6404" width="11.5703125" style="122" customWidth="1"/>
    <col min="6405" max="6405" width="20.140625" style="122" customWidth="1"/>
    <col min="6406" max="6656" width="9.140625" style="122"/>
    <col min="6657" max="6657" width="4.7109375" style="122" bestFit="1" customWidth="1"/>
    <col min="6658" max="6658" width="32.140625" style="122" customWidth="1"/>
    <col min="6659" max="6659" width="11.28515625" style="122" customWidth="1"/>
    <col min="6660" max="6660" width="11.5703125" style="122" customWidth="1"/>
    <col min="6661" max="6661" width="20.140625" style="122" customWidth="1"/>
    <col min="6662" max="6912" width="9.140625" style="122"/>
    <col min="6913" max="6913" width="4.7109375" style="122" bestFit="1" customWidth="1"/>
    <col min="6914" max="6914" width="32.140625" style="122" customWidth="1"/>
    <col min="6915" max="6915" width="11.28515625" style="122" customWidth="1"/>
    <col min="6916" max="6916" width="11.5703125" style="122" customWidth="1"/>
    <col min="6917" max="6917" width="20.140625" style="122" customWidth="1"/>
    <col min="6918" max="7168" width="9.140625" style="122"/>
    <col min="7169" max="7169" width="4.7109375" style="122" bestFit="1" customWidth="1"/>
    <col min="7170" max="7170" width="32.140625" style="122" customWidth="1"/>
    <col min="7171" max="7171" width="11.28515625" style="122" customWidth="1"/>
    <col min="7172" max="7172" width="11.5703125" style="122" customWidth="1"/>
    <col min="7173" max="7173" width="20.140625" style="122" customWidth="1"/>
    <col min="7174" max="7424" width="9.140625" style="122"/>
    <col min="7425" max="7425" width="4.7109375" style="122" bestFit="1" customWidth="1"/>
    <col min="7426" max="7426" width="32.140625" style="122" customWidth="1"/>
    <col min="7427" max="7427" width="11.28515625" style="122" customWidth="1"/>
    <col min="7428" max="7428" width="11.5703125" style="122" customWidth="1"/>
    <col min="7429" max="7429" width="20.140625" style="122" customWidth="1"/>
    <col min="7430" max="7680" width="9.140625" style="122"/>
    <col min="7681" max="7681" width="4.7109375" style="122" bestFit="1" customWidth="1"/>
    <col min="7682" max="7682" width="32.140625" style="122" customWidth="1"/>
    <col min="7683" max="7683" width="11.28515625" style="122" customWidth="1"/>
    <col min="7684" max="7684" width="11.5703125" style="122" customWidth="1"/>
    <col min="7685" max="7685" width="20.140625" style="122" customWidth="1"/>
    <col min="7686" max="7936" width="9.140625" style="122"/>
    <col min="7937" max="7937" width="4.7109375" style="122" bestFit="1" customWidth="1"/>
    <col min="7938" max="7938" width="32.140625" style="122" customWidth="1"/>
    <col min="7939" max="7939" width="11.28515625" style="122" customWidth="1"/>
    <col min="7940" max="7940" width="11.5703125" style="122" customWidth="1"/>
    <col min="7941" max="7941" width="20.140625" style="122" customWidth="1"/>
    <col min="7942" max="8192" width="9.140625" style="122"/>
    <col min="8193" max="8193" width="4.7109375" style="122" bestFit="1" customWidth="1"/>
    <col min="8194" max="8194" width="32.140625" style="122" customWidth="1"/>
    <col min="8195" max="8195" width="11.28515625" style="122" customWidth="1"/>
    <col min="8196" max="8196" width="11.5703125" style="122" customWidth="1"/>
    <col min="8197" max="8197" width="20.140625" style="122" customWidth="1"/>
    <col min="8198" max="8448" width="9.140625" style="122"/>
    <col min="8449" max="8449" width="4.7109375" style="122" bestFit="1" customWidth="1"/>
    <col min="8450" max="8450" width="32.140625" style="122" customWidth="1"/>
    <col min="8451" max="8451" width="11.28515625" style="122" customWidth="1"/>
    <col min="8452" max="8452" width="11.5703125" style="122" customWidth="1"/>
    <col min="8453" max="8453" width="20.140625" style="122" customWidth="1"/>
    <col min="8454" max="8704" width="9.140625" style="122"/>
    <col min="8705" max="8705" width="4.7109375" style="122" bestFit="1" customWidth="1"/>
    <col min="8706" max="8706" width="32.140625" style="122" customWidth="1"/>
    <col min="8707" max="8707" width="11.28515625" style="122" customWidth="1"/>
    <col min="8708" max="8708" width="11.5703125" style="122" customWidth="1"/>
    <col min="8709" max="8709" width="20.140625" style="122" customWidth="1"/>
    <col min="8710" max="8960" width="9.140625" style="122"/>
    <col min="8961" max="8961" width="4.7109375" style="122" bestFit="1" customWidth="1"/>
    <col min="8962" max="8962" width="32.140625" style="122" customWidth="1"/>
    <col min="8963" max="8963" width="11.28515625" style="122" customWidth="1"/>
    <col min="8964" max="8964" width="11.5703125" style="122" customWidth="1"/>
    <col min="8965" max="8965" width="20.140625" style="122" customWidth="1"/>
    <col min="8966" max="9216" width="9.140625" style="122"/>
    <col min="9217" max="9217" width="4.7109375" style="122" bestFit="1" customWidth="1"/>
    <col min="9218" max="9218" width="32.140625" style="122" customWidth="1"/>
    <col min="9219" max="9219" width="11.28515625" style="122" customWidth="1"/>
    <col min="9220" max="9220" width="11.5703125" style="122" customWidth="1"/>
    <col min="9221" max="9221" width="20.140625" style="122" customWidth="1"/>
    <col min="9222" max="9472" width="9.140625" style="122"/>
    <col min="9473" max="9473" width="4.7109375" style="122" bestFit="1" customWidth="1"/>
    <col min="9474" max="9474" width="32.140625" style="122" customWidth="1"/>
    <col min="9475" max="9475" width="11.28515625" style="122" customWidth="1"/>
    <col min="9476" max="9476" width="11.5703125" style="122" customWidth="1"/>
    <col min="9477" max="9477" width="20.140625" style="122" customWidth="1"/>
    <col min="9478" max="9728" width="9.140625" style="122"/>
    <col min="9729" max="9729" width="4.7109375" style="122" bestFit="1" customWidth="1"/>
    <col min="9730" max="9730" width="32.140625" style="122" customWidth="1"/>
    <col min="9731" max="9731" width="11.28515625" style="122" customWidth="1"/>
    <col min="9732" max="9732" width="11.5703125" style="122" customWidth="1"/>
    <col min="9733" max="9733" width="20.140625" style="122" customWidth="1"/>
    <col min="9734" max="9984" width="9.140625" style="122"/>
    <col min="9985" max="9985" width="4.7109375" style="122" bestFit="1" customWidth="1"/>
    <col min="9986" max="9986" width="32.140625" style="122" customWidth="1"/>
    <col min="9987" max="9987" width="11.28515625" style="122" customWidth="1"/>
    <col min="9988" max="9988" width="11.5703125" style="122" customWidth="1"/>
    <col min="9989" max="9989" width="20.140625" style="122" customWidth="1"/>
    <col min="9990" max="10240" width="9.140625" style="122"/>
    <col min="10241" max="10241" width="4.7109375" style="122" bestFit="1" customWidth="1"/>
    <col min="10242" max="10242" width="32.140625" style="122" customWidth="1"/>
    <col min="10243" max="10243" width="11.28515625" style="122" customWidth="1"/>
    <col min="10244" max="10244" width="11.5703125" style="122" customWidth="1"/>
    <col min="10245" max="10245" width="20.140625" style="122" customWidth="1"/>
    <col min="10246" max="10496" width="9.140625" style="122"/>
    <col min="10497" max="10497" width="4.7109375" style="122" bestFit="1" customWidth="1"/>
    <col min="10498" max="10498" width="32.140625" style="122" customWidth="1"/>
    <col min="10499" max="10499" width="11.28515625" style="122" customWidth="1"/>
    <col min="10500" max="10500" width="11.5703125" style="122" customWidth="1"/>
    <col min="10501" max="10501" width="20.140625" style="122" customWidth="1"/>
    <col min="10502" max="10752" width="9.140625" style="122"/>
    <col min="10753" max="10753" width="4.7109375" style="122" bestFit="1" customWidth="1"/>
    <col min="10754" max="10754" width="32.140625" style="122" customWidth="1"/>
    <col min="10755" max="10755" width="11.28515625" style="122" customWidth="1"/>
    <col min="10756" max="10756" width="11.5703125" style="122" customWidth="1"/>
    <col min="10757" max="10757" width="20.140625" style="122" customWidth="1"/>
    <col min="10758" max="11008" width="9.140625" style="122"/>
    <col min="11009" max="11009" width="4.7109375" style="122" bestFit="1" customWidth="1"/>
    <col min="11010" max="11010" width="32.140625" style="122" customWidth="1"/>
    <col min="11011" max="11011" width="11.28515625" style="122" customWidth="1"/>
    <col min="11012" max="11012" width="11.5703125" style="122" customWidth="1"/>
    <col min="11013" max="11013" width="20.140625" style="122" customWidth="1"/>
    <col min="11014" max="11264" width="9.140625" style="122"/>
    <col min="11265" max="11265" width="4.7109375" style="122" bestFit="1" customWidth="1"/>
    <col min="11266" max="11266" width="32.140625" style="122" customWidth="1"/>
    <col min="11267" max="11267" width="11.28515625" style="122" customWidth="1"/>
    <col min="11268" max="11268" width="11.5703125" style="122" customWidth="1"/>
    <col min="11269" max="11269" width="20.140625" style="122" customWidth="1"/>
    <col min="11270" max="11520" width="9.140625" style="122"/>
    <col min="11521" max="11521" width="4.7109375" style="122" bestFit="1" customWidth="1"/>
    <col min="11522" max="11522" width="32.140625" style="122" customWidth="1"/>
    <col min="11523" max="11523" width="11.28515625" style="122" customWidth="1"/>
    <col min="11524" max="11524" width="11.5703125" style="122" customWidth="1"/>
    <col min="11525" max="11525" width="20.140625" style="122" customWidth="1"/>
    <col min="11526" max="11776" width="9.140625" style="122"/>
    <col min="11777" max="11777" width="4.7109375" style="122" bestFit="1" customWidth="1"/>
    <col min="11778" max="11778" width="32.140625" style="122" customWidth="1"/>
    <col min="11779" max="11779" width="11.28515625" style="122" customWidth="1"/>
    <col min="11780" max="11780" width="11.5703125" style="122" customWidth="1"/>
    <col min="11781" max="11781" width="20.140625" style="122" customWidth="1"/>
    <col min="11782" max="12032" width="9.140625" style="122"/>
    <col min="12033" max="12033" width="4.7109375" style="122" bestFit="1" customWidth="1"/>
    <col min="12034" max="12034" width="32.140625" style="122" customWidth="1"/>
    <col min="12035" max="12035" width="11.28515625" style="122" customWidth="1"/>
    <col min="12036" max="12036" width="11.5703125" style="122" customWidth="1"/>
    <col min="12037" max="12037" width="20.140625" style="122" customWidth="1"/>
    <col min="12038" max="12288" width="9.140625" style="122"/>
    <col min="12289" max="12289" width="4.7109375" style="122" bestFit="1" customWidth="1"/>
    <col min="12290" max="12290" width="32.140625" style="122" customWidth="1"/>
    <col min="12291" max="12291" width="11.28515625" style="122" customWidth="1"/>
    <col min="12292" max="12292" width="11.5703125" style="122" customWidth="1"/>
    <col min="12293" max="12293" width="20.140625" style="122" customWidth="1"/>
    <col min="12294" max="12544" width="9.140625" style="122"/>
    <col min="12545" max="12545" width="4.7109375" style="122" bestFit="1" customWidth="1"/>
    <col min="12546" max="12546" width="32.140625" style="122" customWidth="1"/>
    <col min="12547" max="12547" width="11.28515625" style="122" customWidth="1"/>
    <col min="12548" max="12548" width="11.5703125" style="122" customWidth="1"/>
    <col min="12549" max="12549" width="20.140625" style="122" customWidth="1"/>
    <col min="12550" max="12800" width="9.140625" style="122"/>
    <col min="12801" max="12801" width="4.7109375" style="122" bestFit="1" customWidth="1"/>
    <col min="12802" max="12802" width="32.140625" style="122" customWidth="1"/>
    <col min="12803" max="12803" width="11.28515625" style="122" customWidth="1"/>
    <col min="12804" max="12804" width="11.5703125" style="122" customWidth="1"/>
    <col min="12805" max="12805" width="20.140625" style="122" customWidth="1"/>
    <col min="12806" max="13056" width="9.140625" style="122"/>
    <col min="13057" max="13057" width="4.7109375" style="122" bestFit="1" customWidth="1"/>
    <col min="13058" max="13058" width="32.140625" style="122" customWidth="1"/>
    <col min="13059" max="13059" width="11.28515625" style="122" customWidth="1"/>
    <col min="13060" max="13060" width="11.5703125" style="122" customWidth="1"/>
    <col min="13061" max="13061" width="20.140625" style="122" customWidth="1"/>
    <col min="13062" max="13312" width="9.140625" style="122"/>
    <col min="13313" max="13313" width="4.7109375" style="122" bestFit="1" customWidth="1"/>
    <col min="13314" max="13314" width="32.140625" style="122" customWidth="1"/>
    <col min="13315" max="13315" width="11.28515625" style="122" customWidth="1"/>
    <col min="13316" max="13316" width="11.5703125" style="122" customWidth="1"/>
    <col min="13317" max="13317" width="20.140625" style="122" customWidth="1"/>
    <col min="13318" max="13568" width="9.140625" style="122"/>
    <col min="13569" max="13569" width="4.7109375" style="122" bestFit="1" customWidth="1"/>
    <col min="13570" max="13570" width="32.140625" style="122" customWidth="1"/>
    <col min="13571" max="13571" width="11.28515625" style="122" customWidth="1"/>
    <col min="13572" max="13572" width="11.5703125" style="122" customWidth="1"/>
    <col min="13573" max="13573" width="20.140625" style="122" customWidth="1"/>
    <col min="13574" max="13824" width="9.140625" style="122"/>
    <col min="13825" max="13825" width="4.7109375" style="122" bestFit="1" customWidth="1"/>
    <col min="13826" max="13826" width="32.140625" style="122" customWidth="1"/>
    <col min="13827" max="13827" width="11.28515625" style="122" customWidth="1"/>
    <col min="13828" max="13828" width="11.5703125" style="122" customWidth="1"/>
    <col min="13829" max="13829" width="20.140625" style="122" customWidth="1"/>
    <col min="13830" max="14080" width="9.140625" style="122"/>
    <col min="14081" max="14081" width="4.7109375" style="122" bestFit="1" customWidth="1"/>
    <col min="14082" max="14082" width="32.140625" style="122" customWidth="1"/>
    <col min="14083" max="14083" width="11.28515625" style="122" customWidth="1"/>
    <col min="14084" max="14084" width="11.5703125" style="122" customWidth="1"/>
    <col min="14085" max="14085" width="20.140625" style="122" customWidth="1"/>
    <col min="14086" max="14336" width="9.140625" style="122"/>
    <col min="14337" max="14337" width="4.7109375" style="122" bestFit="1" customWidth="1"/>
    <col min="14338" max="14338" width="32.140625" style="122" customWidth="1"/>
    <col min="14339" max="14339" width="11.28515625" style="122" customWidth="1"/>
    <col min="14340" max="14340" width="11.5703125" style="122" customWidth="1"/>
    <col min="14341" max="14341" width="20.140625" style="122" customWidth="1"/>
    <col min="14342" max="14592" width="9.140625" style="122"/>
    <col min="14593" max="14593" width="4.7109375" style="122" bestFit="1" customWidth="1"/>
    <col min="14594" max="14594" width="32.140625" style="122" customWidth="1"/>
    <col min="14595" max="14595" width="11.28515625" style="122" customWidth="1"/>
    <col min="14596" max="14596" width="11.5703125" style="122" customWidth="1"/>
    <col min="14597" max="14597" width="20.140625" style="122" customWidth="1"/>
    <col min="14598" max="14848" width="9.140625" style="122"/>
    <col min="14849" max="14849" width="4.7109375" style="122" bestFit="1" customWidth="1"/>
    <col min="14850" max="14850" width="32.140625" style="122" customWidth="1"/>
    <col min="14851" max="14851" width="11.28515625" style="122" customWidth="1"/>
    <col min="14852" max="14852" width="11.5703125" style="122" customWidth="1"/>
    <col min="14853" max="14853" width="20.140625" style="122" customWidth="1"/>
    <col min="14854" max="15104" width="9.140625" style="122"/>
    <col min="15105" max="15105" width="4.7109375" style="122" bestFit="1" customWidth="1"/>
    <col min="15106" max="15106" width="32.140625" style="122" customWidth="1"/>
    <col min="15107" max="15107" width="11.28515625" style="122" customWidth="1"/>
    <col min="15108" max="15108" width="11.5703125" style="122" customWidth="1"/>
    <col min="15109" max="15109" width="20.140625" style="122" customWidth="1"/>
    <col min="15110" max="15360" width="9.140625" style="122"/>
    <col min="15361" max="15361" width="4.7109375" style="122" bestFit="1" customWidth="1"/>
    <col min="15362" max="15362" width="32.140625" style="122" customWidth="1"/>
    <col min="15363" max="15363" width="11.28515625" style="122" customWidth="1"/>
    <col min="15364" max="15364" width="11.5703125" style="122" customWidth="1"/>
    <col min="15365" max="15365" width="20.140625" style="122" customWidth="1"/>
    <col min="15366" max="15616" width="9.140625" style="122"/>
    <col min="15617" max="15617" width="4.7109375" style="122" bestFit="1" customWidth="1"/>
    <col min="15618" max="15618" width="32.140625" style="122" customWidth="1"/>
    <col min="15619" max="15619" width="11.28515625" style="122" customWidth="1"/>
    <col min="15620" max="15620" width="11.5703125" style="122" customWidth="1"/>
    <col min="15621" max="15621" width="20.140625" style="122" customWidth="1"/>
    <col min="15622" max="15872" width="9.140625" style="122"/>
    <col min="15873" max="15873" width="4.7109375" style="122" bestFit="1" customWidth="1"/>
    <col min="15874" max="15874" width="32.140625" style="122" customWidth="1"/>
    <col min="15875" max="15875" width="11.28515625" style="122" customWidth="1"/>
    <col min="15876" max="15876" width="11.5703125" style="122" customWidth="1"/>
    <col min="15877" max="15877" width="20.140625" style="122" customWidth="1"/>
    <col min="15878" max="16128" width="9.140625" style="122"/>
    <col min="16129" max="16129" width="4.7109375" style="122" bestFit="1" customWidth="1"/>
    <col min="16130" max="16130" width="32.140625" style="122" customWidth="1"/>
    <col min="16131" max="16131" width="11.28515625" style="122" customWidth="1"/>
    <col min="16132" max="16132" width="11.5703125" style="122" customWidth="1"/>
    <col min="16133" max="16133" width="20.140625" style="122" customWidth="1"/>
    <col min="16134" max="16384" width="9.140625" style="122"/>
  </cols>
  <sheetData>
    <row r="1" spans="1:8" ht="12.75" customHeight="1">
      <c r="A1" s="374" t="s">
        <v>958</v>
      </c>
      <c r="B1" s="374"/>
      <c r="C1" s="374"/>
      <c r="D1" s="374"/>
      <c r="E1" s="374"/>
      <c r="G1" s="124" t="s">
        <v>947</v>
      </c>
      <c r="H1" s="123">
        <v>2</v>
      </c>
    </row>
    <row r="2" spans="1:8" s="148" customFormat="1" ht="25.5">
      <c r="A2" s="214" t="s">
        <v>948</v>
      </c>
      <c r="B2" s="214" t="s">
        <v>949</v>
      </c>
      <c r="C2" s="214" t="s">
        <v>950</v>
      </c>
      <c r="D2" s="214" t="s">
        <v>951</v>
      </c>
      <c r="E2" s="214" t="s">
        <v>952</v>
      </c>
    </row>
    <row r="3" spans="1:8" s="148" customFormat="1">
      <c r="A3" s="118">
        <v>1</v>
      </c>
      <c r="B3" s="146" t="s">
        <v>959</v>
      </c>
      <c r="C3" s="118">
        <f>2*$H$1</f>
        <v>4</v>
      </c>
      <c r="D3" s="119">
        <v>16.5</v>
      </c>
      <c r="E3" s="119">
        <f>(D3*C3)</f>
        <v>66</v>
      </c>
    </row>
    <row r="4" spans="1:8" s="148" customFormat="1">
      <c r="A4" s="118">
        <v>2</v>
      </c>
      <c r="B4" s="146" t="s">
        <v>960</v>
      </c>
      <c r="C4" s="118">
        <f>1*$H$1</f>
        <v>2</v>
      </c>
      <c r="D4" s="119">
        <v>20.8</v>
      </c>
      <c r="E4" s="119">
        <f>(D4*C4)</f>
        <v>41.6</v>
      </c>
    </row>
    <row r="5" spans="1:8" s="148" customFormat="1">
      <c r="A5" s="118">
        <v>3</v>
      </c>
      <c r="B5" s="146" t="s">
        <v>961</v>
      </c>
      <c r="C5" s="118">
        <f t="shared" ref="C5:C7" si="0">2*$H$1</f>
        <v>4</v>
      </c>
      <c r="D5" s="119">
        <v>10.4</v>
      </c>
      <c r="E5" s="119">
        <f>(D5*C5)</f>
        <v>41.6</v>
      </c>
    </row>
    <row r="6" spans="1:8" s="148" customFormat="1">
      <c r="A6" s="118">
        <v>4</v>
      </c>
      <c r="B6" s="146" t="s">
        <v>962</v>
      </c>
      <c r="C6" s="118">
        <f t="shared" si="0"/>
        <v>4</v>
      </c>
      <c r="D6" s="119">
        <v>2.2799999999999998</v>
      </c>
      <c r="E6" s="119">
        <f>(D6*C6)</f>
        <v>9.1199999999999992</v>
      </c>
    </row>
    <row r="7" spans="1:8" s="148" customFormat="1">
      <c r="A7" s="118">
        <v>8</v>
      </c>
      <c r="B7" s="146" t="s">
        <v>963</v>
      </c>
      <c r="C7" s="118">
        <f t="shared" si="0"/>
        <v>4</v>
      </c>
      <c r="D7" s="119">
        <v>1.85</v>
      </c>
      <c r="E7" s="119">
        <f t="shared" ref="E7" si="1">(D7*C7)</f>
        <v>7.4</v>
      </c>
    </row>
    <row r="8" spans="1:8">
      <c r="A8" s="498" t="s">
        <v>20</v>
      </c>
      <c r="B8" s="498"/>
      <c r="C8" s="498"/>
      <c r="D8" s="498"/>
      <c r="E8" s="120">
        <f>SUM(E3:E7)</f>
        <v>165.72</v>
      </c>
    </row>
    <row r="9" spans="1:8">
      <c r="A9" s="499" t="s">
        <v>956</v>
      </c>
      <c r="B9" s="499"/>
      <c r="C9" s="499"/>
      <c r="D9" s="499"/>
      <c r="E9" s="121">
        <f>E8/2</f>
        <v>82.86</v>
      </c>
    </row>
    <row r="10" spans="1:8">
      <c r="A10" s="500" t="s">
        <v>957</v>
      </c>
      <c r="B10" s="500"/>
      <c r="C10" s="500"/>
      <c r="D10" s="500"/>
      <c r="E10" s="121">
        <f>E9/12</f>
        <v>6.9050000000000002</v>
      </c>
    </row>
    <row r="15" spans="1:8">
      <c r="B15" s="146"/>
    </row>
  </sheetData>
  <mergeCells count="4">
    <mergeCell ref="A1:E1"/>
    <mergeCell ref="A8:D8"/>
    <mergeCell ref="A9:D9"/>
    <mergeCell ref="A10:D10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9"/>
  <sheetViews>
    <sheetView showGridLines="0" workbookViewId="0">
      <selection activeCell="I19" sqref="I19"/>
    </sheetView>
  </sheetViews>
  <sheetFormatPr defaultColWidth="11" defaultRowHeight="12.75"/>
  <cols>
    <col min="1" max="1" width="5.42578125" style="153" bestFit="1" customWidth="1"/>
    <col min="2" max="2" width="30.28515625" style="153" customWidth="1"/>
    <col min="3" max="3" width="6.28515625" style="153" bestFit="1" customWidth="1"/>
    <col min="4" max="4" width="8.140625" style="153" bestFit="1" customWidth="1"/>
    <col min="5" max="5" width="11.140625" style="153" bestFit="1" customWidth="1"/>
    <col min="6" max="6" width="12.85546875" style="153" bestFit="1" customWidth="1"/>
    <col min="7" max="7" width="11.42578125" style="153" customWidth="1"/>
    <col min="8" max="8" width="20.7109375" style="153" bestFit="1" customWidth="1"/>
    <col min="9" max="252" width="11.42578125" style="153" customWidth="1"/>
    <col min="253" max="256" width="11" style="153"/>
    <col min="257" max="257" width="5.42578125" style="153" bestFit="1" customWidth="1"/>
    <col min="258" max="258" width="30.28515625" style="153" customWidth="1"/>
    <col min="259" max="259" width="6.28515625" style="153" bestFit="1" customWidth="1"/>
    <col min="260" max="260" width="8.140625" style="153" bestFit="1" customWidth="1"/>
    <col min="261" max="261" width="11.140625" style="153" bestFit="1" customWidth="1"/>
    <col min="262" max="262" width="12.85546875" style="153" bestFit="1" customWidth="1"/>
    <col min="263" max="508" width="11.42578125" style="153" customWidth="1"/>
    <col min="509" max="512" width="11" style="153"/>
    <col min="513" max="513" width="5.42578125" style="153" bestFit="1" customWidth="1"/>
    <col min="514" max="514" width="30.28515625" style="153" customWidth="1"/>
    <col min="515" max="515" width="6.28515625" style="153" bestFit="1" customWidth="1"/>
    <col min="516" max="516" width="8.140625" style="153" bestFit="1" customWidth="1"/>
    <col min="517" max="517" width="11.140625" style="153" bestFit="1" customWidth="1"/>
    <col min="518" max="518" width="12.85546875" style="153" bestFit="1" customWidth="1"/>
    <col min="519" max="764" width="11.42578125" style="153" customWidth="1"/>
    <col min="765" max="768" width="11" style="153"/>
    <col min="769" max="769" width="5.42578125" style="153" bestFit="1" customWidth="1"/>
    <col min="770" max="770" width="30.28515625" style="153" customWidth="1"/>
    <col min="771" max="771" width="6.28515625" style="153" bestFit="1" customWidth="1"/>
    <col min="772" max="772" width="8.140625" style="153" bestFit="1" customWidth="1"/>
    <col min="773" max="773" width="11.140625" style="153" bestFit="1" customWidth="1"/>
    <col min="774" max="774" width="12.85546875" style="153" bestFit="1" customWidth="1"/>
    <col min="775" max="1020" width="11.42578125" style="153" customWidth="1"/>
    <col min="1021" max="1024" width="11" style="153"/>
    <col min="1025" max="1025" width="5.42578125" style="153" bestFit="1" customWidth="1"/>
    <col min="1026" max="1026" width="30.28515625" style="153" customWidth="1"/>
    <col min="1027" max="1027" width="6.28515625" style="153" bestFit="1" customWidth="1"/>
    <col min="1028" max="1028" width="8.140625" style="153" bestFit="1" customWidth="1"/>
    <col min="1029" max="1029" width="11.140625" style="153" bestFit="1" customWidth="1"/>
    <col min="1030" max="1030" width="12.85546875" style="153" bestFit="1" customWidth="1"/>
    <col min="1031" max="1276" width="11.42578125" style="153" customWidth="1"/>
    <col min="1277" max="1280" width="11" style="153"/>
    <col min="1281" max="1281" width="5.42578125" style="153" bestFit="1" customWidth="1"/>
    <col min="1282" max="1282" width="30.28515625" style="153" customWidth="1"/>
    <col min="1283" max="1283" width="6.28515625" style="153" bestFit="1" customWidth="1"/>
    <col min="1284" max="1284" width="8.140625" style="153" bestFit="1" customWidth="1"/>
    <col min="1285" max="1285" width="11.140625" style="153" bestFit="1" customWidth="1"/>
    <col min="1286" max="1286" width="12.85546875" style="153" bestFit="1" customWidth="1"/>
    <col min="1287" max="1532" width="11.42578125" style="153" customWidth="1"/>
    <col min="1533" max="1536" width="11" style="153"/>
    <col min="1537" max="1537" width="5.42578125" style="153" bestFit="1" customWidth="1"/>
    <col min="1538" max="1538" width="30.28515625" style="153" customWidth="1"/>
    <col min="1539" max="1539" width="6.28515625" style="153" bestFit="1" customWidth="1"/>
    <col min="1540" max="1540" width="8.140625" style="153" bestFit="1" customWidth="1"/>
    <col min="1541" max="1541" width="11.140625" style="153" bestFit="1" customWidth="1"/>
    <col min="1542" max="1542" width="12.85546875" style="153" bestFit="1" customWidth="1"/>
    <col min="1543" max="1788" width="11.42578125" style="153" customWidth="1"/>
    <col min="1789" max="1792" width="11" style="153"/>
    <col min="1793" max="1793" width="5.42578125" style="153" bestFit="1" customWidth="1"/>
    <col min="1794" max="1794" width="30.28515625" style="153" customWidth="1"/>
    <col min="1795" max="1795" width="6.28515625" style="153" bestFit="1" customWidth="1"/>
    <col min="1796" max="1796" width="8.140625" style="153" bestFit="1" customWidth="1"/>
    <col min="1797" max="1797" width="11.140625" style="153" bestFit="1" customWidth="1"/>
    <col min="1798" max="1798" width="12.85546875" style="153" bestFit="1" customWidth="1"/>
    <col min="1799" max="2044" width="11.42578125" style="153" customWidth="1"/>
    <col min="2045" max="2048" width="11" style="153"/>
    <col min="2049" max="2049" width="5.42578125" style="153" bestFit="1" customWidth="1"/>
    <col min="2050" max="2050" width="30.28515625" style="153" customWidth="1"/>
    <col min="2051" max="2051" width="6.28515625" style="153" bestFit="1" customWidth="1"/>
    <col min="2052" max="2052" width="8.140625" style="153" bestFit="1" customWidth="1"/>
    <col min="2053" max="2053" width="11.140625" style="153" bestFit="1" customWidth="1"/>
    <col min="2054" max="2054" width="12.85546875" style="153" bestFit="1" customWidth="1"/>
    <col min="2055" max="2300" width="11.42578125" style="153" customWidth="1"/>
    <col min="2301" max="2304" width="11" style="153"/>
    <col min="2305" max="2305" width="5.42578125" style="153" bestFit="1" customWidth="1"/>
    <col min="2306" max="2306" width="30.28515625" style="153" customWidth="1"/>
    <col min="2307" max="2307" width="6.28515625" style="153" bestFit="1" customWidth="1"/>
    <col min="2308" max="2308" width="8.140625" style="153" bestFit="1" customWidth="1"/>
    <col min="2309" max="2309" width="11.140625" style="153" bestFit="1" customWidth="1"/>
    <col min="2310" max="2310" width="12.85546875" style="153" bestFit="1" customWidth="1"/>
    <col min="2311" max="2556" width="11.42578125" style="153" customWidth="1"/>
    <col min="2557" max="2560" width="11" style="153"/>
    <col min="2561" max="2561" width="5.42578125" style="153" bestFit="1" customWidth="1"/>
    <col min="2562" max="2562" width="30.28515625" style="153" customWidth="1"/>
    <col min="2563" max="2563" width="6.28515625" style="153" bestFit="1" customWidth="1"/>
    <col min="2564" max="2564" width="8.140625" style="153" bestFit="1" customWidth="1"/>
    <col min="2565" max="2565" width="11.140625" style="153" bestFit="1" customWidth="1"/>
    <col min="2566" max="2566" width="12.85546875" style="153" bestFit="1" customWidth="1"/>
    <col min="2567" max="2812" width="11.42578125" style="153" customWidth="1"/>
    <col min="2813" max="2816" width="11" style="153"/>
    <col min="2817" max="2817" width="5.42578125" style="153" bestFit="1" customWidth="1"/>
    <col min="2818" max="2818" width="30.28515625" style="153" customWidth="1"/>
    <col min="2819" max="2819" width="6.28515625" style="153" bestFit="1" customWidth="1"/>
    <col min="2820" max="2820" width="8.140625" style="153" bestFit="1" customWidth="1"/>
    <col min="2821" max="2821" width="11.140625" style="153" bestFit="1" customWidth="1"/>
    <col min="2822" max="2822" width="12.85546875" style="153" bestFit="1" customWidth="1"/>
    <col min="2823" max="3068" width="11.42578125" style="153" customWidth="1"/>
    <col min="3069" max="3072" width="11" style="153"/>
    <col min="3073" max="3073" width="5.42578125" style="153" bestFit="1" customWidth="1"/>
    <col min="3074" max="3074" width="30.28515625" style="153" customWidth="1"/>
    <col min="3075" max="3075" width="6.28515625" style="153" bestFit="1" customWidth="1"/>
    <col min="3076" max="3076" width="8.140625" style="153" bestFit="1" customWidth="1"/>
    <col min="3077" max="3077" width="11.140625" style="153" bestFit="1" customWidth="1"/>
    <col min="3078" max="3078" width="12.85546875" style="153" bestFit="1" customWidth="1"/>
    <col min="3079" max="3324" width="11.42578125" style="153" customWidth="1"/>
    <col min="3325" max="3328" width="11" style="153"/>
    <col min="3329" max="3329" width="5.42578125" style="153" bestFit="1" customWidth="1"/>
    <col min="3330" max="3330" width="30.28515625" style="153" customWidth="1"/>
    <col min="3331" max="3331" width="6.28515625" style="153" bestFit="1" customWidth="1"/>
    <col min="3332" max="3332" width="8.140625" style="153" bestFit="1" customWidth="1"/>
    <col min="3333" max="3333" width="11.140625" style="153" bestFit="1" customWidth="1"/>
    <col min="3334" max="3334" width="12.85546875" style="153" bestFit="1" customWidth="1"/>
    <col min="3335" max="3580" width="11.42578125" style="153" customWidth="1"/>
    <col min="3581" max="3584" width="11" style="153"/>
    <col min="3585" max="3585" width="5.42578125" style="153" bestFit="1" customWidth="1"/>
    <col min="3586" max="3586" width="30.28515625" style="153" customWidth="1"/>
    <col min="3587" max="3587" width="6.28515625" style="153" bestFit="1" customWidth="1"/>
    <col min="3588" max="3588" width="8.140625" style="153" bestFit="1" customWidth="1"/>
    <col min="3589" max="3589" width="11.140625" style="153" bestFit="1" customWidth="1"/>
    <col min="3590" max="3590" width="12.85546875" style="153" bestFit="1" customWidth="1"/>
    <col min="3591" max="3836" width="11.42578125" style="153" customWidth="1"/>
    <col min="3837" max="3840" width="11" style="153"/>
    <col min="3841" max="3841" width="5.42578125" style="153" bestFit="1" customWidth="1"/>
    <col min="3842" max="3842" width="30.28515625" style="153" customWidth="1"/>
    <col min="3843" max="3843" width="6.28515625" style="153" bestFit="1" customWidth="1"/>
    <col min="3844" max="3844" width="8.140625" style="153" bestFit="1" customWidth="1"/>
    <col min="3845" max="3845" width="11.140625" style="153" bestFit="1" customWidth="1"/>
    <col min="3846" max="3846" width="12.85546875" style="153" bestFit="1" customWidth="1"/>
    <col min="3847" max="4092" width="11.42578125" style="153" customWidth="1"/>
    <col min="4093" max="4096" width="11" style="153"/>
    <col min="4097" max="4097" width="5.42578125" style="153" bestFit="1" customWidth="1"/>
    <col min="4098" max="4098" width="30.28515625" style="153" customWidth="1"/>
    <col min="4099" max="4099" width="6.28515625" style="153" bestFit="1" customWidth="1"/>
    <col min="4100" max="4100" width="8.140625" style="153" bestFit="1" customWidth="1"/>
    <col min="4101" max="4101" width="11.140625" style="153" bestFit="1" customWidth="1"/>
    <col min="4102" max="4102" width="12.85546875" style="153" bestFit="1" customWidth="1"/>
    <col min="4103" max="4348" width="11.42578125" style="153" customWidth="1"/>
    <col min="4349" max="4352" width="11" style="153"/>
    <col min="4353" max="4353" width="5.42578125" style="153" bestFit="1" customWidth="1"/>
    <col min="4354" max="4354" width="30.28515625" style="153" customWidth="1"/>
    <col min="4355" max="4355" width="6.28515625" style="153" bestFit="1" customWidth="1"/>
    <col min="4356" max="4356" width="8.140625" style="153" bestFit="1" customWidth="1"/>
    <col min="4357" max="4357" width="11.140625" style="153" bestFit="1" customWidth="1"/>
    <col min="4358" max="4358" width="12.85546875" style="153" bestFit="1" customWidth="1"/>
    <col min="4359" max="4604" width="11.42578125" style="153" customWidth="1"/>
    <col min="4605" max="4608" width="11" style="153"/>
    <col min="4609" max="4609" width="5.42578125" style="153" bestFit="1" customWidth="1"/>
    <col min="4610" max="4610" width="30.28515625" style="153" customWidth="1"/>
    <col min="4611" max="4611" width="6.28515625" style="153" bestFit="1" customWidth="1"/>
    <col min="4612" max="4612" width="8.140625" style="153" bestFit="1" customWidth="1"/>
    <col min="4613" max="4613" width="11.140625" style="153" bestFit="1" customWidth="1"/>
    <col min="4614" max="4614" width="12.85546875" style="153" bestFit="1" customWidth="1"/>
    <col min="4615" max="4860" width="11.42578125" style="153" customWidth="1"/>
    <col min="4861" max="4864" width="11" style="153"/>
    <col min="4865" max="4865" width="5.42578125" style="153" bestFit="1" customWidth="1"/>
    <col min="4866" max="4866" width="30.28515625" style="153" customWidth="1"/>
    <col min="4867" max="4867" width="6.28515625" style="153" bestFit="1" customWidth="1"/>
    <col min="4868" max="4868" width="8.140625" style="153" bestFit="1" customWidth="1"/>
    <col min="4869" max="4869" width="11.140625" style="153" bestFit="1" customWidth="1"/>
    <col min="4870" max="4870" width="12.85546875" style="153" bestFit="1" customWidth="1"/>
    <col min="4871" max="5116" width="11.42578125" style="153" customWidth="1"/>
    <col min="5117" max="5120" width="11" style="153"/>
    <col min="5121" max="5121" width="5.42578125" style="153" bestFit="1" customWidth="1"/>
    <col min="5122" max="5122" width="30.28515625" style="153" customWidth="1"/>
    <col min="5123" max="5123" width="6.28515625" style="153" bestFit="1" customWidth="1"/>
    <col min="5124" max="5124" width="8.140625" style="153" bestFit="1" customWidth="1"/>
    <col min="5125" max="5125" width="11.140625" style="153" bestFit="1" customWidth="1"/>
    <col min="5126" max="5126" width="12.85546875" style="153" bestFit="1" customWidth="1"/>
    <col min="5127" max="5372" width="11.42578125" style="153" customWidth="1"/>
    <col min="5373" max="5376" width="11" style="153"/>
    <col min="5377" max="5377" width="5.42578125" style="153" bestFit="1" customWidth="1"/>
    <col min="5378" max="5378" width="30.28515625" style="153" customWidth="1"/>
    <col min="5379" max="5379" width="6.28515625" style="153" bestFit="1" customWidth="1"/>
    <col min="5380" max="5380" width="8.140625" style="153" bestFit="1" customWidth="1"/>
    <col min="5381" max="5381" width="11.140625" style="153" bestFit="1" customWidth="1"/>
    <col min="5382" max="5382" width="12.85546875" style="153" bestFit="1" customWidth="1"/>
    <col min="5383" max="5628" width="11.42578125" style="153" customWidth="1"/>
    <col min="5629" max="5632" width="11" style="153"/>
    <col min="5633" max="5633" width="5.42578125" style="153" bestFit="1" customWidth="1"/>
    <col min="5634" max="5634" width="30.28515625" style="153" customWidth="1"/>
    <col min="5635" max="5635" width="6.28515625" style="153" bestFit="1" customWidth="1"/>
    <col min="5636" max="5636" width="8.140625" style="153" bestFit="1" customWidth="1"/>
    <col min="5637" max="5637" width="11.140625" style="153" bestFit="1" customWidth="1"/>
    <col min="5638" max="5638" width="12.85546875" style="153" bestFit="1" customWidth="1"/>
    <col min="5639" max="5884" width="11.42578125" style="153" customWidth="1"/>
    <col min="5885" max="5888" width="11" style="153"/>
    <col min="5889" max="5889" width="5.42578125" style="153" bestFit="1" customWidth="1"/>
    <col min="5890" max="5890" width="30.28515625" style="153" customWidth="1"/>
    <col min="5891" max="5891" width="6.28515625" style="153" bestFit="1" customWidth="1"/>
    <col min="5892" max="5892" width="8.140625" style="153" bestFit="1" customWidth="1"/>
    <col min="5893" max="5893" width="11.140625" style="153" bestFit="1" customWidth="1"/>
    <col min="5894" max="5894" width="12.85546875" style="153" bestFit="1" customWidth="1"/>
    <col min="5895" max="6140" width="11.42578125" style="153" customWidth="1"/>
    <col min="6141" max="6144" width="11" style="153"/>
    <col min="6145" max="6145" width="5.42578125" style="153" bestFit="1" customWidth="1"/>
    <col min="6146" max="6146" width="30.28515625" style="153" customWidth="1"/>
    <col min="6147" max="6147" width="6.28515625" style="153" bestFit="1" customWidth="1"/>
    <col min="6148" max="6148" width="8.140625" style="153" bestFit="1" customWidth="1"/>
    <col min="6149" max="6149" width="11.140625" style="153" bestFit="1" customWidth="1"/>
    <col min="6150" max="6150" width="12.85546875" style="153" bestFit="1" customWidth="1"/>
    <col min="6151" max="6396" width="11.42578125" style="153" customWidth="1"/>
    <col min="6397" max="6400" width="11" style="153"/>
    <col min="6401" max="6401" width="5.42578125" style="153" bestFit="1" customWidth="1"/>
    <col min="6402" max="6402" width="30.28515625" style="153" customWidth="1"/>
    <col min="6403" max="6403" width="6.28515625" style="153" bestFit="1" customWidth="1"/>
    <col min="6404" max="6404" width="8.140625" style="153" bestFit="1" customWidth="1"/>
    <col min="6405" max="6405" width="11.140625" style="153" bestFit="1" customWidth="1"/>
    <col min="6406" max="6406" width="12.85546875" style="153" bestFit="1" customWidth="1"/>
    <col min="6407" max="6652" width="11.42578125" style="153" customWidth="1"/>
    <col min="6653" max="6656" width="11" style="153"/>
    <col min="6657" max="6657" width="5.42578125" style="153" bestFit="1" customWidth="1"/>
    <col min="6658" max="6658" width="30.28515625" style="153" customWidth="1"/>
    <col min="6659" max="6659" width="6.28515625" style="153" bestFit="1" customWidth="1"/>
    <col min="6660" max="6660" width="8.140625" style="153" bestFit="1" customWidth="1"/>
    <col min="6661" max="6661" width="11.140625" style="153" bestFit="1" customWidth="1"/>
    <col min="6662" max="6662" width="12.85546875" style="153" bestFit="1" customWidth="1"/>
    <col min="6663" max="6908" width="11.42578125" style="153" customWidth="1"/>
    <col min="6909" max="6912" width="11" style="153"/>
    <col min="6913" max="6913" width="5.42578125" style="153" bestFit="1" customWidth="1"/>
    <col min="6914" max="6914" width="30.28515625" style="153" customWidth="1"/>
    <col min="6915" max="6915" width="6.28515625" style="153" bestFit="1" customWidth="1"/>
    <col min="6916" max="6916" width="8.140625" style="153" bestFit="1" customWidth="1"/>
    <col min="6917" max="6917" width="11.140625" style="153" bestFit="1" customWidth="1"/>
    <col min="6918" max="6918" width="12.85546875" style="153" bestFit="1" customWidth="1"/>
    <col min="6919" max="7164" width="11.42578125" style="153" customWidth="1"/>
    <col min="7165" max="7168" width="11" style="153"/>
    <col min="7169" max="7169" width="5.42578125" style="153" bestFit="1" customWidth="1"/>
    <col min="7170" max="7170" width="30.28515625" style="153" customWidth="1"/>
    <col min="7171" max="7171" width="6.28515625" style="153" bestFit="1" customWidth="1"/>
    <col min="7172" max="7172" width="8.140625" style="153" bestFit="1" customWidth="1"/>
    <col min="7173" max="7173" width="11.140625" style="153" bestFit="1" customWidth="1"/>
    <col min="7174" max="7174" width="12.85546875" style="153" bestFit="1" customWidth="1"/>
    <col min="7175" max="7420" width="11.42578125" style="153" customWidth="1"/>
    <col min="7421" max="7424" width="11" style="153"/>
    <col min="7425" max="7425" width="5.42578125" style="153" bestFit="1" customWidth="1"/>
    <col min="7426" max="7426" width="30.28515625" style="153" customWidth="1"/>
    <col min="7427" max="7427" width="6.28515625" style="153" bestFit="1" customWidth="1"/>
    <col min="7428" max="7428" width="8.140625" style="153" bestFit="1" customWidth="1"/>
    <col min="7429" max="7429" width="11.140625" style="153" bestFit="1" customWidth="1"/>
    <col min="7430" max="7430" width="12.85546875" style="153" bestFit="1" customWidth="1"/>
    <col min="7431" max="7676" width="11.42578125" style="153" customWidth="1"/>
    <col min="7677" max="7680" width="11" style="153"/>
    <col min="7681" max="7681" width="5.42578125" style="153" bestFit="1" customWidth="1"/>
    <col min="7682" max="7682" width="30.28515625" style="153" customWidth="1"/>
    <col min="7683" max="7683" width="6.28515625" style="153" bestFit="1" customWidth="1"/>
    <col min="7684" max="7684" width="8.140625" style="153" bestFit="1" customWidth="1"/>
    <col min="7685" max="7685" width="11.140625" style="153" bestFit="1" customWidth="1"/>
    <col min="7686" max="7686" width="12.85546875" style="153" bestFit="1" customWidth="1"/>
    <col min="7687" max="7932" width="11.42578125" style="153" customWidth="1"/>
    <col min="7933" max="7936" width="11" style="153"/>
    <col min="7937" max="7937" width="5.42578125" style="153" bestFit="1" customWidth="1"/>
    <col min="7938" max="7938" width="30.28515625" style="153" customWidth="1"/>
    <col min="7939" max="7939" width="6.28515625" style="153" bestFit="1" customWidth="1"/>
    <col min="7940" max="7940" width="8.140625" style="153" bestFit="1" customWidth="1"/>
    <col min="7941" max="7941" width="11.140625" style="153" bestFit="1" customWidth="1"/>
    <col min="7942" max="7942" width="12.85546875" style="153" bestFit="1" customWidth="1"/>
    <col min="7943" max="8188" width="11.42578125" style="153" customWidth="1"/>
    <col min="8189" max="8192" width="11" style="153"/>
    <col min="8193" max="8193" width="5.42578125" style="153" bestFit="1" customWidth="1"/>
    <col min="8194" max="8194" width="30.28515625" style="153" customWidth="1"/>
    <col min="8195" max="8195" width="6.28515625" style="153" bestFit="1" customWidth="1"/>
    <col min="8196" max="8196" width="8.140625" style="153" bestFit="1" customWidth="1"/>
    <col min="8197" max="8197" width="11.140625" style="153" bestFit="1" customWidth="1"/>
    <col min="8198" max="8198" width="12.85546875" style="153" bestFit="1" customWidth="1"/>
    <col min="8199" max="8444" width="11.42578125" style="153" customWidth="1"/>
    <col min="8445" max="8448" width="11" style="153"/>
    <col min="8449" max="8449" width="5.42578125" style="153" bestFit="1" customWidth="1"/>
    <col min="8450" max="8450" width="30.28515625" style="153" customWidth="1"/>
    <col min="8451" max="8451" width="6.28515625" style="153" bestFit="1" customWidth="1"/>
    <col min="8452" max="8452" width="8.140625" style="153" bestFit="1" customWidth="1"/>
    <col min="8453" max="8453" width="11.140625" style="153" bestFit="1" customWidth="1"/>
    <col min="8454" max="8454" width="12.85546875" style="153" bestFit="1" customWidth="1"/>
    <col min="8455" max="8700" width="11.42578125" style="153" customWidth="1"/>
    <col min="8701" max="8704" width="11" style="153"/>
    <col min="8705" max="8705" width="5.42578125" style="153" bestFit="1" customWidth="1"/>
    <col min="8706" max="8706" width="30.28515625" style="153" customWidth="1"/>
    <col min="8707" max="8707" width="6.28515625" style="153" bestFit="1" customWidth="1"/>
    <col min="8708" max="8708" width="8.140625" style="153" bestFit="1" customWidth="1"/>
    <col min="8709" max="8709" width="11.140625" style="153" bestFit="1" customWidth="1"/>
    <col min="8710" max="8710" width="12.85546875" style="153" bestFit="1" customWidth="1"/>
    <col min="8711" max="8956" width="11.42578125" style="153" customWidth="1"/>
    <col min="8957" max="8960" width="11" style="153"/>
    <col min="8961" max="8961" width="5.42578125" style="153" bestFit="1" customWidth="1"/>
    <col min="8962" max="8962" width="30.28515625" style="153" customWidth="1"/>
    <col min="8963" max="8963" width="6.28515625" style="153" bestFit="1" customWidth="1"/>
    <col min="8964" max="8964" width="8.140625" style="153" bestFit="1" customWidth="1"/>
    <col min="8965" max="8965" width="11.140625" style="153" bestFit="1" customWidth="1"/>
    <col min="8966" max="8966" width="12.85546875" style="153" bestFit="1" customWidth="1"/>
    <col min="8967" max="9212" width="11.42578125" style="153" customWidth="1"/>
    <col min="9213" max="9216" width="11" style="153"/>
    <col min="9217" max="9217" width="5.42578125" style="153" bestFit="1" customWidth="1"/>
    <col min="9218" max="9218" width="30.28515625" style="153" customWidth="1"/>
    <col min="9219" max="9219" width="6.28515625" style="153" bestFit="1" customWidth="1"/>
    <col min="9220" max="9220" width="8.140625" style="153" bestFit="1" customWidth="1"/>
    <col min="9221" max="9221" width="11.140625" style="153" bestFit="1" customWidth="1"/>
    <col min="9222" max="9222" width="12.85546875" style="153" bestFit="1" customWidth="1"/>
    <col min="9223" max="9468" width="11.42578125" style="153" customWidth="1"/>
    <col min="9469" max="9472" width="11" style="153"/>
    <col min="9473" max="9473" width="5.42578125" style="153" bestFit="1" customWidth="1"/>
    <col min="9474" max="9474" width="30.28515625" style="153" customWidth="1"/>
    <col min="9475" max="9475" width="6.28515625" style="153" bestFit="1" customWidth="1"/>
    <col min="9476" max="9476" width="8.140625" style="153" bestFit="1" customWidth="1"/>
    <col min="9477" max="9477" width="11.140625" style="153" bestFit="1" customWidth="1"/>
    <col min="9478" max="9478" width="12.85546875" style="153" bestFit="1" customWidth="1"/>
    <col min="9479" max="9724" width="11.42578125" style="153" customWidth="1"/>
    <col min="9725" max="9728" width="11" style="153"/>
    <col min="9729" max="9729" width="5.42578125" style="153" bestFit="1" customWidth="1"/>
    <col min="9730" max="9730" width="30.28515625" style="153" customWidth="1"/>
    <col min="9731" max="9731" width="6.28515625" style="153" bestFit="1" customWidth="1"/>
    <col min="9732" max="9732" width="8.140625" style="153" bestFit="1" customWidth="1"/>
    <col min="9733" max="9733" width="11.140625" style="153" bestFit="1" customWidth="1"/>
    <col min="9734" max="9734" width="12.85546875" style="153" bestFit="1" customWidth="1"/>
    <col min="9735" max="9980" width="11.42578125" style="153" customWidth="1"/>
    <col min="9981" max="9984" width="11" style="153"/>
    <col min="9985" max="9985" width="5.42578125" style="153" bestFit="1" customWidth="1"/>
    <col min="9986" max="9986" width="30.28515625" style="153" customWidth="1"/>
    <col min="9987" max="9987" width="6.28515625" style="153" bestFit="1" customWidth="1"/>
    <col min="9988" max="9988" width="8.140625" style="153" bestFit="1" customWidth="1"/>
    <col min="9989" max="9989" width="11.140625" style="153" bestFit="1" customWidth="1"/>
    <col min="9990" max="9990" width="12.85546875" style="153" bestFit="1" customWidth="1"/>
    <col min="9991" max="10236" width="11.42578125" style="153" customWidth="1"/>
    <col min="10237" max="10240" width="11" style="153"/>
    <col min="10241" max="10241" width="5.42578125" style="153" bestFit="1" customWidth="1"/>
    <col min="10242" max="10242" width="30.28515625" style="153" customWidth="1"/>
    <col min="10243" max="10243" width="6.28515625" style="153" bestFit="1" customWidth="1"/>
    <col min="10244" max="10244" width="8.140625" style="153" bestFit="1" customWidth="1"/>
    <col min="10245" max="10245" width="11.140625" style="153" bestFit="1" customWidth="1"/>
    <col min="10246" max="10246" width="12.85546875" style="153" bestFit="1" customWidth="1"/>
    <col min="10247" max="10492" width="11.42578125" style="153" customWidth="1"/>
    <col min="10493" max="10496" width="11" style="153"/>
    <col min="10497" max="10497" width="5.42578125" style="153" bestFit="1" customWidth="1"/>
    <col min="10498" max="10498" width="30.28515625" style="153" customWidth="1"/>
    <col min="10499" max="10499" width="6.28515625" style="153" bestFit="1" customWidth="1"/>
    <col min="10500" max="10500" width="8.140625" style="153" bestFit="1" customWidth="1"/>
    <col min="10501" max="10501" width="11.140625" style="153" bestFit="1" customWidth="1"/>
    <col min="10502" max="10502" width="12.85546875" style="153" bestFit="1" customWidth="1"/>
    <col min="10503" max="10748" width="11.42578125" style="153" customWidth="1"/>
    <col min="10749" max="10752" width="11" style="153"/>
    <col min="10753" max="10753" width="5.42578125" style="153" bestFit="1" customWidth="1"/>
    <col min="10754" max="10754" width="30.28515625" style="153" customWidth="1"/>
    <col min="10755" max="10755" width="6.28515625" style="153" bestFit="1" customWidth="1"/>
    <col min="10756" max="10756" width="8.140625" style="153" bestFit="1" customWidth="1"/>
    <col min="10757" max="10757" width="11.140625" style="153" bestFit="1" customWidth="1"/>
    <col min="10758" max="10758" width="12.85546875" style="153" bestFit="1" customWidth="1"/>
    <col min="10759" max="11004" width="11.42578125" style="153" customWidth="1"/>
    <col min="11005" max="11008" width="11" style="153"/>
    <col min="11009" max="11009" width="5.42578125" style="153" bestFit="1" customWidth="1"/>
    <col min="11010" max="11010" width="30.28515625" style="153" customWidth="1"/>
    <col min="11011" max="11011" width="6.28515625" style="153" bestFit="1" customWidth="1"/>
    <col min="11012" max="11012" width="8.140625" style="153" bestFit="1" customWidth="1"/>
    <col min="11013" max="11013" width="11.140625" style="153" bestFit="1" customWidth="1"/>
    <col min="11014" max="11014" width="12.85546875" style="153" bestFit="1" customWidth="1"/>
    <col min="11015" max="11260" width="11.42578125" style="153" customWidth="1"/>
    <col min="11261" max="11264" width="11" style="153"/>
    <col min="11265" max="11265" width="5.42578125" style="153" bestFit="1" customWidth="1"/>
    <col min="11266" max="11266" width="30.28515625" style="153" customWidth="1"/>
    <col min="11267" max="11267" width="6.28515625" style="153" bestFit="1" customWidth="1"/>
    <col min="11268" max="11268" width="8.140625" style="153" bestFit="1" customWidth="1"/>
    <col min="11269" max="11269" width="11.140625" style="153" bestFit="1" customWidth="1"/>
    <col min="11270" max="11270" width="12.85546875" style="153" bestFit="1" customWidth="1"/>
    <col min="11271" max="11516" width="11.42578125" style="153" customWidth="1"/>
    <col min="11517" max="11520" width="11" style="153"/>
    <col min="11521" max="11521" width="5.42578125" style="153" bestFit="1" customWidth="1"/>
    <col min="11522" max="11522" width="30.28515625" style="153" customWidth="1"/>
    <col min="11523" max="11523" width="6.28515625" style="153" bestFit="1" customWidth="1"/>
    <col min="11524" max="11524" width="8.140625" style="153" bestFit="1" customWidth="1"/>
    <col min="11525" max="11525" width="11.140625" style="153" bestFit="1" customWidth="1"/>
    <col min="11526" max="11526" width="12.85546875" style="153" bestFit="1" customWidth="1"/>
    <col min="11527" max="11772" width="11.42578125" style="153" customWidth="1"/>
    <col min="11773" max="11776" width="11" style="153"/>
    <col min="11777" max="11777" width="5.42578125" style="153" bestFit="1" customWidth="1"/>
    <col min="11778" max="11778" width="30.28515625" style="153" customWidth="1"/>
    <col min="11779" max="11779" width="6.28515625" style="153" bestFit="1" customWidth="1"/>
    <col min="11780" max="11780" width="8.140625" style="153" bestFit="1" customWidth="1"/>
    <col min="11781" max="11781" width="11.140625" style="153" bestFit="1" customWidth="1"/>
    <col min="11782" max="11782" width="12.85546875" style="153" bestFit="1" customWidth="1"/>
    <col min="11783" max="12028" width="11.42578125" style="153" customWidth="1"/>
    <col min="12029" max="12032" width="11" style="153"/>
    <col min="12033" max="12033" width="5.42578125" style="153" bestFit="1" customWidth="1"/>
    <col min="12034" max="12034" width="30.28515625" style="153" customWidth="1"/>
    <col min="12035" max="12035" width="6.28515625" style="153" bestFit="1" customWidth="1"/>
    <col min="12036" max="12036" width="8.140625" style="153" bestFit="1" customWidth="1"/>
    <col min="12037" max="12037" width="11.140625" style="153" bestFit="1" customWidth="1"/>
    <col min="12038" max="12038" width="12.85546875" style="153" bestFit="1" customWidth="1"/>
    <col min="12039" max="12284" width="11.42578125" style="153" customWidth="1"/>
    <col min="12285" max="12288" width="11" style="153"/>
    <col min="12289" max="12289" width="5.42578125" style="153" bestFit="1" customWidth="1"/>
    <col min="12290" max="12290" width="30.28515625" style="153" customWidth="1"/>
    <col min="12291" max="12291" width="6.28515625" style="153" bestFit="1" customWidth="1"/>
    <col min="12292" max="12292" width="8.140625" style="153" bestFit="1" customWidth="1"/>
    <col min="12293" max="12293" width="11.140625" style="153" bestFit="1" customWidth="1"/>
    <col min="12294" max="12294" width="12.85546875" style="153" bestFit="1" customWidth="1"/>
    <col min="12295" max="12540" width="11.42578125" style="153" customWidth="1"/>
    <col min="12541" max="12544" width="11" style="153"/>
    <col min="12545" max="12545" width="5.42578125" style="153" bestFit="1" customWidth="1"/>
    <col min="12546" max="12546" width="30.28515625" style="153" customWidth="1"/>
    <col min="12547" max="12547" width="6.28515625" style="153" bestFit="1" customWidth="1"/>
    <col min="12548" max="12548" width="8.140625" style="153" bestFit="1" customWidth="1"/>
    <col min="12549" max="12549" width="11.140625" style="153" bestFit="1" customWidth="1"/>
    <col min="12550" max="12550" width="12.85546875" style="153" bestFit="1" customWidth="1"/>
    <col min="12551" max="12796" width="11.42578125" style="153" customWidth="1"/>
    <col min="12797" max="12800" width="11" style="153"/>
    <col min="12801" max="12801" width="5.42578125" style="153" bestFit="1" customWidth="1"/>
    <col min="12802" max="12802" width="30.28515625" style="153" customWidth="1"/>
    <col min="12803" max="12803" width="6.28515625" style="153" bestFit="1" customWidth="1"/>
    <col min="12804" max="12804" width="8.140625" style="153" bestFit="1" customWidth="1"/>
    <col min="12805" max="12805" width="11.140625" style="153" bestFit="1" customWidth="1"/>
    <col min="12806" max="12806" width="12.85546875" style="153" bestFit="1" customWidth="1"/>
    <col min="12807" max="13052" width="11.42578125" style="153" customWidth="1"/>
    <col min="13053" max="13056" width="11" style="153"/>
    <col min="13057" max="13057" width="5.42578125" style="153" bestFit="1" customWidth="1"/>
    <col min="13058" max="13058" width="30.28515625" style="153" customWidth="1"/>
    <col min="13059" max="13059" width="6.28515625" style="153" bestFit="1" customWidth="1"/>
    <col min="13060" max="13060" width="8.140625" style="153" bestFit="1" customWidth="1"/>
    <col min="13061" max="13061" width="11.140625" style="153" bestFit="1" customWidth="1"/>
    <col min="13062" max="13062" width="12.85546875" style="153" bestFit="1" customWidth="1"/>
    <col min="13063" max="13308" width="11.42578125" style="153" customWidth="1"/>
    <col min="13309" max="13312" width="11" style="153"/>
    <col min="13313" max="13313" width="5.42578125" style="153" bestFit="1" customWidth="1"/>
    <col min="13314" max="13314" width="30.28515625" style="153" customWidth="1"/>
    <col min="13315" max="13315" width="6.28515625" style="153" bestFit="1" customWidth="1"/>
    <col min="13316" max="13316" width="8.140625" style="153" bestFit="1" customWidth="1"/>
    <col min="13317" max="13317" width="11.140625" style="153" bestFit="1" customWidth="1"/>
    <col min="13318" max="13318" width="12.85546875" style="153" bestFit="1" customWidth="1"/>
    <col min="13319" max="13564" width="11.42578125" style="153" customWidth="1"/>
    <col min="13565" max="13568" width="11" style="153"/>
    <col min="13569" max="13569" width="5.42578125" style="153" bestFit="1" customWidth="1"/>
    <col min="13570" max="13570" width="30.28515625" style="153" customWidth="1"/>
    <col min="13571" max="13571" width="6.28515625" style="153" bestFit="1" customWidth="1"/>
    <col min="13572" max="13572" width="8.140625" style="153" bestFit="1" customWidth="1"/>
    <col min="13573" max="13573" width="11.140625" style="153" bestFit="1" customWidth="1"/>
    <col min="13574" max="13574" width="12.85546875" style="153" bestFit="1" customWidth="1"/>
    <col min="13575" max="13820" width="11.42578125" style="153" customWidth="1"/>
    <col min="13821" max="13824" width="11" style="153"/>
    <col min="13825" max="13825" width="5.42578125" style="153" bestFit="1" customWidth="1"/>
    <col min="13826" max="13826" width="30.28515625" style="153" customWidth="1"/>
    <col min="13827" max="13827" width="6.28515625" style="153" bestFit="1" customWidth="1"/>
    <col min="13828" max="13828" width="8.140625" style="153" bestFit="1" customWidth="1"/>
    <col min="13829" max="13829" width="11.140625" style="153" bestFit="1" customWidth="1"/>
    <col min="13830" max="13830" width="12.85546875" style="153" bestFit="1" customWidth="1"/>
    <col min="13831" max="14076" width="11.42578125" style="153" customWidth="1"/>
    <col min="14077" max="14080" width="11" style="153"/>
    <col min="14081" max="14081" width="5.42578125" style="153" bestFit="1" customWidth="1"/>
    <col min="14082" max="14082" width="30.28515625" style="153" customWidth="1"/>
    <col min="14083" max="14083" width="6.28515625" style="153" bestFit="1" customWidth="1"/>
    <col min="14084" max="14084" width="8.140625" style="153" bestFit="1" customWidth="1"/>
    <col min="14085" max="14085" width="11.140625" style="153" bestFit="1" customWidth="1"/>
    <col min="14086" max="14086" width="12.85546875" style="153" bestFit="1" customWidth="1"/>
    <col min="14087" max="14332" width="11.42578125" style="153" customWidth="1"/>
    <col min="14333" max="14336" width="11" style="153"/>
    <col min="14337" max="14337" width="5.42578125" style="153" bestFit="1" customWidth="1"/>
    <col min="14338" max="14338" width="30.28515625" style="153" customWidth="1"/>
    <col min="14339" max="14339" width="6.28515625" style="153" bestFit="1" customWidth="1"/>
    <col min="14340" max="14340" width="8.140625" style="153" bestFit="1" customWidth="1"/>
    <col min="14341" max="14341" width="11.140625" style="153" bestFit="1" customWidth="1"/>
    <col min="14342" max="14342" width="12.85546875" style="153" bestFit="1" customWidth="1"/>
    <col min="14343" max="14588" width="11.42578125" style="153" customWidth="1"/>
    <col min="14589" max="14592" width="11" style="153"/>
    <col min="14593" max="14593" width="5.42578125" style="153" bestFit="1" customWidth="1"/>
    <col min="14594" max="14594" width="30.28515625" style="153" customWidth="1"/>
    <col min="14595" max="14595" width="6.28515625" style="153" bestFit="1" customWidth="1"/>
    <col min="14596" max="14596" width="8.140625" style="153" bestFit="1" customWidth="1"/>
    <col min="14597" max="14597" width="11.140625" style="153" bestFit="1" customWidth="1"/>
    <col min="14598" max="14598" width="12.85546875" style="153" bestFit="1" customWidth="1"/>
    <col min="14599" max="14844" width="11.42578125" style="153" customWidth="1"/>
    <col min="14845" max="14848" width="11" style="153"/>
    <col min="14849" max="14849" width="5.42578125" style="153" bestFit="1" customWidth="1"/>
    <col min="14850" max="14850" width="30.28515625" style="153" customWidth="1"/>
    <col min="14851" max="14851" width="6.28515625" style="153" bestFit="1" customWidth="1"/>
    <col min="14852" max="14852" width="8.140625" style="153" bestFit="1" customWidth="1"/>
    <col min="14853" max="14853" width="11.140625" style="153" bestFit="1" customWidth="1"/>
    <col min="14854" max="14854" width="12.85546875" style="153" bestFit="1" customWidth="1"/>
    <col min="14855" max="15100" width="11.42578125" style="153" customWidth="1"/>
    <col min="15101" max="15104" width="11" style="153"/>
    <col min="15105" max="15105" width="5.42578125" style="153" bestFit="1" customWidth="1"/>
    <col min="15106" max="15106" width="30.28515625" style="153" customWidth="1"/>
    <col min="15107" max="15107" width="6.28515625" style="153" bestFit="1" customWidth="1"/>
    <col min="15108" max="15108" width="8.140625" style="153" bestFit="1" customWidth="1"/>
    <col min="15109" max="15109" width="11.140625" style="153" bestFit="1" customWidth="1"/>
    <col min="15110" max="15110" width="12.85546875" style="153" bestFit="1" customWidth="1"/>
    <col min="15111" max="15356" width="11.42578125" style="153" customWidth="1"/>
    <col min="15357" max="15360" width="11" style="153"/>
    <col min="15361" max="15361" width="5.42578125" style="153" bestFit="1" customWidth="1"/>
    <col min="15362" max="15362" width="30.28515625" style="153" customWidth="1"/>
    <col min="15363" max="15363" width="6.28515625" style="153" bestFit="1" customWidth="1"/>
    <col min="15364" max="15364" width="8.140625" style="153" bestFit="1" customWidth="1"/>
    <col min="15365" max="15365" width="11.140625" style="153" bestFit="1" customWidth="1"/>
    <col min="15366" max="15366" width="12.85546875" style="153" bestFit="1" customWidth="1"/>
    <col min="15367" max="15612" width="11.42578125" style="153" customWidth="1"/>
    <col min="15613" max="15616" width="11" style="153"/>
    <col min="15617" max="15617" width="5.42578125" style="153" bestFit="1" customWidth="1"/>
    <col min="15618" max="15618" width="30.28515625" style="153" customWidth="1"/>
    <col min="15619" max="15619" width="6.28515625" style="153" bestFit="1" customWidth="1"/>
    <col min="15620" max="15620" width="8.140625" style="153" bestFit="1" customWidth="1"/>
    <col min="15621" max="15621" width="11.140625" style="153" bestFit="1" customWidth="1"/>
    <col min="15622" max="15622" width="12.85546875" style="153" bestFit="1" customWidth="1"/>
    <col min="15623" max="15868" width="11.42578125" style="153" customWidth="1"/>
    <col min="15869" max="15872" width="11" style="153"/>
    <col min="15873" max="15873" width="5.42578125" style="153" bestFit="1" customWidth="1"/>
    <col min="15874" max="15874" width="30.28515625" style="153" customWidth="1"/>
    <col min="15875" max="15875" width="6.28515625" style="153" bestFit="1" customWidth="1"/>
    <col min="15876" max="15876" width="8.140625" style="153" bestFit="1" customWidth="1"/>
    <col min="15877" max="15877" width="11.140625" style="153" bestFit="1" customWidth="1"/>
    <col min="15878" max="15878" width="12.85546875" style="153" bestFit="1" customWidth="1"/>
    <col min="15879" max="16124" width="11.42578125" style="153" customWidth="1"/>
    <col min="16125" max="16128" width="11" style="153"/>
    <col min="16129" max="16129" width="5.42578125" style="153" bestFit="1" customWidth="1"/>
    <col min="16130" max="16130" width="30.28515625" style="153" customWidth="1"/>
    <col min="16131" max="16131" width="6.28515625" style="153" bestFit="1" customWidth="1"/>
    <col min="16132" max="16132" width="8.140625" style="153" bestFit="1" customWidth="1"/>
    <col min="16133" max="16133" width="11.140625" style="153" bestFit="1" customWidth="1"/>
    <col min="16134" max="16134" width="12.85546875" style="153" bestFit="1" customWidth="1"/>
    <col min="16135" max="16380" width="11.42578125" style="153" customWidth="1"/>
    <col min="16381" max="16384" width="11" style="153"/>
  </cols>
  <sheetData>
    <row r="1" spans="1:9">
      <c r="A1" s="374" t="s">
        <v>964</v>
      </c>
      <c r="B1" s="374"/>
      <c r="C1" s="374"/>
      <c r="D1" s="374"/>
      <c r="E1" s="374"/>
      <c r="F1" s="374"/>
      <c r="H1" s="154" t="s">
        <v>947</v>
      </c>
      <c r="I1" s="155">
        <v>2</v>
      </c>
    </row>
    <row r="2" spans="1:9">
      <c r="A2" s="211" t="s">
        <v>1</v>
      </c>
      <c r="B2" s="211" t="s">
        <v>3</v>
      </c>
      <c r="C2" s="211" t="s">
        <v>965</v>
      </c>
      <c r="D2" s="212" t="s">
        <v>966</v>
      </c>
      <c r="E2" s="213" t="s">
        <v>967</v>
      </c>
      <c r="F2" s="211" t="s">
        <v>968</v>
      </c>
    </row>
    <row r="3" spans="1:9">
      <c r="A3" s="156">
        <v>1</v>
      </c>
      <c r="B3" s="147" t="s">
        <v>969</v>
      </c>
      <c r="C3" s="118" t="s">
        <v>970</v>
      </c>
      <c r="D3" s="118">
        <f>IF($I$1&lt;=3,1,ROUND(1*$I$1/3,0))</f>
        <v>1</v>
      </c>
      <c r="E3" s="157">
        <f>5/D3</f>
        <v>5</v>
      </c>
      <c r="F3" s="158">
        <f>D3*E3</f>
        <v>5</v>
      </c>
    </row>
    <row r="4" spans="1:9">
      <c r="A4" s="156">
        <v>2</v>
      </c>
      <c r="B4" s="147" t="s">
        <v>971</v>
      </c>
      <c r="C4" s="118" t="s">
        <v>972</v>
      </c>
      <c r="D4" s="118">
        <f>IF($I$1&lt;=3,1,ROUND(1*$I$1/3,0))</f>
        <v>1</v>
      </c>
      <c r="E4" s="157">
        <v>2.99</v>
      </c>
      <c r="F4" s="158">
        <f>D4*E4</f>
        <v>2.99</v>
      </c>
    </row>
    <row r="5" spans="1:9">
      <c r="A5" s="156">
        <v>3</v>
      </c>
      <c r="B5" s="147" t="s">
        <v>973</v>
      </c>
      <c r="C5" s="118" t="s">
        <v>970</v>
      </c>
      <c r="D5" s="118">
        <f>22*I1</f>
        <v>44</v>
      </c>
      <c r="E5" s="157">
        <v>0.5</v>
      </c>
      <c r="F5" s="158">
        <f>D5*E5</f>
        <v>22</v>
      </c>
    </row>
    <row r="6" spans="1:9">
      <c r="A6" s="156">
        <v>4</v>
      </c>
      <c r="B6" s="147" t="s">
        <v>974</v>
      </c>
      <c r="C6" s="118" t="s">
        <v>970</v>
      </c>
      <c r="D6" s="118">
        <f>IF($I$1&lt;=3,1,ROUND(1*$I$1/3,0))</f>
        <v>1</v>
      </c>
      <c r="E6" s="157">
        <f>9/D6</f>
        <v>9</v>
      </c>
      <c r="F6" s="158">
        <f>D6*E6</f>
        <v>9</v>
      </c>
    </row>
    <row r="7" spans="1:9">
      <c r="A7" s="156">
        <v>5</v>
      </c>
      <c r="B7" s="147" t="s">
        <v>975</v>
      </c>
      <c r="C7" s="118" t="s">
        <v>448</v>
      </c>
      <c r="D7" s="118">
        <f>ROUND(2.3*$I$1,0)</f>
        <v>5</v>
      </c>
      <c r="E7" s="157">
        <v>3</v>
      </c>
      <c r="F7" s="158">
        <f>D7*E7</f>
        <v>15</v>
      </c>
    </row>
    <row r="8" spans="1:9">
      <c r="A8" s="501" t="s">
        <v>976</v>
      </c>
      <c r="B8" s="501"/>
      <c r="C8" s="501"/>
      <c r="D8" s="501"/>
      <c r="E8" s="501"/>
      <c r="F8" s="159">
        <f>SUM(F3:F7)</f>
        <v>53.99</v>
      </c>
    </row>
    <row r="9" spans="1:9">
      <c r="A9" s="502" t="s">
        <v>977</v>
      </c>
      <c r="B9" s="502"/>
      <c r="C9" s="502"/>
      <c r="D9" s="502"/>
      <c r="E9" s="502"/>
      <c r="F9" s="160">
        <f>F8/2</f>
        <v>26.995000000000001</v>
      </c>
    </row>
  </sheetData>
  <mergeCells count="3">
    <mergeCell ref="A1:F1"/>
    <mergeCell ref="A8:E8"/>
    <mergeCell ref="A9:E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K139"/>
  <sheetViews>
    <sheetView workbookViewId="0">
      <selection activeCell="A17" sqref="A17"/>
    </sheetView>
  </sheetViews>
  <sheetFormatPr defaultRowHeight="12.75"/>
  <cols>
    <col min="1" max="1" width="59.5703125" style="161" customWidth="1"/>
    <col min="2" max="2" width="13" style="161" customWidth="1"/>
    <col min="3" max="3" width="18.5703125" style="161" customWidth="1"/>
    <col min="4" max="4" width="21.85546875" style="161" customWidth="1"/>
    <col min="5" max="5" width="25.28515625" style="161" bestFit="1" customWidth="1"/>
    <col min="6" max="6" width="21.140625" style="161" customWidth="1"/>
    <col min="7" max="255" width="9.140625" style="161"/>
    <col min="256" max="256" width="59.5703125" style="161" customWidth="1"/>
    <col min="257" max="257" width="14" style="161" customWidth="1"/>
    <col min="258" max="258" width="13" style="161" customWidth="1"/>
    <col min="259" max="259" width="18.5703125" style="161" customWidth="1"/>
    <col min="260" max="260" width="21.85546875" style="161" customWidth="1"/>
    <col min="261" max="261" width="25.28515625" style="161" bestFit="1" customWidth="1"/>
    <col min="262" max="262" width="21.140625" style="161" customWidth="1"/>
    <col min="263" max="511" width="9.140625" style="161"/>
    <col min="512" max="512" width="59.5703125" style="161" customWidth="1"/>
    <col min="513" max="513" width="14" style="161" customWidth="1"/>
    <col min="514" max="514" width="13" style="161" customWidth="1"/>
    <col min="515" max="515" width="18.5703125" style="161" customWidth="1"/>
    <col min="516" max="516" width="21.85546875" style="161" customWidth="1"/>
    <col min="517" max="517" width="25.28515625" style="161" bestFit="1" customWidth="1"/>
    <col min="518" max="518" width="21.140625" style="161" customWidth="1"/>
    <col min="519" max="767" width="9.140625" style="161"/>
    <col min="768" max="768" width="59.5703125" style="161" customWidth="1"/>
    <col min="769" max="769" width="14" style="161" customWidth="1"/>
    <col min="770" max="770" width="13" style="161" customWidth="1"/>
    <col min="771" max="771" width="18.5703125" style="161" customWidth="1"/>
    <col min="772" max="772" width="21.85546875" style="161" customWidth="1"/>
    <col min="773" max="773" width="25.28515625" style="161" bestFit="1" customWidth="1"/>
    <col min="774" max="774" width="21.140625" style="161" customWidth="1"/>
    <col min="775" max="1023" width="9.140625" style="161"/>
    <col min="1024" max="1024" width="59.5703125" style="161" customWidth="1"/>
    <col min="1025" max="1025" width="14" style="161" customWidth="1"/>
    <col min="1026" max="1026" width="13" style="161" customWidth="1"/>
    <col min="1027" max="1027" width="18.5703125" style="161" customWidth="1"/>
    <col min="1028" max="1028" width="21.85546875" style="161" customWidth="1"/>
    <col min="1029" max="1029" width="25.28515625" style="161" bestFit="1" customWidth="1"/>
    <col min="1030" max="1030" width="21.140625" style="161" customWidth="1"/>
    <col min="1031" max="1279" width="9.140625" style="161"/>
    <col min="1280" max="1280" width="59.5703125" style="161" customWidth="1"/>
    <col min="1281" max="1281" width="14" style="161" customWidth="1"/>
    <col min="1282" max="1282" width="13" style="161" customWidth="1"/>
    <col min="1283" max="1283" width="18.5703125" style="161" customWidth="1"/>
    <col min="1284" max="1284" width="21.85546875" style="161" customWidth="1"/>
    <col min="1285" max="1285" width="25.28515625" style="161" bestFit="1" customWidth="1"/>
    <col min="1286" max="1286" width="21.140625" style="161" customWidth="1"/>
    <col min="1287" max="1535" width="9.140625" style="161"/>
    <col min="1536" max="1536" width="59.5703125" style="161" customWidth="1"/>
    <col min="1537" max="1537" width="14" style="161" customWidth="1"/>
    <col min="1538" max="1538" width="13" style="161" customWidth="1"/>
    <col min="1539" max="1539" width="18.5703125" style="161" customWidth="1"/>
    <col min="1540" max="1540" width="21.85546875" style="161" customWidth="1"/>
    <col min="1541" max="1541" width="25.28515625" style="161" bestFit="1" customWidth="1"/>
    <col min="1542" max="1542" width="21.140625" style="161" customWidth="1"/>
    <col min="1543" max="1791" width="9.140625" style="161"/>
    <col min="1792" max="1792" width="59.5703125" style="161" customWidth="1"/>
    <col min="1793" max="1793" width="14" style="161" customWidth="1"/>
    <col min="1794" max="1794" width="13" style="161" customWidth="1"/>
    <col min="1795" max="1795" width="18.5703125" style="161" customWidth="1"/>
    <col min="1796" max="1796" width="21.85546875" style="161" customWidth="1"/>
    <col min="1797" max="1797" width="25.28515625" style="161" bestFit="1" customWidth="1"/>
    <col min="1798" max="1798" width="21.140625" style="161" customWidth="1"/>
    <col min="1799" max="2047" width="9.140625" style="161"/>
    <col min="2048" max="2048" width="59.5703125" style="161" customWidth="1"/>
    <col min="2049" max="2049" width="14" style="161" customWidth="1"/>
    <col min="2050" max="2050" width="13" style="161" customWidth="1"/>
    <col min="2051" max="2051" width="18.5703125" style="161" customWidth="1"/>
    <col min="2052" max="2052" width="21.85546875" style="161" customWidth="1"/>
    <col min="2053" max="2053" width="25.28515625" style="161" bestFit="1" customWidth="1"/>
    <col min="2054" max="2054" width="21.140625" style="161" customWidth="1"/>
    <col min="2055" max="2303" width="9.140625" style="161"/>
    <col min="2304" max="2304" width="59.5703125" style="161" customWidth="1"/>
    <col min="2305" max="2305" width="14" style="161" customWidth="1"/>
    <col min="2306" max="2306" width="13" style="161" customWidth="1"/>
    <col min="2307" max="2307" width="18.5703125" style="161" customWidth="1"/>
    <col min="2308" max="2308" width="21.85546875" style="161" customWidth="1"/>
    <col min="2309" max="2309" width="25.28515625" style="161" bestFit="1" customWidth="1"/>
    <col min="2310" max="2310" width="21.140625" style="161" customWidth="1"/>
    <col min="2311" max="2559" width="9.140625" style="161"/>
    <col min="2560" max="2560" width="59.5703125" style="161" customWidth="1"/>
    <col min="2561" max="2561" width="14" style="161" customWidth="1"/>
    <col min="2562" max="2562" width="13" style="161" customWidth="1"/>
    <col min="2563" max="2563" width="18.5703125" style="161" customWidth="1"/>
    <col min="2564" max="2564" width="21.85546875" style="161" customWidth="1"/>
    <col min="2565" max="2565" width="25.28515625" style="161" bestFit="1" customWidth="1"/>
    <col min="2566" max="2566" width="21.140625" style="161" customWidth="1"/>
    <col min="2567" max="2815" width="9.140625" style="161"/>
    <col min="2816" max="2816" width="59.5703125" style="161" customWidth="1"/>
    <col min="2817" max="2817" width="14" style="161" customWidth="1"/>
    <col min="2818" max="2818" width="13" style="161" customWidth="1"/>
    <col min="2819" max="2819" width="18.5703125" style="161" customWidth="1"/>
    <col min="2820" max="2820" width="21.85546875" style="161" customWidth="1"/>
    <col min="2821" max="2821" width="25.28515625" style="161" bestFit="1" customWidth="1"/>
    <col min="2822" max="2822" width="21.140625" style="161" customWidth="1"/>
    <col min="2823" max="3071" width="9.140625" style="161"/>
    <col min="3072" max="3072" width="59.5703125" style="161" customWidth="1"/>
    <col min="3073" max="3073" width="14" style="161" customWidth="1"/>
    <col min="3074" max="3074" width="13" style="161" customWidth="1"/>
    <col min="3075" max="3075" width="18.5703125" style="161" customWidth="1"/>
    <col min="3076" max="3076" width="21.85546875" style="161" customWidth="1"/>
    <col min="3077" max="3077" width="25.28515625" style="161" bestFit="1" customWidth="1"/>
    <col min="3078" max="3078" width="21.140625" style="161" customWidth="1"/>
    <col min="3079" max="3327" width="9.140625" style="161"/>
    <col min="3328" max="3328" width="59.5703125" style="161" customWidth="1"/>
    <col min="3329" max="3329" width="14" style="161" customWidth="1"/>
    <col min="3330" max="3330" width="13" style="161" customWidth="1"/>
    <col min="3331" max="3331" width="18.5703125" style="161" customWidth="1"/>
    <col min="3332" max="3332" width="21.85546875" style="161" customWidth="1"/>
    <col min="3333" max="3333" width="25.28515625" style="161" bestFit="1" customWidth="1"/>
    <col min="3334" max="3334" width="21.140625" style="161" customWidth="1"/>
    <col min="3335" max="3583" width="9.140625" style="161"/>
    <col min="3584" max="3584" width="59.5703125" style="161" customWidth="1"/>
    <col min="3585" max="3585" width="14" style="161" customWidth="1"/>
    <col min="3586" max="3586" width="13" style="161" customWidth="1"/>
    <col min="3587" max="3587" width="18.5703125" style="161" customWidth="1"/>
    <col min="3588" max="3588" width="21.85546875" style="161" customWidth="1"/>
    <col min="3589" max="3589" width="25.28515625" style="161" bestFit="1" customWidth="1"/>
    <col min="3590" max="3590" width="21.140625" style="161" customWidth="1"/>
    <col min="3591" max="3839" width="9.140625" style="161"/>
    <col min="3840" max="3840" width="59.5703125" style="161" customWidth="1"/>
    <col min="3841" max="3841" width="14" style="161" customWidth="1"/>
    <col min="3842" max="3842" width="13" style="161" customWidth="1"/>
    <col min="3843" max="3843" width="18.5703125" style="161" customWidth="1"/>
    <col min="3844" max="3844" width="21.85546875" style="161" customWidth="1"/>
    <col min="3845" max="3845" width="25.28515625" style="161" bestFit="1" customWidth="1"/>
    <col min="3846" max="3846" width="21.140625" style="161" customWidth="1"/>
    <col min="3847" max="4095" width="9.140625" style="161"/>
    <col min="4096" max="4096" width="59.5703125" style="161" customWidth="1"/>
    <col min="4097" max="4097" width="14" style="161" customWidth="1"/>
    <col min="4098" max="4098" width="13" style="161" customWidth="1"/>
    <col min="4099" max="4099" width="18.5703125" style="161" customWidth="1"/>
    <col min="4100" max="4100" width="21.85546875" style="161" customWidth="1"/>
    <col min="4101" max="4101" width="25.28515625" style="161" bestFit="1" customWidth="1"/>
    <col min="4102" max="4102" width="21.140625" style="161" customWidth="1"/>
    <col min="4103" max="4351" width="9.140625" style="161"/>
    <col min="4352" max="4352" width="59.5703125" style="161" customWidth="1"/>
    <col min="4353" max="4353" width="14" style="161" customWidth="1"/>
    <col min="4354" max="4354" width="13" style="161" customWidth="1"/>
    <col min="4355" max="4355" width="18.5703125" style="161" customWidth="1"/>
    <col min="4356" max="4356" width="21.85546875" style="161" customWidth="1"/>
    <col min="4357" max="4357" width="25.28515625" style="161" bestFit="1" customWidth="1"/>
    <col min="4358" max="4358" width="21.140625" style="161" customWidth="1"/>
    <col min="4359" max="4607" width="9.140625" style="161"/>
    <col min="4608" max="4608" width="59.5703125" style="161" customWidth="1"/>
    <col min="4609" max="4609" width="14" style="161" customWidth="1"/>
    <col min="4610" max="4610" width="13" style="161" customWidth="1"/>
    <col min="4611" max="4611" width="18.5703125" style="161" customWidth="1"/>
    <col min="4612" max="4612" width="21.85546875" style="161" customWidth="1"/>
    <col min="4613" max="4613" width="25.28515625" style="161" bestFit="1" customWidth="1"/>
    <col min="4614" max="4614" width="21.140625" style="161" customWidth="1"/>
    <col min="4615" max="4863" width="9.140625" style="161"/>
    <col min="4864" max="4864" width="59.5703125" style="161" customWidth="1"/>
    <col min="4865" max="4865" width="14" style="161" customWidth="1"/>
    <col min="4866" max="4866" width="13" style="161" customWidth="1"/>
    <col min="4867" max="4867" width="18.5703125" style="161" customWidth="1"/>
    <col min="4868" max="4868" width="21.85546875" style="161" customWidth="1"/>
    <col min="4869" max="4869" width="25.28515625" style="161" bestFit="1" customWidth="1"/>
    <col min="4870" max="4870" width="21.140625" style="161" customWidth="1"/>
    <col min="4871" max="5119" width="9.140625" style="161"/>
    <col min="5120" max="5120" width="59.5703125" style="161" customWidth="1"/>
    <col min="5121" max="5121" width="14" style="161" customWidth="1"/>
    <col min="5122" max="5122" width="13" style="161" customWidth="1"/>
    <col min="5123" max="5123" width="18.5703125" style="161" customWidth="1"/>
    <col min="5124" max="5124" width="21.85546875" style="161" customWidth="1"/>
    <col min="5125" max="5125" width="25.28515625" style="161" bestFit="1" customWidth="1"/>
    <col min="5126" max="5126" width="21.140625" style="161" customWidth="1"/>
    <col min="5127" max="5375" width="9.140625" style="161"/>
    <col min="5376" max="5376" width="59.5703125" style="161" customWidth="1"/>
    <col min="5377" max="5377" width="14" style="161" customWidth="1"/>
    <col min="5378" max="5378" width="13" style="161" customWidth="1"/>
    <col min="5379" max="5379" width="18.5703125" style="161" customWidth="1"/>
    <col min="5380" max="5380" width="21.85546875" style="161" customWidth="1"/>
    <col min="5381" max="5381" width="25.28515625" style="161" bestFit="1" customWidth="1"/>
    <col min="5382" max="5382" width="21.140625" style="161" customWidth="1"/>
    <col min="5383" max="5631" width="9.140625" style="161"/>
    <col min="5632" max="5632" width="59.5703125" style="161" customWidth="1"/>
    <col min="5633" max="5633" width="14" style="161" customWidth="1"/>
    <col min="5634" max="5634" width="13" style="161" customWidth="1"/>
    <col min="5635" max="5635" width="18.5703125" style="161" customWidth="1"/>
    <col min="5636" max="5636" width="21.85546875" style="161" customWidth="1"/>
    <col min="5637" max="5637" width="25.28515625" style="161" bestFit="1" customWidth="1"/>
    <col min="5638" max="5638" width="21.140625" style="161" customWidth="1"/>
    <col min="5639" max="5887" width="9.140625" style="161"/>
    <col min="5888" max="5888" width="59.5703125" style="161" customWidth="1"/>
    <col min="5889" max="5889" width="14" style="161" customWidth="1"/>
    <col min="5890" max="5890" width="13" style="161" customWidth="1"/>
    <col min="5891" max="5891" width="18.5703125" style="161" customWidth="1"/>
    <col min="5892" max="5892" width="21.85546875" style="161" customWidth="1"/>
    <col min="5893" max="5893" width="25.28515625" style="161" bestFit="1" customWidth="1"/>
    <col min="5894" max="5894" width="21.140625" style="161" customWidth="1"/>
    <col min="5895" max="6143" width="9.140625" style="161"/>
    <col min="6144" max="6144" width="59.5703125" style="161" customWidth="1"/>
    <col min="6145" max="6145" width="14" style="161" customWidth="1"/>
    <col min="6146" max="6146" width="13" style="161" customWidth="1"/>
    <col min="6147" max="6147" width="18.5703125" style="161" customWidth="1"/>
    <col min="6148" max="6148" width="21.85546875" style="161" customWidth="1"/>
    <col min="6149" max="6149" width="25.28515625" style="161" bestFit="1" customWidth="1"/>
    <col min="6150" max="6150" width="21.140625" style="161" customWidth="1"/>
    <col min="6151" max="6399" width="9.140625" style="161"/>
    <col min="6400" max="6400" width="59.5703125" style="161" customWidth="1"/>
    <col min="6401" max="6401" width="14" style="161" customWidth="1"/>
    <col min="6402" max="6402" width="13" style="161" customWidth="1"/>
    <col min="6403" max="6403" width="18.5703125" style="161" customWidth="1"/>
    <col min="6404" max="6404" width="21.85546875" style="161" customWidth="1"/>
    <col min="6405" max="6405" width="25.28515625" style="161" bestFit="1" customWidth="1"/>
    <col min="6406" max="6406" width="21.140625" style="161" customWidth="1"/>
    <col min="6407" max="6655" width="9.140625" style="161"/>
    <col min="6656" max="6656" width="59.5703125" style="161" customWidth="1"/>
    <col min="6657" max="6657" width="14" style="161" customWidth="1"/>
    <col min="6658" max="6658" width="13" style="161" customWidth="1"/>
    <col min="6659" max="6659" width="18.5703125" style="161" customWidth="1"/>
    <col min="6660" max="6660" width="21.85546875" style="161" customWidth="1"/>
    <col min="6661" max="6661" width="25.28515625" style="161" bestFit="1" customWidth="1"/>
    <col min="6662" max="6662" width="21.140625" style="161" customWidth="1"/>
    <col min="6663" max="6911" width="9.140625" style="161"/>
    <col min="6912" max="6912" width="59.5703125" style="161" customWidth="1"/>
    <col min="6913" max="6913" width="14" style="161" customWidth="1"/>
    <col min="6914" max="6914" width="13" style="161" customWidth="1"/>
    <col min="6915" max="6915" width="18.5703125" style="161" customWidth="1"/>
    <col min="6916" max="6916" width="21.85546875" style="161" customWidth="1"/>
    <col min="6917" max="6917" width="25.28515625" style="161" bestFit="1" customWidth="1"/>
    <col min="6918" max="6918" width="21.140625" style="161" customWidth="1"/>
    <col min="6919" max="7167" width="9.140625" style="161"/>
    <col min="7168" max="7168" width="59.5703125" style="161" customWidth="1"/>
    <col min="7169" max="7169" width="14" style="161" customWidth="1"/>
    <col min="7170" max="7170" width="13" style="161" customWidth="1"/>
    <col min="7171" max="7171" width="18.5703125" style="161" customWidth="1"/>
    <col min="7172" max="7172" width="21.85546875" style="161" customWidth="1"/>
    <col min="7173" max="7173" width="25.28515625" style="161" bestFit="1" customWidth="1"/>
    <col min="7174" max="7174" width="21.140625" style="161" customWidth="1"/>
    <col min="7175" max="7423" width="9.140625" style="161"/>
    <col min="7424" max="7424" width="59.5703125" style="161" customWidth="1"/>
    <col min="7425" max="7425" width="14" style="161" customWidth="1"/>
    <col min="7426" max="7426" width="13" style="161" customWidth="1"/>
    <col min="7427" max="7427" width="18.5703125" style="161" customWidth="1"/>
    <col min="7428" max="7428" width="21.85546875" style="161" customWidth="1"/>
    <col min="7429" max="7429" width="25.28515625" style="161" bestFit="1" customWidth="1"/>
    <col min="7430" max="7430" width="21.140625" style="161" customWidth="1"/>
    <col min="7431" max="7679" width="9.140625" style="161"/>
    <col min="7680" max="7680" width="59.5703125" style="161" customWidth="1"/>
    <col min="7681" max="7681" width="14" style="161" customWidth="1"/>
    <col min="7682" max="7682" width="13" style="161" customWidth="1"/>
    <col min="7683" max="7683" width="18.5703125" style="161" customWidth="1"/>
    <col min="7684" max="7684" width="21.85546875" style="161" customWidth="1"/>
    <col min="7685" max="7685" width="25.28515625" style="161" bestFit="1" customWidth="1"/>
    <col min="7686" max="7686" width="21.140625" style="161" customWidth="1"/>
    <col min="7687" max="7935" width="9.140625" style="161"/>
    <col min="7936" max="7936" width="59.5703125" style="161" customWidth="1"/>
    <col min="7937" max="7937" width="14" style="161" customWidth="1"/>
    <col min="7938" max="7938" width="13" style="161" customWidth="1"/>
    <col min="7939" max="7939" width="18.5703125" style="161" customWidth="1"/>
    <col min="7940" max="7940" width="21.85546875" style="161" customWidth="1"/>
    <col min="7941" max="7941" width="25.28515625" style="161" bestFit="1" customWidth="1"/>
    <col min="7942" max="7942" width="21.140625" style="161" customWidth="1"/>
    <col min="7943" max="8191" width="9.140625" style="161"/>
    <col min="8192" max="8192" width="59.5703125" style="161" customWidth="1"/>
    <col min="8193" max="8193" width="14" style="161" customWidth="1"/>
    <col min="8194" max="8194" width="13" style="161" customWidth="1"/>
    <col min="8195" max="8195" width="18.5703125" style="161" customWidth="1"/>
    <col min="8196" max="8196" width="21.85546875" style="161" customWidth="1"/>
    <col min="8197" max="8197" width="25.28515625" style="161" bestFit="1" customWidth="1"/>
    <col min="8198" max="8198" width="21.140625" style="161" customWidth="1"/>
    <col min="8199" max="8447" width="9.140625" style="161"/>
    <col min="8448" max="8448" width="59.5703125" style="161" customWidth="1"/>
    <col min="8449" max="8449" width="14" style="161" customWidth="1"/>
    <col min="8450" max="8450" width="13" style="161" customWidth="1"/>
    <col min="8451" max="8451" width="18.5703125" style="161" customWidth="1"/>
    <col min="8452" max="8452" width="21.85546875" style="161" customWidth="1"/>
    <col min="8453" max="8453" width="25.28515625" style="161" bestFit="1" customWidth="1"/>
    <col min="8454" max="8454" width="21.140625" style="161" customWidth="1"/>
    <col min="8455" max="8703" width="9.140625" style="161"/>
    <col min="8704" max="8704" width="59.5703125" style="161" customWidth="1"/>
    <col min="8705" max="8705" width="14" style="161" customWidth="1"/>
    <col min="8706" max="8706" width="13" style="161" customWidth="1"/>
    <col min="8707" max="8707" width="18.5703125" style="161" customWidth="1"/>
    <col min="8708" max="8708" width="21.85546875" style="161" customWidth="1"/>
    <col min="8709" max="8709" width="25.28515625" style="161" bestFit="1" customWidth="1"/>
    <col min="8710" max="8710" width="21.140625" style="161" customWidth="1"/>
    <col min="8711" max="8959" width="9.140625" style="161"/>
    <col min="8960" max="8960" width="59.5703125" style="161" customWidth="1"/>
    <col min="8961" max="8961" width="14" style="161" customWidth="1"/>
    <col min="8962" max="8962" width="13" style="161" customWidth="1"/>
    <col min="8963" max="8963" width="18.5703125" style="161" customWidth="1"/>
    <col min="8964" max="8964" width="21.85546875" style="161" customWidth="1"/>
    <col min="8965" max="8965" width="25.28515625" style="161" bestFit="1" customWidth="1"/>
    <col min="8966" max="8966" width="21.140625" style="161" customWidth="1"/>
    <col min="8967" max="9215" width="9.140625" style="161"/>
    <col min="9216" max="9216" width="59.5703125" style="161" customWidth="1"/>
    <col min="9217" max="9217" width="14" style="161" customWidth="1"/>
    <col min="9218" max="9218" width="13" style="161" customWidth="1"/>
    <col min="9219" max="9219" width="18.5703125" style="161" customWidth="1"/>
    <col min="9220" max="9220" width="21.85546875" style="161" customWidth="1"/>
    <col min="9221" max="9221" width="25.28515625" style="161" bestFit="1" customWidth="1"/>
    <col min="9222" max="9222" width="21.140625" style="161" customWidth="1"/>
    <col min="9223" max="9471" width="9.140625" style="161"/>
    <col min="9472" max="9472" width="59.5703125" style="161" customWidth="1"/>
    <col min="9473" max="9473" width="14" style="161" customWidth="1"/>
    <col min="9474" max="9474" width="13" style="161" customWidth="1"/>
    <col min="9475" max="9475" width="18.5703125" style="161" customWidth="1"/>
    <col min="9476" max="9476" width="21.85546875" style="161" customWidth="1"/>
    <col min="9477" max="9477" width="25.28515625" style="161" bestFit="1" customWidth="1"/>
    <col min="9478" max="9478" width="21.140625" style="161" customWidth="1"/>
    <col min="9479" max="9727" width="9.140625" style="161"/>
    <col min="9728" max="9728" width="59.5703125" style="161" customWidth="1"/>
    <col min="9729" max="9729" width="14" style="161" customWidth="1"/>
    <col min="9730" max="9730" width="13" style="161" customWidth="1"/>
    <col min="9731" max="9731" width="18.5703125" style="161" customWidth="1"/>
    <col min="9732" max="9732" width="21.85546875" style="161" customWidth="1"/>
    <col min="9733" max="9733" width="25.28515625" style="161" bestFit="1" customWidth="1"/>
    <col min="9734" max="9734" width="21.140625" style="161" customWidth="1"/>
    <col min="9735" max="9983" width="9.140625" style="161"/>
    <col min="9984" max="9984" width="59.5703125" style="161" customWidth="1"/>
    <col min="9985" max="9985" width="14" style="161" customWidth="1"/>
    <col min="9986" max="9986" width="13" style="161" customWidth="1"/>
    <col min="9987" max="9987" width="18.5703125" style="161" customWidth="1"/>
    <col min="9988" max="9988" width="21.85546875" style="161" customWidth="1"/>
    <col min="9989" max="9989" width="25.28515625" style="161" bestFit="1" customWidth="1"/>
    <col min="9990" max="9990" width="21.140625" style="161" customWidth="1"/>
    <col min="9991" max="10239" width="9.140625" style="161"/>
    <col min="10240" max="10240" width="59.5703125" style="161" customWidth="1"/>
    <col min="10241" max="10241" width="14" style="161" customWidth="1"/>
    <col min="10242" max="10242" width="13" style="161" customWidth="1"/>
    <col min="10243" max="10243" width="18.5703125" style="161" customWidth="1"/>
    <col min="10244" max="10244" width="21.85546875" style="161" customWidth="1"/>
    <col min="10245" max="10245" width="25.28515625" style="161" bestFit="1" customWidth="1"/>
    <col min="10246" max="10246" width="21.140625" style="161" customWidth="1"/>
    <col min="10247" max="10495" width="9.140625" style="161"/>
    <col min="10496" max="10496" width="59.5703125" style="161" customWidth="1"/>
    <col min="10497" max="10497" width="14" style="161" customWidth="1"/>
    <col min="10498" max="10498" width="13" style="161" customWidth="1"/>
    <col min="10499" max="10499" width="18.5703125" style="161" customWidth="1"/>
    <col min="10500" max="10500" width="21.85546875" style="161" customWidth="1"/>
    <col min="10501" max="10501" width="25.28515625" style="161" bestFit="1" customWidth="1"/>
    <col min="10502" max="10502" width="21.140625" style="161" customWidth="1"/>
    <col min="10503" max="10751" width="9.140625" style="161"/>
    <col min="10752" max="10752" width="59.5703125" style="161" customWidth="1"/>
    <col min="10753" max="10753" width="14" style="161" customWidth="1"/>
    <col min="10754" max="10754" width="13" style="161" customWidth="1"/>
    <col min="10755" max="10755" width="18.5703125" style="161" customWidth="1"/>
    <col min="10756" max="10756" width="21.85546875" style="161" customWidth="1"/>
    <col min="10757" max="10757" width="25.28515625" style="161" bestFit="1" customWidth="1"/>
    <col min="10758" max="10758" width="21.140625" style="161" customWidth="1"/>
    <col min="10759" max="11007" width="9.140625" style="161"/>
    <col min="11008" max="11008" width="59.5703125" style="161" customWidth="1"/>
    <col min="11009" max="11009" width="14" style="161" customWidth="1"/>
    <col min="11010" max="11010" width="13" style="161" customWidth="1"/>
    <col min="11011" max="11011" width="18.5703125" style="161" customWidth="1"/>
    <col min="11012" max="11012" width="21.85546875" style="161" customWidth="1"/>
    <col min="11013" max="11013" width="25.28515625" style="161" bestFit="1" customWidth="1"/>
    <col min="11014" max="11014" width="21.140625" style="161" customWidth="1"/>
    <col min="11015" max="11263" width="9.140625" style="161"/>
    <col min="11264" max="11264" width="59.5703125" style="161" customWidth="1"/>
    <col min="11265" max="11265" width="14" style="161" customWidth="1"/>
    <col min="11266" max="11266" width="13" style="161" customWidth="1"/>
    <col min="11267" max="11267" width="18.5703125" style="161" customWidth="1"/>
    <col min="11268" max="11268" width="21.85546875" style="161" customWidth="1"/>
    <col min="11269" max="11269" width="25.28515625" style="161" bestFit="1" customWidth="1"/>
    <col min="11270" max="11270" width="21.140625" style="161" customWidth="1"/>
    <col min="11271" max="11519" width="9.140625" style="161"/>
    <col min="11520" max="11520" width="59.5703125" style="161" customWidth="1"/>
    <col min="11521" max="11521" width="14" style="161" customWidth="1"/>
    <col min="11522" max="11522" width="13" style="161" customWidth="1"/>
    <col min="11523" max="11523" width="18.5703125" style="161" customWidth="1"/>
    <col min="11524" max="11524" width="21.85546875" style="161" customWidth="1"/>
    <col min="11525" max="11525" width="25.28515625" style="161" bestFit="1" customWidth="1"/>
    <col min="11526" max="11526" width="21.140625" style="161" customWidth="1"/>
    <col min="11527" max="11775" width="9.140625" style="161"/>
    <col min="11776" max="11776" width="59.5703125" style="161" customWidth="1"/>
    <col min="11777" max="11777" width="14" style="161" customWidth="1"/>
    <col min="11778" max="11778" width="13" style="161" customWidth="1"/>
    <col min="11779" max="11779" width="18.5703125" style="161" customWidth="1"/>
    <col min="11780" max="11780" width="21.85546875" style="161" customWidth="1"/>
    <col min="11781" max="11781" width="25.28515625" style="161" bestFit="1" customWidth="1"/>
    <col min="11782" max="11782" width="21.140625" style="161" customWidth="1"/>
    <col min="11783" max="12031" width="9.140625" style="161"/>
    <col min="12032" max="12032" width="59.5703125" style="161" customWidth="1"/>
    <col min="12033" max="12033" width="14" style="161" customWidth="1"/>
    <col min="12034" max="12034" width="13" style="161" customWidth="1"/>
    <col min="12035" max="12035" width="18.5703125" style="161" customWidth="1"/>
    <col min="12036" max="12036" width="21.85546875" style="161" customWidth="1"/>
    <col min="12037" max="12037" width="25.28515625" style="161" bestFit="1" customWidth="1"/>
    <col min="12038" max="12038" width="21.140625" style="161" customWidth="1"/>
    <col min="12039" max="12287" width="9.140625" style="161"/>
    <col min="12288" max="12288" width="59.5703125" style="161" customWidth="1"/>
    <col min="12289" max="12289" width="14" style="161" customWidth="1"/>
    <col min="12290" max="12290" width="13" style="161" customWidth="1"/>
    <col min="12291" max="12291" width="18.5703125" style="161" customWidth="1"/>
    <col min="12292" max="12292" width="21.85546875" style="161" customWidth="1"/>
    <col min="12293" max="12293" width="25.28515625" style="161" bestFit="1" customWidth="1"/>
    <col min="12294" max="12294" width="21.140625" style="161" customWidth="1"/>
    <col min="12295" max="12543" width="9.140625" style="161"/>
    <col min="12544" max="12544" width="59.5703125" style="161" customWidth="1"/>
    <col min="12545" max="12545" width="14" style="161" customWidth="1"/>
    <col min="12546" max="12546" width="13" style="161" customWidth="1"/>
    <col min="12547" max="12547" width="18.5703125" style="161" customWidth="1"/>
    <col min="12548" max="12548" width="21.85546875" style="161" customWidth="1"/>
    <col min="12549" max="12549" width="25.28515625" style="161" bestFit="1" customWidth="1"/>
    <col min="12550" max="12550" width="21.140625" style="161" customWidth="1"/>
    <col min="12551" max="12799" width="9.140625" style="161"/>
    <col min="12800" max="12800" width="59.5703125" style="161" customWidth="1"/>
    <col min="12801" max="12801" width="14" style="161" customWidth="1"/>
    <col min="12802" max="12802" width="13" style="161" customWidth="1"/>
    <col min="12803" max="12803" width="18.5703125" style="161" customWidth="1"/>
    <col min="12804" max="12804" width="21.85546875" style="161" customWidth="1"/>
    <col min="12805" max="12805" width="25.28515625" style="161" bestFit="1" customWidth="1"/>
    <col min="12806" max="12806" width="21.140625" style="161" customWidth="1"/>
    <col min="12807" max="13055" width="9.140625" style="161"/>
    <col min="13056" max="13056" width="59.5703125" style="161" customWidth="1"/>
    <col min="13057" max="13057" width="14" style="161" customWidth="1"/>
    <col min="13058" max="13058" width="13" style="161" customWidth="1"/>
    <col min="13059" max="13059" width="18.5703125" style="161" customWidth="1"/>
    <col min="13060" max="13060" width="21.85546875" style="161" customWidth="1"/>
    <col min="13061" max="13061" width="25.28515625" style="161" bestFit="1" customWidth="1"/>
    <col min="13062" max="13062" width="21.140625" style="161" customWidth="1"/>
    <col min="13063" max="13311" width="9.140625" style="161"/>
    <col min="13312" max="13312" width="59.5703125" style="161" customWidth="1"/>
    <col min="13313" max="13313" width="14" style="161" customWidth="1"/>
    <col min="13314" max="13314" width="13" style="161" customWidth="1"/>
    <col min="13315" max="13315" width="18.5703125" style="161" customWidth="1"/>
    <col min="13316" max="13316" width="21.85546875" style="161" customWidth="1"/>
    <col min="13317" max="13317" width="25.28515625" style="161" bestFit="1" customWidth="1"/>
    <col min="13318" max="13318" width="21.140625" style="161" customWidth="1"/>
    <col min="13319" max="13567" width="9.140625" style="161"/>
    <col min="13568" max="13568" width="59.5703125" style="161" customWidth="1"/>
    <col min="13569" max="13569" width="14" style="161" customWidth="1"/>
    <col min="13570" max="13570" width="13" style="161" customWidth="1"/>
    <col min="13571" max="13571" width="18.5703125" style="161" customWidth="1"/>
    <col min="13572" max="13572" width="21.85546875" style="161" customWidth="1"/>
    <col min="13573" max="13573" width="25.28515625" style="161" bestFit="1" customWidth="1"/>
    <col min="13574" max="13574" width="21.140625" style="161" customWidth="1"/>
    <col min="13575" max="13823" width="9.140625" style="161"/>
    <col min="13824" max="13824" width="59.5703125" style="161" customWidth="1"/>
    <col min="13825" max="13825" width="14" style="161" customWidth="1"/>
    <col min="13826" max="13826" width="13" style="161" customWidth="1"/>
    <col min="13827" max="13827" width="18.5703125" style="161" customWidth="1"/>
    <col min="13828" max="13828" width="21.85546875" style="161" customWidth="1"/>
    <col min="13829" max="13829" width="25.28515625" style="161" bestFit="1" customWidth="1"/>
    <col min="13830" max="13830" width="21.140625" style="161" customWidth="1"/>
    <col min="13831" max="14079" width="9.140625" style="161"/>
    <col min="14080" max="14080" width="59.5703125" style="161" customWidth="1"/>
    <col min="14081" max="14081" width="14" style="161" customWidth="1"/>
    <col min="14082" max="14082" width="13" style="161" customWidth="1"/>
    <col min="14083" max="14083" width="18.5703125" style="161" customWidth="1"/>
    <col min="14084" max="14084" width="21.85546875" style="161" customWidth="1"/>
    <col min="14085" max="14085" width="25.28515625" style="161" bestFit="1" customWidth="1"/>
    <col min="14086" max="14086" width="21.140625" style="161" customWidth="1"/>
    <col min="14087" max="14335" width="9.140625" style="161"/>
    <col min="14336" max="14336" width="59.5703125" style="161" customWidth="1"/>
    <col min="14337" max="14337" width="14" style="161" customWidth="1"/>
    <col min="14338" max="14338" width="13" style="161" customWidth="1"/>
    <col min="14339" max="14339" width="18.5703125" style="161" customWidth="1"/>
    <col min="14340" max="14340" width="21.85546875" style="161" customWidth="1"/>
    <col min="14341" max="14341" width="25.28515625" style="161" bestFit="1" customWidth="1"/>
    <col min="14342" max="14342" width="21.140625" style="161" customWidth="1"/>
    <col min="14343" max="14591" width="9.140625" style="161"/>
    <col min="14592" max="14592" width="59.5703125" style="161" customWidth="1"/>
    <col min="14593" max="14593" width="14" style="161" customWidth="1"/>
    <col min="14594" max="14594" width="13" style="161" customWidth="1"/>
    <col min="14595" max="14595" width="18.5703125" style="161" customWidth="1"/>
    <col min="14596" max="14596" width="21.85546875" style="161" customWidth="1"/>
    <col min="14597" max="14597" width="25.28515625" style="161" bestFit="1" customWidth="1"/>
    <col min="14598" max="14598" width="21.140625" style="161" customWidth="1"/>
    <col min="14599" max="14847" width="9.140625" style="161"/>
    <col min="14848" max="14848" width="59.5703125" style="161" customWidth="1"/>
    <col min="14849" max="14849" width="14" style="161" customWidth="1"/>
    <col min="14850" max="14850" width="13" style="161" customWidth="1"/>
    <col min="14851" max="14851" width="18.5703125" style="161" customWidth="1"/>
    <col min="14852" max="14852" width="21.85546875" style="161" customWidth="1"/>
    <col min="14853" max="14853" width="25.28515625" style="161" bestFit="1" customWidth="1"/>
    <col min="14854" max="14854" width="21.140625" style="161" customWidth="1"/>
    <col min="14855" max="15103" width="9.140625" style="161"/>
    <col min="15104" max="15104" width="59.5703125" style="161" customWidth="1"/>
    <col min="15105" max="15105" width="14" style="161" customWidth="1"/>
    <col min="15106" max="15106" width="13" style="161" customWidth="1"/>
    <col min="15107" max="15107" width="18.5703125" style="161" customWidth="1"/>
    <col min="15108" max="15108" width="21.85546875" style="161" customWidth="1"/>
    <col min="15109" max="15109" width="25.28515625" style="161" bestFit="1" customWidth="1"/>
    <col min="15110" max="15110" width="21.140625" style="161" customWidth="1"/>
    <col min="15111" max="15359" width="9.140625" style="161"/>
    <col min="15360" max="15360" width="59.5703125" style="161" customWidth="1"/>
    <col min="15361" max="15361" width="14" style="161" customWidth="1"/>
    <col min="15362" max="15362" width="13" style="161" customWidth="1"/>
    <col min="15363" max="15363" width="18.5703125" style="161" customWidth="1"/>
    <col min="15364" max="15364" width="21.85546875" style="161" customWidth="1"/>
    <col min="15365" max="15365" width="25.28515625" style="161" bestFit="1" customWidth="1"/>
    <col min="15366" max="15366" width="21.140625" style="161" customWidth="1"/>
    <col min="15367" max="15615" width="9.140625" style="161"/>
    <col min="15616" max="15616" width="59.5703125" style="161" customWidth="1"/>
    <col min="15617" max="15617" width="14" style="161" customWidth="1"/>
    <col min="15618" max="15618" width="13" style="161" customWidth="1"/>
    <col min="15619" max="15619" width="18.5703125" style="161" customWidth="1"/>
    <col min="15620" max="15620" width="21.85546875" style="161" customWidth="1"/>
    <col min="15621" max="15621" width="25.28515625" style="161" bestFit="1" customWidth="1"/>
    <col min="15622" max="15622" width="21.140625" style="161" customWidth="1"/>
    <col min="15623" max="15871" width="9.140625" style="161"/>
    <col min="15872" max="15872" width="59.5703125" style="161" customWidth="1"/>
    <col min="15873" max="15873" width="14" style="161" customWidth="1"/>
    <col min="15874" max="15874" width="13" style="161" customWidth="1"/>
    <col min="15875" max="15875" width="18.5703125" style="161" customWidth="1"/>
    <col min="15876" max="15876" width="21.85546875" style="161" customWidth="1"/>
    <col min="15877" max="15877" width="25.28515625" style="161" bestFit="1" customWidth="1"/>
    <col min="15878" max="15878" width="21.140625" style="161" customWidth="1"/>
    <col min="15879" max="16127" width="9.140625" style="161"/>
    <col min="16128" max="16128" width="59.5703125" style="161" customWidth="1"/>
    <col min="16129" max="16129" width="14" style="161" customWidth="1"/>
    <col min="16130" max="16130" width="13" style="161" customWidth="1"/>
    <col min="16131" max="16131" width="18.5703125" style="161" customWidth="1"/>
    <col min="16132" max="16132" width="21.85546875" style="161" customWidth="1"/>
    <col min="16133" max="16133" width="25.28515625" style="161" bestFit="1" customWidth="1"/>
    <col min="16134" max="16134" width="21.140625" style="161" customWidth="1"/>
    <col min="16135" max="16384" width="9.140625" style="161"/>
  </cols>
  <sheetData>
    <row r="2" spans="1:11">
      <c r="A2" s="506"/>
      <c r="B2" s="506"/>
      <c r="C2" s="506"/>
      <c r="D2" s="506"/>
      <c r="E2" s="506"/>
      <c r="F2" s="506"/>
    </row>
    <row r="3" spans="1:11">
      <c r="A3" s="507" t="s">
        <v>978</v>
      </c>
      <c r="B3" s="507"/>
      <c r="C3" s="507"/>
      <c r="D3" s="507"/>
      <c r="E3" s="507"/>
      <c r="F3" s="507"/>
    </row>
    <row r="4" spans="1:11" hidden="1"/>
    <row r="5" spans="1:11">
      <c r="A5" s="508" t="s">
        <v>979</v>
      </c>
      <c r="B5" s="509">
        <v>4.05</v>
      </c>
      <c r="C5" s="510" t="s">
        <v>980</v>
      </c>
      <c r="D5" s="511"/>
      <c r="E5" s="511"/>
      <c r="F5" s="512"/>
    </row>
    <row r="6" spans="1:11" ht="40.5" customHeight="1">
      <c r="A6" s="508"/>
      <c r="B6" s="509"/>
      <c r="C6" s="513"/>
      <c r="D6" s="514"/>
      <c r="E6" s="514"/>
      <c r="F6" s="515"/>
      <c r="G6" s="162"/>
      <c r="H6" s="162"/>
      <c r="I6" s="162"/>
      <c r="J6" s="162"/>
      <c r="K6" s="162"/>
    </row>
    <row r="7" spans="1:11">
      <c r="A7" s="516"/>
      <c r="B7" s="516"/>
      <c r="C7" s="516"/>
      <c r="D7" s="516"/>
      <c r="E7" s="516"/>
      <c r="F7" s="516"/>
      <c r="G7" s="162"/>
      <c r="H7" s="162"/>
      <c r="I7" s="162"/>
      <c r="J7" s="162"/>
      <c r="K7" s="162"/>
    </row>
    <row r="8" spans="1:11" ht="25.5">
      <c r="A8" s="209" t="s">
        <v>981</v>
      </c>
      <c r="B8" s="209" t="s">
        <v>982</v>
      </c>
      <c r="C8" s="210" t="s">
        <v>983</v>
      </c>
      <c r="D8" s="209" t="s">
        <v>984</v>
      </c>
      <c r="E8" s="209" t="s">
        <v>985</v>
      </c>
      <c r="F8" s="209" t="s">
        <v>986</v>
      </c>
      <c r="G8" s="162"/>
      <c r="H8" s="162"/>
      <c r="I8" s="162"/>
      <c r="J8" s="162"/>
      <c r="K8" s="162"/>
    </row>
    <row r="9" spans="1:11" ht="17.25" customHeight="1">
      <c r="A9" s="503" t="s">
        <v>987</v>
      </c>
      <c r="B9" s="504"/>
      <c r="C9" s="504"/>
      <c r="D9" s="505"/>
      <c r="E9" s="163">
        <v>0.06</v>
      </c>
      <c r="F9" s="164"/>
      <c r="G9" s="162"/>
      <c r="H9" s="162"/>
      <c r="I9" s="162"/>
      <c r="J9" s="162"/>
      <c r="K9" s="162"/>
    </row>
    <row r="10" spans="1:11">
      <c r="A10" s="165" t="s">
        <v>9</v>
      </c>
      <c r="B10" s="166">
        <v>1306.21</v>
      </c>
      <c r="C10" s="167">
        <f>44*2</f>
        <v>88</v>
      </c>
      <c r="D10" s="168">
        <f>$B$5*C10</f>
        <v>356.4</v>
      </c>
      <c r="E10" s="166">
        <f>B10*$E$9</f>
        <v>78.372600000000006</v>
      </c>
      <c r="F10" s="166">
        <f>D10-E10</f>
        <v>278.02739999999994</v>
      </c>
      <c r="G10" s="162"/>
      <c r="H10" s="162"/>
      <c r="I10" s="162"/>
      <c r="J10" s="162"/>
      <c r="K10" s="162"/>
    </row>
    <row r="11" spans="1:11">
      <c r="A11" s="165" t="s">
        <v>13</v>
      </c>
      <c r="B11" s="166">
        <v>1922.74</v>
      </c>
      <c r="C11" s="167">
        <f t="shared" ref="C11:C14" si="0">44*2</f>
        <v>88</v>
      </c>
      <c r="D11" s="168">
        <f t="shared" ref="D11" si="1">$B$5*C11</f>
        <v>356.4</v>
      </c>
      <c r="E11" s="166">
        <f t="shared" ref="E11" si="2">B11*$E$9</f>
        <v>115.36439999999999</v>
      </c>
      <c r="F11" s="166">
        <f t="shared" ref="F11" si="3">D11-E11</f>
        <v>241.03559999999999</v>
      </c>
      <c r="G11" s="162"/>
      <c r="H11" s="162"/>
      <c r="I11" s="162"/>
      <c r="J11" s="162"/>
      <c r="K11" s="162"/>
    </row>
    <row r="12" spans="1:11">
      <c r="A12" s="165" t="s">
        <v>15</v>
      </c>
      <c r="B12" s="166">
        <v>1922.74</v>
      </c>
      <c r="C12" s="167">
        <f t="shared" si="0"/>
        <v>88</v>
      </c>
      <c r="D12" s="168">
        <f t="shared" ref="D12:D13" si="4">$B$5*C12</f>
        <v>356.4</v>
      </c>
      <c r="E12" s="166">
        <f t="shared" ref="E12:E13" si="5">B12*$E$9</f>
        <v>115.36439999999999</v>
      </c>
      <c r="F12" s="166">
        <f t="shared" ref="F12:F13" si="6">D12-E12</f>
        <v>241.03559999999999</v>
      </c>
      <c r="G12" s="162"/>
      <c r="H12" s="162"/>
      <c r="I12" s="162"/>
      <c r="J12" s="162"/>
      <c r="K12" s="162"/>
    </row>
    <row r="13" spans="1:11">
      <c r="A13" s="165" t="s">
        <v>17</v>
      </c>
      <c r="B13" s="166">
        <v>1922.74</v>
      </c>
      <c r="C13" s="167">
        <f t="shared" si="0"/>
        <v>88</v>
      </c>
      <c r="D13" s="168">
        <f t="shared" si="4"/>
        <v>356.4</v>
      </c>
      <c r="E13" s="166">
        <f t="shared" si="5"/>
        <v>115.36439999999999</v>
      </c>
      <c r="F13" s="166">
        <f t="shared" si="6"/>
        <v>241.03559999999999</v>
      </c>
      <c r="G13" s="162"/>
      <c r="H13" s="162"/>
      <c r="I13" s="162"/>
      <c r="J13" s="162"/>
      <c r="K13" s="162"/>
    </row>
    <row r="14" spans="1:11">
      <c r="A14" s="165" t="s">
        <v>19</v>
      </c>
      <c r="B14" s="166">
        <v>1949.77</v>
      </c>
      <c r="C14" s="167">
        <f t="shared" si="0"/>
        <v>88</v>
      </c>
      <c r="D14" s="168">
        <f t="shared" ref="D14" si="7">$B$5*C14</f>
        <v>356.4</v>
      </c>
      <c r="E14" s="166">
        <f t="shared" ref="E14" si="8">B14*$E$9</f>
        <v>116.9862</v>
      </c>
      <c r="F14" s="166">
        <f t="shared" ref="F14" si="9">D14-E14</f>
        <v>239.41379999999998</v>
      </c>
      <c r="G14" s="162"/>
      <c r="H14" s="162"/>
      <c r="I14" s="162"/>
      <c r="J14" s="162"/>
      <c r="K14" s="162"/>
    </row>
    <row r="15" spans="1:11">
      <c r="B15" s="169"/>
      <c r="C15" s="170"/>
      <c r="D15" s="171"/>
      <c r="E15" s="169"/>
      <c r="F15" s="169"/>
      <c r="G15" s="162"/>
      <c r="H15" s="162"/>
      <c r="I15" s="162"/>
      <c r="J15" s="162"/>
      <c r="K15" s="162"/>
    </row>
    <row r="16" spans="1:11">
      <c r="B16" s="169"/>
      <c r="C16" s="170"/>
      <c r="D16" s="171"/>
      <c r="E16" s="169"/>
      <c r="F16" s="169"/>
      <c r="G16" s="162"/>
      <c r="H16" s="162"/>
      <c r="I16" s="162"/>
      <c r="J16" s="162"/>
      <c r="K16" s="162"/>
    </row>
    <row r="17" spans="1:11">
      <c r="B17" s="169"/>
      <c r="C17" s="170"/>
      <c r="D17" s="171"/>
      <c r="E17" s="169"/>
      <c r="F17" s="169"/>
      <c r="G17" s="162"/>
      <c r="H17" s="162"/>
      <c r="I17" s="162"/>
      <c r="J17" s="162"/>
      <c r="K17" s="162"/>
    </row>
    <row r="18" spans="1:11">
      <c r="B18" s="169"/>
      <c r="C18" s="170"/>
      <c r="D18" s="171"/>
      <c r="E18" s="169"/>
      <c r="F18" s="169"/>
      <c r="G18" s="162"/>
      <c r="H18" s="162"/>
      <c r="I18" s="162"/>
      <c r="J18" s="162"/>
      <c r="K18" s="162"/>
    </row>
    <row r="19" spans="1:11">
      <c r="B19" s="169"/>
      <c r="C19" s="170"/>
      <c r="D19" s="171"/>
      <c r="E19" s="169"/>
      <c r="F19" s="169"/>
      <c r="G19" s="162"/>
      <c r="H19" s="162"/>
      <c r="I19" s="162"/>
      <c r="J19" s="162"/>
      <c r="K19" s="162"/>
    </row>
    <row r="20" spans="1:11">
      <c r="B20" s="169"/>
      <c r="C20" s="170"/>
      <c r="D20" s="171"/>
      <c r="E20" s="169"/>
      <c r="F20" s="169"/>
      <c r="G20" s="162"/>
      <c r="H20" s="162"/>
      <c r="I20" s="162"/>
      <c r="J20" s="162"/>
      <c r="K20" s="162"/>
    </row>
    <row r="21" spans="1:11">
      <c r="B21" s="169"/>
      <c r="C21" s="170"/>
      <c r="D21" s="171"/>
      <c r="E21" s="169"/>
      <c r="F21" s="169"/>
      <c r="G21" s="162"/>
      <c r="H21" s="162"/>
      <c r="I21" s="162"/>
      <c r="J21" s="162"/>
      <c r="K21" s="162"/>
    </row>
    <row r="22" spans="1:11">
      <c r="B22" s="169"/>
      <c r="C22" s="170"/>
      <c r="D22" s="171"/>
      <c r="E22" s="169"/>
      <c r="F22" s="169"/>
      <c r="G22" s="162"/>
      <c r="H22" s="162"/>
      <c r="I22" s="162"/>
      <c r="J22" s="162"/>
      <c r="K22" s="162"/>
    </row>
    <row r="23" spans="1:11">
      <c r="B23" s="169"/>
      <c r="C23" s="170"/>
      <c r="D23" s="171"/>
      <c r="E23" s="169"/>
      <c r="F23" s="169"/>
      <c r="G23" s="162"/>
      <c r="H23" s="162"/>
      <c r="I23" s="162"/>
      <c r="J23" s="162"/>
      <c r="K23" s="162"/>
    </row>
    <row r="24" spans="1:11">
      <c r="B24" s="169"/>
      <c r="C24" s="170"/>
      <c r="D24" s="171"/>
      <c r="E24" s="169"/>
      <c r="F24" s="169"/>
      <c r="G24" s="162"/>
      <c r="H24" s="162"/>
      <c r="I24" s="162"/>
      <c r="J24" s="162"/>
      <c r="K24" s="162"/>
    </row>
    <row r="25" spans="1:11">
      <c r="B25" s="169"/>
      <c r="C25" s="170"/>
      <c r="D25" s="171"/>
      <c r="E25" s="169"/>
      <c r="F25" s="169"/>
      <c r="G25" s="162"/>
      <c r="H25" s="162"/>
      <c r="I25" s="162"/>
      <c r="J25" s="162"/>
      <c r="K25" s="162"/>
    </row>
    <row r="26" spans="1:11">
      <c r="A26" s="170"/>
      <c r="B26" s="170"/>
      <c r="C26" s="172"/>
      <c r="D26" s="173"/>
      <c r="E26" s="173"/>
      <c r="F26" s="173"/>
    </row>
    <row r="27" spans="1:11" hidden="1">
      <c r="A27" s="174" t="s">
        <v>988</v>
      </c>
    </row>
    <row r="28" spans="1:11" hidden="1">
      <c r="A28" s="165" t="s">
        <v>989</v>
      </c>
      <c r="B28" s="175"/>
      <c r="C28" s="175"/>
      <c r="D28" s="175"/>
    </row>
    <row r="29" spans="1:11" hidden="1">
      <c r="A29" s="165" t="s">
        <v>201</v>
      </c>
      <c r="B29" s="176"/>
      <c r="C29" s="176"/>
      <c r="D29" s="176"/>
      <c r="F29" s="177"/>
    </row>
    <row r="30" spans="1:11" hidden="1">
      <c r="A30" s="165" t="s">
        <v>990</v>
      </c>
      <c r="B30" s="175"/>
      <c r="C30" s="175"/>
      <c r="D30" s="175"/>
    </row>
    <row r="31" spans="1:11" hidden="1">
      <c r="A31" s="178" t="s">
        <v>991</v>
      </c>
      <c r="B31" s="179"/>
      <c r="C31" s="179"/>
      <c r="D31" s="179"/>
      <c r="E31" s="180"/>
    </row>
    <row r="32" spans="1:11" hidden="1"/>
    <row r="139" spans="7:8">
      <c r="G139" s="181"/>
      <c r="H139" s="181"/>
    </row>
  </sheetData>
  <mergeCells count="7">
    <mergeCell ref="A9:D9"/>
    <mergeCell ref="A2:F2"/>
    <mergeCell ref="A3:F3"/>
    <mergeCell ref="A5:A6"/>
    <mergeCell ref="B5:B6"/>
    <mergeCell ref="C5:F6"/>
    <mergeCell ref="A7:F7"/>
  </mergeCells>
  <dataValidations disablePrompts="1" count="1">
    <dataValidation type="decimal" allowBlank="1" showInputMessage="1" showErrorMessage="1" promptTitle="Partic. do funcionário no ticket" prompt="Preencher com o valor da participação do funcionário no custeio do vale-alimentação." sqref="IW30:IZ30 SS30:SV30 ACO30:ACR30 AMK30:AMN30 AWG30:AWJ30 BGC30:BGF30 BPY30:BQB30 BZU30:BZX30 CJQ30:CJT30 CTM30:CTP30 DDI30:DDL30 DNE30:DNH30 DXA30:DXD30 EGW30:EGZ30 EQS30:EQV30 FAO30:FAR30 FKK30:FKN30 FUG30:FUJ30 GEC30:GEF30 GNY30:GOB30 GXU30:GXX30 HHQ30:HHT30 HRM30:HRP30 IBI30:IBL30 ILE30:ILH30 IVA30:IVD30 JEW30:JEZ30 JOS30:JOV30 JYO30:JYR30 KIK30:KIN30 KSG30:KSJ30 LCC30:LCF30 LLY30:LMB30 LVU30:LVX30 MFQ30:MFT30 MPM30:MPP30 MZI30:MZL30 NJE30:NJH30 NTA30:NTD30 OCW30:OCZ30 OMS30:OMV30 OWO30:OWR30 PGK30:PGN30 PQG30:PQJ30 QAC30:QAF30 QJY30:QKB30 QTU30:QTX30 RDQ30:RDT30 RNM30:RNP30 RXI30:RXL30 SHE30:SHH30 SRA30:SRD30 TAW30:TAZ30 TKS30:TKV30 TUO30:TUR30 UEK30:UEN30 UOG30:UOJ30 UYC30:UYF30 VHY30:VIB30 VRU30:VRX30 WBQ30:WBT30 WLM30:WLP30 WVI30:WVL30 IW65566:IZ65566 SS65566:SV65566 ACO65566:ACR65566 AMK65566:AMN65566 AWG65566:AWJ65566 BGC65566:BGF65566 BPY65566:BQB65566 BZU65566:BZX65566 CJQ65566:CJT65566 CTM65566:CTP65566 DDI65566:DDL65566 DNE65566:DNH65566 DXA65566:DXD65566 EGW65566:EGZ65566 EQS65566:EQV65566 FAO65566:FAR65566 FKK65566:FKN65566 FUG65566:FUJ65566 GEC65566:GEF65566 GNY65566:GOB65566 GXU65566:GXX65566 HHQ65566:HHT65566 HRM65566:HRP65566 IBI65566:IBL65566 ILE65566:ILH65566 IVA65566:IVD65566 JEW65566:JEZ65566 JOS65566:JOV65566 JYO65566:JYR65566 KIK65566:KIN65566 KSG65566:KSJ65566 LCC65566:LCF65566 LLY65566:LMB65566 LVU65566:LVX65566 MFQ65566:MFT65566 MPM65566:MPP65566 MZI65566:MZL65566 NJE65566:NJH65566 NTA65566:NTD65566 OCW65566:OCZ65566 OMS65566:OMV65566 OWO65566:OWR65566 PGK65566:PGN65566 PQG65566:PQJ65566 QAC65566:QAF65566 QJY65566:QKB65566 QTU65566:QTX65566 RDQ65566:RDT65566 RNM65566:RNP65566 RXI65566:RXL65566 SHE65566:SHH65566 SRA65566:SRD65566 TAW65566:TAZ65566 TKS65566:TKV65566 TUO65566:TUR65566 UEK65566:UEN65566 UOG65566:UOJ65566 UYC65566:UYF65566 VHY65566:VIB65566 VRU65566:VRX65566 WBQ65566:WBT65566 WLM65566:WLP65566 WVI65566:WVL65566 IW131102:IZ131102 SS131102:SV131102 ACO131102:ACR131102 AMK131102:AMN131102 AWG131102:AWJ131102 BGC131102:BGF131102 BPY131102:BQB131102 BZU131102:BZX131102 CJQ131102:CJT131102 CTM131102:CTP131102 DDI131102:DDL131102 DNE131102:DNH131102 DXA131102:DXD131102 EGW131102:EGZ131102 EQS131102:EQV131102 FAO131102:FAR131102 FKK131102:FKN131102 FUG131102:FUJ131102 GEC131102:GEF131102 GNY131102:GOB131102 GXU131102:GXX131102 HHQ131102:HHT131102 HRM131102:HRP131102 IBI131102:IBL131102 ILE131102:ILH131102 IVA131102:IVD131102 JEW131102:JEZ131102 JOS131102:JOV131102 JYO131102:JYR131102 KIK131102:KIN131102 KSG131102:KSJ131102 LCC131102:LCF131102 LLY131102:LMB131102 LVU131102:LVX131102 MFQ131102:MFT131102 MPM131102:MPP131102 MZI131102:MZL131102 NJE131102:NJH131102 NTA131102:NTD131102 OCW131102:OCZ131102 OMS131102:OMV131102 OWO131102:OWR131102 PGK131102:PGN131102 PQG131102:PQJ131102 QAC131102:QAF131102 QJY131102:QKB131102 QTU131102:QTX131102 RDQ131102:RDT131102 RNM131102:RNP131102 RXI131102:RXL131102 SHE131102:SHH131102 SRA131102:SRD131102 TAW131102:TAZ131102 TKS131102:TKV131102 TUO131102:TUR131102 UEK131102:UEN131102 UOG131102:UOJ131102 UYC131102:UYF131102 VHY131102:VIB131102 VRU131102:VRX131102 WBQ131102:WBT131102 WLM131102:WLP131102 WVI131102:WVL131102 IW196638:IZ196638 SS196638:SV196638 ACO196638:ACR196638 AMK196638:AMN196638 AWG196638:AWJ196638 BGC196638:BGF196638 BPY196638:BQB196638 BZU196638:BZX196638 CJQ196638:CJT196638 CTM196638:CTP196638 DDI196638:DDL196638 DNE196638:DNH196638 DXA196638:DXD196638 EGW196638:EGZ196638 EQS196638:EQV196638 FAO196638:FAR196638 FKK196638:FKN196638 FUG196638:FUJ196638 GEC196638:GEF196638 GNY196638:GOB196638 GXU196638:GXX196638 HHQ196638:HHT196638 HRM196638:HRP196638 IBI196638:IBL196638 ILE196638:ILH196638 IVA196638:IVD196638 JEW196638:JEZ196638 JOS196638:JOV196638 JYO196638:JYR196638 KIK196638:KIN196638 KSG196638:KSJ196638 LCC196638:LCF196638 LLY196638:LMB196638 LVU196638:LVX196638 MFQ196638:MFT196638 MPM196638:MPP196638 MZI196638:MZL196638 NJE196638:NJH196638 NTA196638:NTD196638 OCW196638:OCZ196638 OMS196638:OMV196638 OWO196638:OWR196638 PGK196638:PGN196638 PQG196638:PQJ196638 QAC196638:QAF196638 QJY196638:QKB196638 QTU196638:QTX196638 RDQ196638:RDT196638 RNM196638:RNP196638 RXI196638:RXL196638 SHE196638:SHH196638 SRA196638:SRD196638 TAW196638:TAZ196638 TKS196638:TKV196638 TUO196638:TUR196638 UEK196638:UEN196638 UOG196638:UOJ196638 UYC196638:UYF196638 VHY196638:VIB196638 VRU196638:VRX196638 WBQ196638:WBT196638 WLM196638:WLP196638 WVI196638:WVL196638 IW262174:IZ262174 SS262174:SV262174 ACO262174:ACR262174 AMK262174:AMN262174 AWG262174:AWJ262174 BGC262174:BGF262174 BPY262174:BQB262174 BZU262174:BZX262174 CJQ262174:CJT262174 CTM262174:CTP262174 DDI262174:DDL262174 DNE262174:DNH262174 DXA262174:DXD262174 EGW262174:EGZ262174 EQS262174:EQV262174 FAO262174:FAR262174 FKK262174:FKN262174 FUG262174:FUJ262174 GEC262174:GEF262174 GNY262174:GOB262174 GXU262174:GXX262174 HHQ262174:HHT262174 HRM262174:HRP262174 IBI262174:IBL262174 ILE262174:ILH262174 IVA262174:IVD262174 JEW262174:JEZ262174 JOS262174:JOV262174 JYO262174:JYR262174 KIK262174:KIN262174 KSG262174:KSJ262174 LCC262174:LCF262174 LLY262174:LMB262174 LVU262174:LVX262174 MFQ262174:MFT262174 MPM262174:MPP262174 MZI262174:MZL262174 NJE262174:NJH262174 NTA262174:NTD262174 OCW262174:OCZ262174 OMS262174:OMV262174 OWO262174:OWR262174 PGK262174:PGN262174 PQG262174:PQJ262174 QAC262174:QAF262174 QJY262174:QKB262174 QTU262174:QTX262174 RDQ262174:RDT262174 RNM262174:RNP262174 RXI262174:RXL262174 SHE262174:SHH262174 SRA262174:SRD262174 TAW262174:TAZ262174 TKS262174:TKV262174 TUO262174:TUR262174 UEK262174:UEN262174 UOG262174:UOJ262174 UYC262174:UYF262174 VHY262174:VIB262174 VRU262174:VRX262174 WBQ262174:WBT262174 WLM262174:WLP262174 WVI262174:WVL262174 IW327710:IZ327710 SS327710:SV327710 ACO327710:ACR327710 AMK327710:AMN327710 AWG327710:AWJ327710 BGC327710:BGF327710 BPY327710:BQB327710 BZU327710:BZX327710 CJQ327710:CJT327710 CTM327710:CTP327710 DDI327710:DDL327710 DNE327710:DNH327710 DXA327710:DXD327710 EGW327710:EGZ327710 EQS327710:EQV327710 FAO327710:FAR327710 FKK327710:FKN327710 FUG327710:FUJ327710 GEC327710:GEF327710 GNY327710:GOB327710 GXU327710:GXX327710 HHQ327710:HHT327710 HRM327710:HRP327710 IBI327710:IBL327710 ILE327710:ILH327710 IVA327710:IVD327710 JEW327710:JEZ327710 JOS327710:JOV327710 JYO327710:JYR327710 KIK327710:KIN327710 KSG327710:KSJ327710 LCC327710:LCF327710 LLY327710:LMB327710 LVU327710:LVX327710 MFQ327710:MFT327710 MPM327710:MPP327710 MZI327710:MZL327710 NJE327710:NJH327710 NTA327710:NTD327710 OCW327710:OCZ327710 OMS327710:OMV327710 OWO327710:OWR327710 PGK327710:PGN327710 PQG327710:PQJ327710 QAC327710:QAF327710 QJY327710:QKB327710 QTU327710:QTX327710 RDQ327710:RDT327710 RNM327710:RNP327710 RXI327710:RXL327710 SHE327710:SHH327710 SRA327710:SRD327710 TAW327710:TAZ327710 TKS327710:TKV327710 TUO327710:TUR327710 UEK327710:UEN327710 UOG327710:UOJ327710 UYC327710:UYF327710 VHY327710:VIB327710 VRU327710:VRX327710 WBQ327710:WBT327710 WLM327710:WLP327710 WVI327710:WVL327710 IW393246:IZ393246 SS393246:SV393246 ACO393246:ACR393246 AMK393246:AMN393246 AWG393246:AWJ393246 BGC393246:BGF393246 BPY393246:BQB393246 BZU393246:BZX393246 CJQ393246:CJT393246 CTM393246:CTP393246 DDI393246:DDL393246 DNE393246:DNH393246 DXA393246:DXD393246 EGW393246:EGZ393246 EQS393246:EQV393246 FAO393246:FAR393246 FKK393246:FKN393246 FUG393246:FUJ393246 GEC393246:GEF393246 GNY393246:GOB393246 GXU393246:GXX393246 HHQ393246:HHT393246 HRM393246:HRP393246 IBI393246:IBL393246 ILE393246:ILH393246 IVA393246:IVD393246 JEW393246:JEZ393246 JOS393246:JOV393246 JYO393246:JYR393246 KIK393246:KIN393246 KSG393246:KSJ393246 LCC393246:LCF393246 LLY393246:LMB393246 LVU393246:LVX393246 MFQ393246:MFT393246 MPM393246:MPP393246 MZI393246:MZL393246 NJE393246:NJH393246 NTA393246:NTD393246 OCW393246:OCZ393246 OMS393246:OMV393246 OWO393246:OWR393246 PGK393246:PGN393246 PQG393246:PQJ393246 QAC393246:QAF393246 QJY393246:QKB393246 QTU393246:QTX393246 RDQ393246:RDT393246 RNM393246:RNP393246 RXI393246:RXL393246 SHE393246:SHH393246 SRA393246:SRD393246 TAW393246:TAZ393246 TKS393246:TKV393246 TUO393246:TUR393246 UEK393246:UEN393246 UOG393246:UOJ393246 UYC393246:UYF393246 VHY393246:VIB393246 VRU393246:VRX393246 WBQ393246:WBT393246 WLM393246:WLP393246 WVI393246:WVL393246 IW458782:IZ458782 SS458782:SV458782 ACO458782:ACR458782 AMK458782:AMN458782 AWG458782:AWJ458782 BGC458782:BGF458782 BPY458782:BQB458782 BZU458782:BZX458782 CJQ458782:CJT458782 CTM458782:CTP458782 DDI458782:DDL458782 DNE458782:DNH458782 DXA458782:DXD458782 EGW458782:EGZ458782 EQS458782:EQV458782 FAO458782:FAR458782 FKK458782:FKN458782 FUG458782:FUJ458782 GEC458782:GEF458782 GNY458782:GOB458782 GXU458782:GXX458782 HHQ458782:HHT458782 HRM458782:HRP458782 IBI458782:IBL458782 ILE458782:ILH458782 IVA458782:IVD458782 JEW458782:JEZ458782 JOS458782:JOV458782 JYO458782:JYR458782 KIK458782:KIN458782 KSG458782:KSJ458782 LCC458782:LCF458782 LLY458782:LMB458782 LVU458782:LVX458782 MFQ458782:MFT458782 MPM458782:MPP458782 MZI458782:MZL458782 NJE458782:NJH458782 NTA458782:NTD458782 OCW458782:OCZ458782 OMS458782:OMV458782 OWO458782:OWR458782 PGK458782:PGN458782 PQG458782:PQJ458782 QAC458782:QAF458782 QJY458782:QKB458782 QTU458782:QTX458782 RDQ458782:RDT458782 RNM458782:RNP458782 RXI458782:RXL458782 SHE458782:SHH458782 SRA458782:SRD458782 TAW458782:TAZ458782 TKS458782:TKV458782 TUO458782:TUR458782 UEK458782:UEN458782 UOG458782:UOJ458782 UYC458782:UYF458782 VHY458782:VIB458782 VRU458782:VRX458782 WBQ458782:WBT458782 WLM458782:WLP458782 WVI458782:WVL458782 IW524318:IZ524318 SS524318:SV524318 ACO524318:ACR524318 AMK524318:AMN524318 AWG524318:AWJ524318 BGC524318:BGF524318 BPY524318:BQB524318 BZU524318:BZX524318 CJQ524318:CJT524318 CTM524318:CTP524318 DDI524318:DDL524318 DNE524318:DNH524318 DXA524318:DXD524318 EGW524318:EGZ524318 EQS524318:EQV524318 FAO524318:FAR524318 FKK524318:FKN524318 FUG524318:FUJ524318 GEC524318:GEF524318 GNY524318:GOB524318 GXU524318:GXX524318 HHQ524318:HHT524318 HRM524318:HRP524318 IBI524318:IBL524318 ILE524318:ILH524318 IVA524318:IVD524318 JEW524318:JEZ524318 JOS524318:JOV524318 JYO524318:JYR524318 KIK524318:KIN524318 KSG524318:KSJ524318 LCC524318:LCF524318 LLY524318:LMB524318 LVU524318:LVX524318 MFQ524318:MFT524318 MPM524318:MPP524318 MZI524318:MZL524318 NJE524318:NJH524318 NTA524318:NTD524318 OCW524318:OCZ524318 OMS524318:OMV524318 OWO524318:OWR524318 PGK524318:PGN524318 PQG524318:PQJ524318 QAC524318:QAF524318 QJY524318:QKB524318 QTU524318:QTX524318 RDQ524318:RDT524318 RNM524318:RNP524318 RXI524318:RXL524318 SHE524318:SHH524318 SRA524318:SRD524318 TAW524318:TAZ524318 TKS524318:TKV524318 TUO524318:TUR524318 UEK524318:UEN524318 UOG524318:UOJ524318 UYC524318:UYF524318 VHY524318:VIB524318 VRU524318:VRX524318 WBQ524318:WBT524318 WLM524318:WLP524318 WVI524318:WVL524318 IW589854:IZ589854 SS589854:SV589854 ACO589854:ACR589854 AMK589854:AMN589854 AWG589854:AWJ589854 BGC589854:BGF589854 BPY589854:BQB589854 BZU589854:BZX589854 CJQ589854:CJT589854 CTM589854:CTP589854 DDI589854:DDL589854 DNE589854:DNH589854 DXA589854:DXD589854 EGW589854:EGZ589854 EQS589854:EQV589854 FAO589854:FAR589854 FKK589854:FKN589854 FUG589854:FUJ589854 GEC589854:GEF589854 GNY589854:GOB589854 GXU589854:GXX589854 HHQ589854:HHT589854 HRM589854:HRP589854 IBI589854:IBL589854 ILE589854:ILH589854 IVA589854:IVD589854 JEW589854:JEZ589854 JOS589854:JOV589854 JYO589854:JYR589854 KIK589854:KIN589854 KSG589854:KSJ589854 LCC589854:LCF589854 LLY589854:LMB589854 LVU589854:LVX589854 MFQ589854:MFT589854 MPM589854:MPP589854 MZI589854:MZL589854 NJE589854:NJH589854 NTA589854:NTD589854 OCW589854:OCZ589854 OMS589854:OMV589854 OWO589854:OWR589854 PGK589854:PGN589854 PQG589854:PQJ589854 QAC589854:QAF589854 QJY589854:QKB589854 QTU589854:QTX589854 RDQ589854:RDT589854 RNM589854:RNP589854 RXI589854:RXL589854 SHE589854:SHH589854 SRA589854:SRD589854 TAW589854:TAZ589854 TKS589854:TKV589854 TUO589854:TUR589854 UEK589854:UEN589854 UOG589854:UOJ589854 UYC589854:UYF589854 VHY589854:VIB589854 VRU589854:VRX589854 WBQ589854:WBT589854 WLM589854:WLP589854 WVI589854:WVL589854 IW655390:IZ655390 SS655390:SV655390 ACO655390:ACR655390 AMK655390:AMN655390 AWG655390:AWJ655390 BGC655390:BGF655390 BPY655390:BQB655390 BZU655390:BZX655390 CJQ655390:CJT655390 CTM655390:CTP655390 DDI655390:DDL655390 DNE655390:DNH655390 DXA655390:DXD655390 EGW655390:EGZ655390 EQS655390:EQV655390 FAO655390:FAR655390 FKK655390:FKN655390 FUG655390:FUJ655390 GEC655390:GEF655390 GNY655390:GOB655390 GXU655390:GXX655390 HHQ655390:HHT655390 HRM655390:HRP655390 IBI655390:IBL655390 ILE655390:ILH655390 IVA655390:IVD655390 JEW655390:JEZ655390 JOS655390:JOV655390 JYO655390:JYR655390 KIK655390:KIN655390 KSG655390:KSJ655390 LCC655390:LCF655390 LLY655390:LMB655390 LVU655390:LVX655390 MFQ655390:MFT655390 MPM655390:MPP655390 MZI655390:MZL655390 NJE655390:NJH655390 NTA655390:NTD655390 OCW655390:OCZ655390 OMS655390:OMV655390 OWO655390:OWR655390 PGK655390:PGN655390 PQG655390:PQJ655390 QAC655390:QAF655390 QJY655390:QKB655390 QTU655390:QTX655390 RDQ655390:RDT655390 RNM655390:RNP655390 RXI655390:RXL655390 SHE655390:SHH655390 SRA655390:SRD655390 TAW655390:TAZ655390 TKS655390:TKV655390 TUO655390:TUR655390 UEK655390:UEN655390 UOG655390:UOJ655390 UYC655390:UYF655390 VHY655390:VIB655390 VRU655390:VRX655390 WBQ655390:WBT655390 WLM655390:WLP655390 WVI655390:WVL655390 IW720926:IZ720926 SS720926:SV720926 ACO720926:ACR720926 AMK720926:AMN720926 AWG720926:AWJ720926 BGC720926:BGF720926 BPY720926:BQB720926 BZU720926:BZX720926 CJQ720926:CJT720926 CTM720926:CTP720926 DDI720926:DDL720926 DNE720926:DNH720926 DXA720926:DXD720926 EGW720926:EGZ720926 EQS720926:EQV720926 FAO720926:FAR720926 FKK720926:FKN720926 FUG720926:FUJ720926 GEC720926:GEF720926 GNY720926:GOB720926 GXU720926:GXX720926 HHQ720926:HHT720926 HRM720926:HRP720926 IBI720926:IBL720926 ILE720926:ILH720926 IVA720926:IVD720926 JEW720926:JEZ720926 JOS720926:JOV720926 JYO720926:JYR720926 KIK720926:KIN720926 KSG720926:KSJ720926 LCC720926:LCF720926 LLY720926:LMB720926 LVU720926:LVX720926 MFQ720926:MFT720926 MPM720926:MPP720926 MZI720926:MZL720926 NJE720926:NJH720926 NTA720926:NTD720926 OCW720926:OCZ720926 OMS720926:OMV720926 OWO720926:OWR720926 PGK720926:PGN720926 PQG720926:PQJ720926 QAC720926:QAF720926 QJY720926:QKB720926 QTU720926:QTX720926 RDQ720926:RDT720926 RNM720926:RNP720926 RXI720926:RXL720926 SHE720926:SHH720926 SRA720926:SRD720926 TAW720926:TAZ720926 TKS720926:TKV720926 TUO720926:TUR720926 UEK720926:UEN720926 UOG720926:UOJ720926 UYC720926:UYF720926 VHY720926:VIB720926 VRU720926:VRX720926 WBQ720926:WBT720926 WLM720926:WLP720926 WVI720926:WVL720926 IW786462:IZ786462 SS786462:SV786462 ACO786462:ACR786462 AMK786462:AMN786462 AWG786462:AWJ786462 BGC786462:BGF786462 BPY786462:BQB786462 BZU786462:BZX786462 CJQ786462:CJT786462 CTM786462:CTP786462 DDI786462:DDL786462 DNE786462:DNH786462 DXA786462:DXD786462 EGW786462:EGZ786462 EQS786462:EQV786462 FAO786462:FAR786462 FKK786462:FKN786462 FUG786462:FUJ786462 GEC786462:GEF786462 GNY786462:GOB786462 GXU786462:GXX786462 HHQ786462:HHT786462 HRM786462:HRP786462 IBI786462:IBL786462 ILE786462:ILH786462 IVA786462:IVD786462 JEW786462:JEZ786462 JOS786462:JOV786462 JYO786462:JYR786462 KIK786462:KIN786462 KSG786462:KSJ786462 LCC786462:LCF786462 LLY786462:LMB786462 LVU786462:LVX786462 MFQ786462:MFT786462 MPM786462:MPP786462 MZI786462:MZL786462 NJE786462:NJH786462 NTA786462:NTD786462 OCW786462:OCZ786462 OMS786462:OMV786462 OWO786462:OWR786462 PGK786462:PGN786462 PQG786462:PQJ786462 QAC786462:QAF786462 QJY786462:QKB786462 QTU786462:QTX786462 RDQ786462:RDT786462 RNM786462:RNP786462 RXI786462:RXL786462 SHE786462:SHH786462 SRA786462:SRD786462 TAW786462:TAZ786462 TKS786462:TKV786462 TUO786462:TUR786462 UEK786462:UEN786462 UOG786462:UOJ786462 UYC786462:UYF786462 VHY786462:VIB786462 VRU786462:VRX786462 WBQ786462:WBT786462 WLM786462:WLP786462 WVI786462:WVL786462 IW851998:IZ851998 SS851998:SV851998 ACO851998:ACR851998 AMK851998:AMN851998 AWG851998:AWJ851998 BGC851998:BGF851998 BPY851998:BQB851998 BZU851998:BZX851998 CJQ851998:CJT851998 CTM851998:CTP851998 DDI851998:DDL851998 DNE851998:DNH851998 DXA851998:DXD851998 EGW851998:EGZ851998 EQS851998:EQV851998 FAO851998:FAR851998 FKK851998:FKN851998 FUG851998:FUJ851998 GEC851998:GEF851998 GNY851998:GOB851998 GXU851998:GXX851998 HHQ851998:HHT851998 HRM851998:HRP851998 IBI851998:IBL851998 ILE851998:ILH851998 IVA851998:IVD851998 JEW851998:JEZ851998 JOS851998:JOV851998 JYO851998:JYR851998 KIK851998:KIN851998 KSG851998:KSJ851998 LCC851998:LCF851998 LLY851998:LMB851998 LVU851998:LVX851998 MFQ851998:MFT851998 MPM851998:MPP851998 MZI851998:MZL851998 NJE851998:NJH851998 NTA851998:NTD851998 OCW851998:OCZ851998 OMS851998:OMV851998 OWO851998:OWR851998 PGK851998:PGN851998 PQG851998:PQJ851998 QAC851998:QAF851998 QJY851998:QKB851998 QTU851998:QTX851998 RDQ851998:RDT851998 RNM851998:RNP851998 RXI851998:RXL851998 SHE851998:SHH851998 SRA851998:SRD851998 TAW851998:TAZ851998 TKS851998:TKV851998 TUO851998:TUR851998 UEK851998:UEN851998 UOG851998:UOJ851998 UYC851998:UYF851998 VHY851998:VIB851998 VRU851998:VRX851998 WBQ851998:WBT851998 WLM851998:WLP851998 WVI851998:WVL851998 IW917534:IZ917534 SS917534:SV917534 ACO917534:ACR917534 AMK917534:AMN917534 AWG917534:AWJ917534 BGC917534:BGF917534 BPY917534:BQB917534 BZU917534:BZX917534 CJQ917534:CJT917534 CTM917534:CTP917534 DDI917534:DDL917534 DNE917534:DNH917534 DXA917534:DXD917534 EGW917534:EGZ917534 EQS917534:EQV917534 FAO917534:FAR917534 FKK917534:FKN917534 FUG917534:FUJ917534 GEC917534:GEF917534 GNY917534:GOB917534 GXU917534:GXX917534 HHQ917534:HHT917534 HRM917534:HRP917534 IBI917534:IBL917534 ILE917534:ILH917534 IVA917534:IVD917534 JEW917534:JEZ917534 JOS917534:JOV917534 JYO917534:JYR917534 KIK917534:KIN917534 KSG917534:KSJ917534 LCC917534:LCF917534 LLY917534:LMB917534 LVU917534:LVX917534 MFQ917534:MFT917534 MPM917534:MPP917534 MZI917534:MZL917534 NJE917534:NJH917534 NTA917534:NTD917534 OCW917534:OCZ917534 OMS917534:OMV917534 OWO917534:OWR917534 PGK917534:PGN917534 PQG917534:PQJ917534 QAC917534:QAF917534 QJY917534:QKB917534 QTU917534:QTX917534 RDQ917534:RDT917534 RNM917534:RNP917534 RXI917534:RXL917534 SHE917534:SHH917534 SRA917534:SRD917534 TAW917534:TAZ917534 TKS917534:TKV917534 TUO917534:TUR917534 UEK917534:UEN917534 UOG917534:UOJ917534 UYC917534:UYF917534 VHY917534:VIB917534 VRU917534:VRX917534 WBQ917534:WBT917534 WLM917534:WLP917534 WVI917534:WVL917534 IW983070:IZ983070 SS983070:SV983070 ACO983070:ACR983070 AMK983070:AMN983070 AWG983070:AWJ983070 BGC983070:BGF983070 BPY983070:BQB983070 BZU983070:BZX983070 CJQ983070:CJT983070 CTM983070:CTP983070 DDI983070:DDL983070 DNE983070:DNH983070 DXA983070:DXD983070 EGW983070:EGZ983070 EQS983070:EQV983070 FAO983070:FAR983070 FKK983070:FKN983070 FUG983070:FUJ983070 GEC983070:GEF983070 GNY983070:GOB983070 GXU983070:GXX983070 HHQ983070:HHT983070 HRM983070:HRP983070 IBI983070:IBL983070 ILE983070:ILH983070 IVA983070:IVD983070 JEW983070:JEZ983070 JOS983070:JOV983070 JYO983070:JYR983070 KIK983070:KIN983070 KSG983070:KSJ983070 LCC983070:LCF983070 LLY983070:LMB983070 LVU983070:LVX983070 MFQ983070:MFT983070 MPM983070:MPP983070 MZI983070:MZL983070 NJE983070:NJH983070 NTA983070:NTD983070 OCW983070:OCZ983070 OMS983070:OMV983070 OWO983070:OWR983070 PGK983070:PGN983070 PQG983070:PQJ983070 QAC983070:QAF983070 QJY983070:QKB983070 QTU983070:QTX983070 RDQ983070:RDT983070 RNM983070:RNP983070 RXI983070:RXL983070 SHE983070:SHH983070 SRA983070:SRD983070 TAW983070:TAZ983070 TKS983070:TKV983070 TUO983070:TUR983070 UEK983070:UEN983070 UOG983070:UOJ983070 UYC983070:UYF983070 VHY983070:VIB983070 VRU983070:VRX983070 WBQ983070:WBT983070 WLM983070:WLP983070 WVI983070:WVL983070 B983070:D983070 B917534:D917534 B851998:D851998 B786462:D786462 B720926:D720926 B655390:D655390 B589854:D589854 B524318:D524318 B458782:D458782 B393246:D393246 B327710:D327710 B262174:D262174 B196638:D196638 B131102:D131102 B65566:D65566 B30:D30">
      <formula1>0</formula1>
      <formula2>50</formula2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7"/>
  <sheetViews>
    <sheetView workbookViewId="0">
      <selection activeCell="A7" sqref="A7"/>
    </sheetView>
  </sheetViews>
  <sheetFormatPr defaultRowHeight="15"/>
  <cols>
    <col min="1" max="1" width="20" bestFit="1" customWidth="1"/>
    <col min="3" max="3" width="45" customWidth="1"/>
  </cols>
  <sheetData>
    <row r="1" spans="1:3" ht="17.25">
      <c r="A1" s="264" t="s">
        <v>58</v>
      </c>
      <c r="B1" s="264" t="s">
        <v>59</v>
      </c>
      <c r="C1" s="264" t="s">
        <v>60</v>
      </c>
    </row>
    <row r="2" spans="1:3" ht="135">
      <c r="A2" s="265" t="s">
        <v>992</v>
      </c>
      <c r="B2" s="144" t="s">
        <v>61</v>
      </c>
      <c r="C2" s="232" t="s">
        <v>62</v>
      </c>
    </row>
    <row r="3" spans="1:3" ht="45">
      <c r="A3" s="265" t="s">
        <v>63</v>
      </c>
      <c r="B3" s="144" t="s">
        <v>64</v>
      </c>
      <c r="C3" s="232" t="s">
        <v>65</v>
      </c>
    </row>
    <row r="4" spans="1:3" ht="105">
      <c r="A4" s="266" t="s">
        <v>66</v>
      </c>
      <c r="B4" s="144" t="s">
        <v>67</v>
      </c>
      <c r="C4" s="232" t="s">
        <v>68</v>
      </c>
    </row>
    <row r="5" spans="1:3" ht="135">
      <c r="A5" s="266" t="s">
        <v>69</v>
      </c>
      <c r="B5" s="144" t="s">
        <v>70</v>
      </c>
      <c r="C5" s="232" t="s">
        <v>71</v>
      </c>
    </row>
    <row r="6" spans="1:3" ht="150">
      <c r="A6" s="266" t="s">
        <v>72</v>
      </c>
      <c r="B6" s="295" t="s">
        <v>73</v>
      </c>
      <c r="C6" s="294" t="s">
        <v>74</v>
      </c>
    </row>
    <row r="7" spans="1:3" ht="90">
      <c r="A7" s="266" t="s">
        <v>993</v>
      </c>
      <c r="B7" s="144" t="s">
        <v>994</v>
      </c>
      <c r="C7" s="232" t="s">
        <v>995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N162"/>
  <sheetViews>
    <sheetView showGridLines="0" topLeftCell="A127" zoomScaleNormal="100" workbookViewId="0">
      <selection activeCell="K17" sqref="K17"/>
    </sheetView>
  </sheetViews>
  <sheetFormatPr defaultRowHeight="26.25" customHeight="1"/>
  <cols>
    <col min="1" max="1" width="2.7109375" customWidth="1"/>
    <col min="2" max="2" width="15" style="3" customWidth="1"/>
    <col min="3" max="3" width="13.42578125" customWidth="1"/>
    <col min="4" max="4" width="30.7109375" customWidth="1"/>
    <col min="5" max="5" width="15.7109375" customWidth="1"/>
    <col min="6" max="6" width="14.42578125" customWidth="1"/>
    <col min="7" max="7" width="19.140625" bestFit="1" customWidth="1"/>
    <col min="8" max="8" width="8.5703125" customWidth="1"/>
    <col min="9" max="9" width="14" customWidth="1"/>
    <col min="10" max="10" width="10.5703125" bestFit="1" customWidth="1"/>
    <col min="11" max="11" width="45.85546875" customWidth="1"/>
    <col min="12" max="12" width="10.5703125" bestFit="1" customWidth="1"/>
    <col min="13" max="13" width="9.5703125" bestFit="1" customWidth="1"/>
  </cols>
  <sheetData>
    <row r="1" spans="2:11" ht="15">
      <c r="B1" s="134" t="s">
        <v>75</v>
      </c>
      <c r="C1" s="438"/>
      <c r="D1" s="439"/>
      <c r="E1" s="2"/>
      <c r="F1" s="2"/>
    </row>
    <row r="2" spans="2:11" ht="15">
      <c r="B2" s="134" t="s">
        <v>76</v>
      </c>
      <c r="C2" s="440"/>
      <c r="D2" s="439"/>
      <c r="E2" s="2"/>
      <c r="F2" s="2"/>
    </row>
    <row r="3" spans="2:11" ht="15">
      <c r="C3" s="2"/>
      <c r="D3" s="2"/>
      <c r="E3" s="2"/>
      <c r="F3" s="2"/>
    </row>
    <row r="4" spans="2:11" ht="15">
      <c r="B4" s="441" t="s">
        <v>77</v>
      </c>
      <c r="C4" s="441"/>
      <c r="D4" s="441"/>
      <c r="E4" s="441"/>
      <c r="F4" s="441"/>
      <c r="G4" s="441"/>
    </row>
    <row r="5" spans="2:11" ht="15">
      <c r="C5" s="2"/>
    </row>
    <row r="6" spans="2:11" ht="15" customHeight="1">
      <c r="B6" s="85" t="s">
        <v>52</v>
      </c>
      <c r="C6" s="430" t="s">
        <v>78</v>
      </c>
      <c r="D6" s="430"/>
      <c r="E6" s="430"/>
      <c r="F6" s="442" t="s">
        <v>79</v>
      </c>
      <c r="G6" s="432"/>
      <c r="I6" s="69"/>
      <c r="J6" s="69"/>
      <c r="K6" s="69"/>
    </row>
    <row r="7" spans="2:11" ht="15">
      <c r="B7" s="85" t="s">
        <v>53</v>
      </c>
      <c r="C7" s="430" t="s">
        <v>80</v>
      </c>
      <c r="D7" s="430"/>
      <c r="E7" s="430"/>
      <c r="F7" s="443" t="s">
        <v>81</v>
      </c>
      <c r="G7" s="439"/>
      <c r="I7" s="69"/>
      <c r="J7" s="69"/>
      <c r="K7" s="69"/>
    </row>
    <row r="8" spans="2:11" ht="15">
      <c r="B8" s="85" t="s">
        <v>54</v>
      </c>
      <c r="C8" s="430" t="s">
        <v>82</v>
      </c>
      <c r="D8" s="430"/>
      <c r="E8" s="430"/>
      <c r="F8" s="431" t="s">
        <v>83</v>
      </c>
      <c r="G8" s="432"/>
      <c r="I8" s="69"/>
      <c r="J8" s="69"/>
      <c r="K8" s="69"/>
    </row>
    <row r="9" spans="2:11" ht="15">
      <c r="B9" s="85" t="s">
        <v>55</v>
      </c>
      <c r="C9" s="430" t="s">
        <v>84</v>
      </c>
      <c r="D9" s="430"/>
      <c r="E9" s="430"/>
      <c r="F9" s="431">
        <v>12</v>
      </c>
      <c r="G9" s="432"/>
      <c r="I9" s="69"/>
      <c r="J9" s="69"/>
      <c r="K9" s="69"/>
    </row>
    <row r="10" spans="2:11" ht="15">
      <c r="B10" s="85" t="s">
        <v>56</v>
      </c>
      <c r="C10" s="430" t="s">
        <v>85</v>
      </c>
      <c r="D10" s="430"/>
      <c r="E10" s="430"/>
      <c r="F10" s="443" t="s">
        <v>86</v>
      </c>
      <c r="G10" s="439"/>
      <c r="I10" s="69"/>
      <c r="J10" s="69"/>
      <c r="K10" s="69"/>
    </row>
    <row r="11" spans="2:11" ht="15">
      <c r="C11" s="2"/>
      <c r="D11" s="2"/>
      <c r="E11" s="2"/>
      <c r="F11" s="2"/>
      <c r="G11" s="3"/>
      <c r="I11" s="69"/>
      <c r="J11" s="69"/>
      <c r="K11" s="69"/>
    </row>
    <row r="12" spans="2:11" ht="15">
      <c r="B12" s="448" t="s">
        <v>87</v>
      </c>
      <c r="C12" s="448"/>
      <c r="D12" s="448"/>
      <c r="E12" s="448"/>
      <c r="F12" s="448"/>
      <c r="G12" s="448"/>
      <c r="I12" s="69"/>
      <c r="J12" s="69"/>
      <c r="K12" s="69"/>
    </row>
    <row r="13" spans="2:11" ht="36" customHeight="1">
      <c r="B13" s="445" t="s">
        <v>88</v>
      </c>
      <c r="C13" s="445"/>
      <c r="D13" s="445" t="s">
        <v>89</v>
      </c>
      <c r="E13" s="445"/>
      <c r="F13" s="446" t="s">
        <v>90</v>
      </c>
      <c r="G13" s="446"/>
    </row>
    <row r="14" spans="2:11" ht="15" customHeight="1">
      <c r="B14" s="449" t="s">
        <v>91</v>
      </c>
      <c r="C14" s="449"/>
      <c r="D14" s="450" t="s">
        <v>92</v>
      </c>
      <c r="E14" s="450"/>
      <c r="F14" s="451">
        <v>1</v>
      </c>
      <c r="G14" s="451"/>
    </row>
    <row r="15" spans="2:11" ht="18">
      <c r="B15" s="59"/>
      <c r="C15" s="4"/>
      <c r="D15" s="4"/>
      <c r="E15" s="4"/>
      <c r="F15" s="4"/>
    </row>
    <row r="16" spans="2:11" ht="15">
      <c r="B16" s="452" t="s">
        <v>93</v>
      </c>
      <c r="C16" s="452"/>
      <c r="D16" s="452"/>
      <c r="E16" s="452"/>
      <c r="F16" s="452"/>
      <c r="G16" s="452"/>
    </row>
    <row r="17" spans="2:7" ht="15">
      <c r="B17" s="5">
        <v>1</v>
      </c>
      <c r="C17" s="447" t="s">
        <v>94</v>
      </c>
      <c r="D17" s="447"/>
      <c r="E17" s="447"/>
      <c r="F17" s="447"/>
      <c r="G17" s="6" t="str">
        <f>B14</f>
        <v>Manutenção Predial</v>
      </c>
    </row>
    <row r="18" spans="2:7" ht="15">
      <c r="B18" s="51">
        <v>2</v>
      </c>
      <c r="C18" s="375" t="s">
        <v>95</v>
      </c>
      <c r="D18" s="375"/>
      <c r="E18" s="375"/>
      <c r="F18" s="375"/>
      <c r="G18" s="125">
        <v>1306.21</v>
      </c>
    </row>
    <row r="19" spans="2:7" s="77" customFormat="1" ht="15">
      <c r="B19" s="135">
        <v>3</v>
      </c>
      <c r="C19" s="444" t="s">
        <v>96</v>
      </c>
      <c r="D19" s="444"/>
      <c r="E19" s="444"/>
      <c r="F19" s="444"/>
      <c r="G19" s="136" t="s">
        <v>9</v>
      </c>
    </row>
    <row r="20" spans="2:7" ht="15">
      <c r="B20" s="51">
        <v>4</v>
      </c>
      <c r="C20" s="377" t="s">
        <v>97</v>
      </c>
      <c r="D20" s="378"/>
      <c r="E20" s="378"/>
      <c r="F20" s="379"/>
      <c r="G20" s="126" t="s">
        <v>86</v>
      </c>
    </row>
    <row r="21" spans="2:7" ht="15">
      <c r="B21" s="51">
        <v>5</v>
      </c>
      <c r="C21" s="375" t="s">
        <v>98</v>
      </c>
      <c r="D21" s="375"/>
      <c r="E21" s="375"/>
      <c r="F21" s="375"/>
      <c r="G21" s="127">
        <v>44440</v>
      </c>
    </row>
    <row r="22" spans="2:7" ht="15">
      <c r="C22" s="3"/>
      <c r="D22" s="436"/>
      <c r="E22" s="436"/>
      <c r="F22" s="436"/>
      <c r="G22" s="3"/>
    </row>
    <row r="23" spans="2:7" ht="15">
      <c r="B23" s="99">
        <v>1</v>
      </c>
      <c r="C23" s="433" t="s">
        <v>99</v>
      </c>
      <c r="D23" s="434"/>
      <c r="E23" s="435"/>
      <c r="F23" s="99" t="s">
        <v>100</v>
      </c>
      <c r="G23" s="99" t="s">
        <v>101</v>
      </c>
    </row>
    <row r="24" spans="2:7" ht="15">
      <c r="B24" s="8" t="s">
        <v>52</v>
      </c>
      <c r="C24" s="375" t="s">
        <v>102</v>
      </c>
      <c r="D24" s="375"/>
      <c r="E24" s="375"/>
      <c r="F24" s="8">
        <v>100</v>
      </c>
      <c r="G24" s="9">
        <f>G18</f>
        <v>1306.21</v>
      </c>
    </row>
    <row r="25" spans="2:7" ht="15">
      <c r="B25" s="8" t="s">
        <v>53</v>
      </c>
      <c r="C25" s="375" t="s">
        <v>103</v>
      </c>
      <c r="D25" s="375"/>
      <c r="E25" s="375"/>
      <c r="F25" s="10">
        <v>0</v>
      </c>
      <c r="G25" s="11">
        <v>0</v>
      </c>
    </row>
    <row r="26" spans="2:7" ht="15">
      <c r="B26" s="8" t="s">
        <v>54</v>
      </c>
      <c r="C26" s="375" t="s">
        <v>104</v>
      </c>
      <c r="D26" s="375"/>
      <c r="E26" s="375"/>
      <c r="F26" s="10"/>
      <c r="G26" s="11">
        <f>G24*F26</f>
        <v>0</v>
      </c>
    </row>
    <row r="27" spans="2:7" ht="15">
      <c r="B27" s="8" t="s">
        <v>55</v>
      </c>
      <c r="C27" s="375" t="s">
        <v>105</v>
      </c>
      <c r="D27" s="375"/>
      <c r="E27" s="375"/>
      <c r="F27" s="10"/>
      <c r="G27" s="11">
        <f>G26*F27</f>
        <v>0</v>
      </c>
    </row>
    <row r="28" spans="2:7" ht="15">
      <c r="B28" s="8" t="s">
        <v>106</v>
      </c>
      <c r="C28" s="375" t="s">
        <v>107</v>
      </c>
      <c r="D28" s="375"/>
      <c r="E28" s="375"/>
      <c r="F28" s="10"/>
      <c r="G28" s="11">
        <f>G27*F28</f>
        <v>0</v>
      </c>
    </row>
    <row r="29" spans="2:7" ht="15">
      <c r="B29" s="8" t="s">
        <v>108</v>
      </c>
      <c r="C29" s="375" t="s">
        <v>109</v>
      </c>
      <c r="D29" s="375"/>
      <c r="E29" s="375"/>
      <c r="F29" s="10">
        <v>0</v>
      </c>
      <c r="G29" s="11">
        <f>G28*F29</f>
        <v>0</v>
      </c>
    </row>
    <row r="30" spans="2:7" ht="15">
      <c r="B30" s="12" t="s">
        <v>110</v>
      </c>
      <c r="C30" s="437" t="s">
        <v>111</v>
      </c>
      <c r="D30" s="437"/>
      <c r="E30" s="437"/>
      <c r="F30" s="13">
        <v>0</v>
      </c>
      <c r="G30" s="14">
        <f>G24*F30</f>
        <v>0</v>
      </c>
    </row>
    <row r="31" spans="2:7" ht="15">
      <c r="B31" s="15"/>
      <c r="C31" s="421" t="s">
        <v>112</v>
      </c>
      <c r="D31" s="421"/>
      <c r="E31" s="421"/>
      <c r="F31" s="15"/>
      <c r="G31" s="16">
        <f>SUM(G24,G25,G26,G27,G28,G29,G30)</f>
        <v>1306.21</v>
      </c>
    </row>
    <row r="32" spans="2:7" ht="15" customHeight="1">
      <c r="C32" s="17"/>
      <c r="D32" s="17"/>
      <c r="E32" s="17"/>
      <c r="F32" s="3"/>
      <c r="G32" s="18"/>
    </row>
    <row r="33" spans="2:14" ht="15" customHeight="1">
      <c r="B33" s="422" t="s">
        <v>113</v>
      </c>
      <c r="C33" s="423"/>
      <c r="D33" s="423"/>
      <c r="E33" s="423"/>
      <c r="F33" s="423"/>
      <c r="G33" s="424"/>
      <c r="N33" s="69"/>
    </row>
    <row r="34" spans="2:14" ht="15">
      <c r="B34" s="17"/>
      <c r="C34" s="3"/>
      <c r="D34" s="3"/>
      <c r="E34" s="3"/>
      <c r="F34" s="3"/>
      <c r="G34" s="3"/>
      <c r="N34" s="69"/>
    </row>
    <row r="35" spans="2:14" ht="15" customHeight="1">
      <c r="B35" s="425" t="s">
        <v>114</v>
      </c>
      <c r="C35" s="425"/>
      <c r="D35" s="425"/>
      <c r="E35" s="425"/>
      <c r="F35" s="101" t="s">
        <v>100</v>
      </c>
      <c r="G35" s="101" t="s">
        <v>115</v>
      </c>
      <c r="N35" s="69"/>
    </row>
    <row r="36" spans="2:14" ht="15">
      <c r="B36" s="8" t="s">
        <v>52</v>
      </c>
      <c r="C36" s="399" t="s">
        <v>116</v>
      </c>
      <c r="D36" s="399"/>
      <c r="E36" s="399"/>
      <c r="F36" s="19">
        <v>8.3299999999999999E-2</v>
      </c>
      <c r="G36" s="20">
        <f>F36*G31</f>
        <v>108.807293</v>
      </c>
      <c r="N36" s="69"/>
    </row>
    <row r="37" spans="2:14" ht="15">
      <c r="B37" s="8" t="s">
        <v>53</v>
      </c>
      <c r="C37" s="399" t="s">
        <v>117</v>
      </c>
      <c r="D37" s="399"/>
      <c r="E37" s="399"/>
      <c r="F37" s="19">
        <f>(1/12)+((1/3)/12)</f>
        <v>0.1111111111111111</v>
      </c>
      <c r="G37" s="20">
        <f>F37*G31</f>
        <v>145.13444444444443</v>
      </c>
      <c r="N37" s="69"/>
    </row>
    <row r="38" spans="2:14" ht="15.75">
      <c r="B38" s="420" t="s">
        <v>118</v>
      </c>
      <c r="C38" s="420"/>
      <c r="D38" s="420"/>
      <c r="E38" s="420"/>
      <c r="F38" s="130">
        <f>SUM(F36:F37)</f>
        <v>0.19441111111111109</v>
      </c>
      <c r="G38" s="184">
        <f>SUM(G36:G37)</f>
        <v>253.94173744444441</v>
      </c>
      <c r="N38" s="69"/>
    </row>
    <row r="39" spans="2:14" ht="15.75">
      <c r="B39" s="22"/>
      <c r="C39" s="22"/>
      <c r="D39" s="22"/>
      <c r="E39" s="22"/>
      <c r="F39" s="23"/>
      <c r="G39" s="24"/>
      <c r="N39" s="69"/>
    </row>
    <row r="40" spans="2:14" ht="15">
      <c r="B40" s="425" t="s">
        <v>119</v>
      </c>
      <c r="C40" s="425"/>
      <c r="D40" s="425"/>
      <c r="E40" s="425"/>
      <c r="F40" s="101" t="s">
        <v>100</v>
      </c>
      <c r="G40" s="101" t="s">
        <v>115</v>
      </c>
      <c r="N40" s="69"/>
    </row>
    <row r="41" spans="2:14" ht="15">
      <c r="B41" s="8" t="s">
        <v>52</v>
      </c>
      <c r="C41" s="375" t="s">
        <v>120</v>
      </c>
      <c r="D41" s="375"/>
      <c r="E41" s="375"/>
      <c r="F41" s="19">
        <v>0.2</v>
      </c>
      <c r="G41" s="25">
        <f>($G$31+$G$38)*F41</f>
        <v>312.03034748888894</v>
      </c>
      <c r="N41" s="69"/>
    </row>
    <row r="42" spans="2:14" ht="15">
      <c r="B42" s="8" t="s">
        <v>53</v>
      </c>
      <c r="C42" s="375" t="s">
        <v>121</v>
      </c>
      <c r="D42" s="375"/>
      <c r="E42" s="375"/>
      <c r="F42" s="19">
        <v>2.5000000000000001E-2</v>
      </c>
      <c r="G42" s="25">
        <f t="shared" ref="G42:G48" si="0">($G$31+$G$38)*F42</f>
        <v>39.003793436111117</v>
      </c>
      <c r="N42" s="69"/>
    </row>
    <row r="43" spans="2:14" ht="15">
      <c r="B43" s="8" t="s">
        <v>54</v>
      </c>
      <c r="C43" s="375" t="s">
        <v>122</v>
      </c>
      <c r="D43" s="375"/>
      <c r="E43" s="375"/>
      <c r="F43" s="70">
        <v>0.03</v>
      </c>
      <c r="G43" s="25">
        <f t="shared" si="0"/>
        <v>46.80455212333333</v>
      </c>
      <c r="N43" s="69"/>
    </row>
    <row r="44" spans="2:14" ht="15">
      <c r="B44" s="8" t="s">
        <v>55</v>
      </c>
      <c r="C44" s="375" t="s">
        <v>123</v>
      </c>
      <c r="D44" s="375"/>
      <c r="E44" s="375"/>
      <c r="F44" s="19">
        <v>1.4999999999999999E-2</v>
      </c>
      <c r="G44" s="25">
        <f t="shared" si="0"/>
        <v>23.402276061666665</v>
      </c>
      <c r="N44" s="69"/>
    </row>
    <row r="45" spans="2:14" ht="15">
      <c r="B45" s="8" t="s">
        <v>56</v>
      </c>
      <c r="C45" s="375" t="s">
        <v>124</v>
      </c>
      <c r="D45" s="375"/>
      <c r="E45" s="375"/>
      <c r="F45" s="19">
        <v>0.01</v>
      </c>
      <c r="G45" s="25">
        <f t="shared" si="0"/>
        <v>15.601517374444445</v>
      </c>
      <c r="N45" s="69"/>
    </row>
    <row r="46" spans="2:14" ht="15">
      <c r="B46" s="8" t="s">
        <v>108</v>
      </c>
      <c r="C46" s="375" t="s">
        <v>125</v>
      </c>
      <c r="D46" s="375"/>
      <c r="E46" s="375"/>
      <c r="F46" s="19">
        <v>6.0000000000000001E-3</v>
      </c>
      <c r="G46" s="25">
        <f t="shared" si="0"/>
        <v>9.3609104246666668</v>
      </c>
      <c r="N46" s="69"/>
    </row>
    <row r="47" spans="2:14" ht="15">
      <c r="B47" s="8" t="s">
        <v>110</v>
      </c>
      <c r="C47" s="375" t="s">
        <v>126</v>
      </c>
      <c r="D47" s="375"/>
      <c r="E47" s="375"/>
      <c r="F47" s="19">
        <v>2E-3</v>
      </c>
      <c r="G47" s="25">
        <f t="shared" si="0"/>
        <v>3.1203034748888889</v>
      </c>
      <c r="N47" s="69"/>
    </row>
    <row r="48" spans="2:14" ht="15">
      <c r="B48" s="8" t="s">
        <v>127</v>
      </c>
      <c r="C48" s="375" t="s">
        <v>128</v>
      </c>
      <c r="D48" s="375"/>
      <c r="E48" s="375"/>
      <c r="F48" s="19">
        <v>0.08</v>
      </c>
      <c r="G48" s="25">
        <f t="shared" si="0"/>
        <v>124.81213899555556</v>
      </c>
      <c r="N48" s="69"/>
    </row>
    <row r="49" spans="2:14" ht="15.75">
      <c r="B49" s="420" t="s">
        <v>129</v>
      </c>
      <c r="C49" s="420"/>
      <c r="D49" s="420"/>
      <c r="E49" s="420"/>
      <c r="F49" s="128">
        <f>SUM(F41:F48)</f>
        <v>0.36800000000000005</v>
      </c>
      <c r="G49" s="129">
        <f>SUM(G41:G48)</f>
        <v>574.13583937955559</v>
      </c>
      <c r="N49" s="69"/>
    </row>
    <row r="50" spans="2:14" ht="15">
      <c r="B50" s="26"/>
      <c r="C50" s="27"/>
      <c r="D50" s="28"/>
      <c r="E50" s="28"/>
      <c r="F50" s="28"/>
      <c r="G50" s="29"/>
      <c r="N50" s="69"/>
    </row>
    <row r="51" spans="2:14" ht="15.75">
      <c r="B51" s="406" t="s">
        <v>130</v>
      </c>
      <c r="C51" s="407"/>
      <c r="D51" s="407"/>
      <c r="E51" s="407"/>
      <c r="F51" s="408"/>
      <c r="G51" s="100" t="s">
        <v>101</v>
      </c>
      <c r="N51" s="69"/>
    </row>
    <row r="52" spans="2:14" ht="15">
      <c r="B52" s="8" t="s">
        <v>52</v>
      </c>
      <c r="C52" s="375" t="s">
        <v>131</v>
      </c>
      <c r="D52" s="375"/>
      <c r="E52" s="375"/>
      <c r="F52" s="375"/>
      <c r="G52" s="25">
        <f>TRANSPORTE!$F$10</f>
        <v>278.02739999999994</v>
      </c>
      <c r="H52" s="31"/>
      <c r="I52" s="69"/>
      <c r="J52" s="69"/>
      <c r="K52" s="69"/>
      <c r="L52" s="69"/>
      <c r="M52" s="69"/>
      <c r="N52" s="69"/>
    </row>
    <row r="53" spans="2:14" ht="15">
      <c r="B53" s="56" t="s">
        <v>53</v>
      </c>
      <c r="C53" s="409" t="s">
        <v>132</v>
      </c>
      <c r="D53" s="409"/>
      <c r="E53" s="409"/>
      <c r="F53" s="409"/>
      <c r="G53" s="72">
        <v>300</v>
      </c>
      <c r="H53" s="71"/>
      <c r="I53" s="69"/>
      <c r="J53" s="69"/>
      <c r="K53" s="69"/>
      <c r="L53" s="69"/>
      <c r="M53" s="69"/>
      <c r="N53" s="69"/>
    </row>
    <row r="54" spans="2:14" ht="15">
      <c r="B54" s="8" t="s">
        <v>54</v>
      </c>
      <c r="C54" s="375" t="s">
        <v>133</v>
      </c>
      <c r="D54" s="375"/>
      <c r="E54" s="375"/>
      <c r="F54" s="375"/>
      <c r="G54" s="20">
        <f>'CAFÉ DA MANHÃ'!F9</f>
        <v>26.995000000000001</v>
      </c>
      <c r="I54" s="69"/>
      <c r="J54" s="69"/>
      <c r="K54" s="69"/>
      <c r="L54" s="69"/>
      <c r="M54" s="69"/>
      <c r="N54" s="69"/>
    </row>
    <row r="55" spans="2:14" ht="15">
      <c r="B55" s="8" t="s">
        <v>55</v>
      </c>
      <c r="C55" s="454" t="s">
        <v>134</v>
      </c>
      <c r="D55" s="455"/>
      <c r="E55" s="455"/>
      <c r="F55" s="456"/>
      <c r="G55" s="20">
        <v>4</v>
      </c>
      <c r="I55" s="69"/>
      <c r="J55" s="69"/>
      <c r="K55" s="69"/>
      <c r="L55" s="69"/>
      <c r="M55" s="69"/>
    </row>
    <row r="56" spans="2:14" ht="15">
      <c r="B56" s="8" t="s">
        <v>108</v>
      </c>
      <c r="C56" s="375" t="s">
        <v>135</v>
      </c>
      <c r="D56" s="375"/>
      <c r="E56" s="375"/>
      <c r="F56" s="375"/>
      <c r="G56" s="20">
        <v>0</v>
      </c>
    </row>
    <row r="57" spans="2:14" ht="15">
      <c r="B57" s="8"/>
      <c r="C57" s="426" t="s">
        <v>136</v>
      </c>
      <c r="D57" s="426"/>
      <c r="E57" s="426"/>
      <c r="F57" s="426"/>
      <c r="G57" s="131">
        <f>SUM(G52:G56)</f>
        <v>609.02239999999995</v>
      </c>
    </row>
    <row r="58" spans="2:14" ht="15">
      <c r="B58" s="86"/>
      <c r="C58" s="61"/>
      <c r="D58" s="61"/>
      <c r="E58" s="61"/>
      <c r="F58" s="61"/>
      <c r="G58" s="62"/>
    </row>
    <row r="59" spans="2:14" ht="15.75">
      <c r="B59" s="102">
        <v>2</v>
      </c>
      <c r="C59" s="396" t="s">
        <v>137</v>
      </c>
      <c r="D59" s="396"/>
      <c r="E59" s="396"/>
      <c r="F59" s="396"/>
      <c r="G59" s="103" t="s">
        <v>101</v>
      </c>
    </row>
    <row r="60" spans="2:14" ht="15.75">
      <c r="B60" s="74"/>
      <c r="C60" s="410"/>
      <c r="D60" s="410"/>
      <c r="E60" s="410"/>
      <c r="F60" s="410"/>
      <c r="G60" s="73" t="s">
        <v>138</v>
      </c>
    </row>
    <row r="61" spans="2:14" ht="15.75">
      <c r="B61" s="74" t="s">
        <v>23</v>
      </c>
      <c r="C61" s="410" t="s">
        <v>139</v>
      </c>
      <c r="D61" s="410"/>
      <c r="E61" s="410"/>
      <c r="F61" s="410"/>
      <c r="G61" s="75">
        <f>G38</f>
        <v>253.94173744444441</v>
      </c>
    </row>
    <row r="62" spans="2:14" ht="15.75">
      <c r="B62" s="74" t="s">
        <v>25</v>
      </c>
      <c r="C62" s="410" t="s">
        <v>140</v>
      </c>
      <c r="D62" s="410"/>
      <c r="E62" s="410"/>
      <c r="F62" s="410"/>
      <c r="G62" s="75">
        <f>G49</f>
        <v>574.13583937955559</v>
      </c>
    </row>
    <row r="63" spans="2:14" ht="15.75">
      <c r="B63" s="74" t="s">
        <v>141</v>
      </c>
      <c r="C63" s="410" t="s">
        <v>142</v>
      </c>
      <c r="D63" s="410"/>
      <c r="E63" s="410"/>
      <c r="F63" s="410"/>
      <c r="G63" s="75">
        <f>G57</f>
        <v>609.02239999999995</v>
      </c>
    </row>
    <row r="64" spans="2:14" ht="15.75">
      <c r="B64" s="411" t="s">
        <v>20</v>
      </c>
      <c r="C64" s="411"/>
      <c r="D64" s="411"/>
      <c r="E64" s="411"/>
      <c r="F64" s="411"/>
      <c r="G64" s="104">
        <f>SUM(G61:G63)</f>
        <v>1437.0999768239999</v>
      </c>
    </row>
    <row r="65" spans="2:13" ht="26.25" customHeight="1">
      <c r="B65" s="63"/>
      <c r="C65" s="63"/>
      <c r="D65" s="64"/>
    </row>
    <row r="66" spans="2:13" s="77" customFormat="1" ht="15">
      <c r="B66" s="412" t="s">
        <v>143</v>
      </c>
      <c r="C66" s="413"/>
      <c r="D66" s="413"/>
      <c r="E66" s="413"/>
      <c r="F66" s="413"/>
      <c r="G66" s="414"/>
    </row>
    <row r="67" spans="2:13" s="77" customFormat="1" ht="15">
      <c r="B67" s="415" t="s">
        <v>144</v>
      </c>
      <c r="C67" s="415"/>
      <c r="D67" s="415"/>
      <c r="E67" s="415"/>
      <c r="F67" s="105" t="s">
        <v>100</v>
      </c>
      <c r="G67" s="105" t="s">
        <v>115</v>
      </c>
      <c r="I67" s="79"/>
    </row>
    <row r="68" spans="2:13" s="77" customFormat="1" ht="31.5" customHeight="1">
      <c r="B68" s="82" t="s">
        <v>52</v>
      </c>
      <c r="C68" s="416" t="s">
        <v>145</v>
      </c>
      <c r="D68" s="416"/>
      <c r="E68" s="416"/>
      <c r="F68" s="80">
        <v>4.5999999999999999E-3</v>
      </c>
      <c r="G68" s="81">
        <f>ROUND(F68*$G$31,2)</f>
        <v>6.01</v>
      </c>
      <c r="I68"/>
      <c r="J68"/>
      <c r="K68"/>
      <c r="L68"/>
      <c r="M68"/>
    </row>
    <row r="69" spans="2:13" s="77" customFormat="1" ht="33" customHeight="1">
      <c r="B69" s="82" t="s">
        <v>53</v>
      </c>
      <c r="C69" s="416" t="s">
        <v>146</v>
      </c>
      <c r="D69" s="416"/>
      <c r="E69" s="416"/>
      <c r="F69" s="80">
        <v>8.9999999999999998E-4</v>
      </c>
      <c r="G69" s="81">
        <f t="shared" ref="G69:G73" si="1">ROUND(F69*$G$31,2)</f>
        <v>1.18</v>
      </c>
      <c r="H69" s="78"/>
      <c r="I69"/>
      <c r="J69"/>
      <c r="K69"/>
      <c r="L69"/>
      <c r="M69"/>
    </row>
    <row r="70" spans="2:13" s="77" customFormat="1" ht="15">
      <c r="B70" s="82" t="s">
        <v>54</v>
      </c>
      <c r="C70" s="416" t="s">
        <v>147</v>
      </c>
      <c r="D70" s="453"/>
      <c r="E70" s="453"/>
      <c r="F70" s="80">
        <v>2.2200000000000001E-2</v>
      </c>
      <c r="G70" s="81">
        <f t="shared" si="1"/>
        <v>29</v>
      </c>
      <c r="I70"/>
      <c r="J70"/>
      <c r="K70"/>
      <c r="L70"/>
      <c r="M70"/>
    </row>
    <row r="71" spans="2:13" s="77" customFormat="1" ht="48" customHeight="1">
      <c r="B71" s="82" t="s">
        <v>55</v>
      </c>
      <c r="C71" s="416" t="s">
        <v>148</v>
      </c>
      <c r="D71" s="416"/>
      <c r="E71" s="416"/>
      <c r="F71" s="80">
        <v>1.9400000000000001E-2</v>
      </c>
      <c r="G71" s="81">
        <f t="shared" si="1"/>
        <v>25.34</v>
      </c>
      <c r="I71"/>
      <c r="J71"/>
      <c r="K71"/>
      <c r="L71"/>
      <c r="M71"/>
    </row>
    <row r="72" spans="2:13" s="77" customFormat="1" ht="35.25" customHeight="1">
      <c r="B72" s="82" t="s">
        <v>56</v>
      </c>
      <c r="C72" s="416" t="s">
        <v>149</v>
      </c>
      <c r="D72" s="416"/>
      <c r="E72" s="416"/>
      <c r="F72" s="80">
        <f>ROUND(F49*F71,4)</f>
        <v>7.1000000000000004E-3</v>
      </c>
      <c r="G72" s="81">
        <f t="shared" si="1"/>
        <v>9.27</v>
      </c>
      <c r="H72" s="78"/>
      <c r="I72"/>
      <c r="J72"/>
      <c r="K72"/>
      <c r="L72"/>
      <c r="M72"/>
    </row>
    <row r="73" spans="2:13" s="77" customFormat="1" ht="33.75" customHeight="1">
      <c r="B73" s="82" t="s">
        <v>108</v>
      </c>
      <c r="C73" s="416" t="s">
        <v>150</v>
      </c>
      <c r="D73" s="453"/>
      <c r="E73" s="453"/>
      <c r="F73" s="80">
        <v>3.2000000000000001E-2</v>
      </c>
      <c r="G73" s="81">
        <f t="shared" si="1"/>
        <v>41.8</v>
      </c>
      <c r="I73"/>
      <c r="J73"/>
      <c r="K73"/>
      <c r="L73"/>
      <c r="M73"/>
    </row>
    <row r="74" spans="2:13" s="77" customFormat="1" ht="15.75">
      <c r="B74" s="417" t="s">
        <v>151</v>
      </c>
      <c r="C74" s="417"/>
      <c r="D74" s="417"/>
      <c r="E74" s="417"/>
      <c r="F74" s="106">
        <f>SUM(F68:F73)</f>
        <v>8.6199999999999999E-2</v>
      </c>
      <c r="G74" s="107">
        <f>SUM(G68:G73)</f>
        <v>112.6</v>
      </c>
      <c r="I74"/>
      <c r="J74"/>
      <c r="K74"/>
      <c r="L74"/>
      <c r="M74"/>
    </row>
    <row r="75" spans="2:13" ht="26.25" customHeight="1">
      <c r="B75" s="22"/>
      <c r="C75" s="22"/>
      <c r="D75" s="22"/>
      <c r="E75" s="22"/>
      <c r="F75" s="23"/>
      <c r="G75" s="18"/>
    </row>
    <row r="76" spans="2:13" ht="15.75">
      <c r="B76" s="418" t="s">
        <v>152</v>
      </c>
      <c r="C76" s="418"/>
      <c r="D76" s="418"/>
      <c r="E76" s="418"/>
      <c r="F76" s="418"/>
      <c r="G76" s="418"/>
    </row>
    <row r="77" spans="2:13" ht="15">
      <c r="B77" s="419" t="s">
        <v>153</v>
      </c>
      <c r="C77" s="419"/>
      <c r="D77" s="419"/>
      <c r="E77" s="419"/>
      <c r="F77" s="5" t="s">
        <v>100</v>
      </c>
      <c r="G77" s="5" t="s">
        <v>115</v>
      </c>
    </row>
    <row r="78" spans="2:13" ht="15">
      <c r="B78" s="32" t="s">
        <v>52</v>
      </c>
      <c r="C78" s="399" t="s">
        <v>154</v>
      </c>
      <c r="D78" s="399"/>
      <c r="E78" s="399"/>
      <c r="F78" s="33">
        <v>8.3299999999999999E-2</v>
      </c>
      <c r="G78" s="34">
        <f>G$31*F78</f>
        <v>108.807293</v>
      </c>
      <c r="I78" s="21"/>
      <c r="J78" s="21"/>
    </row>
    <row r="79" spans="2:13" ht="15">
      <c r="B79" s="32" t="s">
        <v>53</v>
      </c>
      <c r="C79" s="377" t="s">
        <v>155</v>
      </c>
      <c r="D79" s="377"/>
      <c r="E79" s="35"/>
      <c r="F79" s="36">
        <v>1.7500000000000002E-2</v>
      </c>
      <c r="G79" s="34">
        <f t="shared" ref="G79:G83" si="2">G$31*F79</f>
        <v>22.858675000000002</v>
      </c>
      <c r="J79" s="21"/>
      <c r="K79" s="21"/>
    </row>
    <row r="80" spans="2:13" ht="15">
      <c r="B80" s="32" t="s">
        <v>54</v>
      </c>
      <c r="C80" s="377" t="s">
        <v>156</v>
      </c>
      <c r="D80" s="377"/>
      <c r="E80" s="35"/>
      <c r="F80" s="36">
        <v>5.0000000000000001E-4</v>
      </c>
      <c r="G80" s="34">
        <f t="shared" si="2"/>
        <v>0.65310500000000005</v>
      </c>
      <c r="J80" s="21"/>
    </row>
    <row r="81" spans="2:10" ht="15">
      <c r="B81" s="32" t="s">
        <v>55</v>
      </c>
      <c r="C81" s="377" t="s">
        <v>157</v>
      </c>
      <c r="D81" s="377"/>
      <c r="E81" s="35"/>
      <c r="F81" s="36">
        <v>4.0000000000000002E-4</v>
      </c>
      <c r="G81" s="34">
        <f t="shared" si="2"/>
        <v>0.52248400000000006</v>
      </c>
      <c r="J81" s="21"/>
    </row>
    <row r="82" spans="2:10" ht="15">
      <c r="B82" s="32" t="s">
        <v>56</v>
      </c>
      <c r="C82" s="377" t="s">
        <v>158</v>
      </c>
      <c r="D82" s="377"/>
      <c r="E82" s="35"/>
      <c r="F82" s="36">
        <v>4.0000000000000002E-4</v>
      </c>
      <c r="G82" s="34">
        <f t="shared" si="2"/>
        <v>0.52248400000000006</v>
      </c>
      <c r="J82" s="21"/>
    </row>
    <row r="83" spans="2:10" ht="15">
      <c r="B83" s="32" t="s">
        <v>108</v>
      </c>
      <c r="C83" s="377" t="s">
        <v>159</v>
      </c>
      <c r="D83" s="377"/>
      <c r="E83" s="35"/>
      <c r="F83" s="36">
        <v>0</v>
      </c>
      <c r="G83" s="34">
        <f t="shared" si="2"/>
        <v>0</v>
      </c>
    </row>
    <row r="84" spans="2:10" ht="15.75">
      <c r="B84" s="420" t="s">
        <v>160</v>
      </c>
      <c r="C84" s="420"/>
      <c r="D84" s="420"/>
      <c r="E84" s="420"/>
      <c r="F84" s="108">
        <f>SUM(F78:F83)</f>
        <v>0.1021</v>
      </c>
      <c r="G84" s="109">
        <f>SUM(G78:G83)</f>
        <v>133.36404099999999</v>
      </c>
      <c r="J84" s="21"/>
    </row>
    <row r="85" spans="2:10" ht="15.75">
      <c r="B85" s="65"/>
      <c r="C85" s="65"/>
      <c r="D85" s="65"/>
      <c r="E85" s="65"/>
      <c r="F85" s="66"/>
      <c r="G85" s="67"/>
      <c r="J85" s="21"/>
    </row>
    <row r="86" spans="2:10" ht="15">
      <c r="J86" s="21"/>
    </row>
    <row r="87" spans="2:10" ht="15.75">
      <c r="B87" s="103" t="s">
        <v>161</v>
      </c>
      <c r="C87" s="396" t="s">
        <v>162</v>
      </c>
      <c r="D87" s="396"/>
      <c r="E87" s="396"/>
      <c r="F87" s="396"/>
      <c r="G87" s="110" t="s">
        <v>101</v>
      </c>
      <c r="J87" s="21"/>
    </row>
    <row r="88" spans="2:10" ht="15.75">
      <c r="B88" s="74"/>
      <c r="C88" s="410"/>
      <c r="D88" s="410"/>
      <c r="E88" s="410"/>
      <c r="F88" s="410"/>
      <c r="G88" s="83" t="s">
        <v>138</v>
      </c>
      <c r="J88" s="21"/>
    </row>
    <row r="89" spans="2:10" ht="15.75">
      <c r="B89" s="73" t="s">
        <v>52</v>
      </c>
      <c r="C89" s="410" t="s">
        <v>163</v>
      </c>
      <c r="D89" s="410"/>
      <c r="E89" s="410"/>
      <c r="F89" s="410"/>
      <c r="G89" s="84">
        <v>0</v>
      </c>
      <c r="J89" s="21"/>
    </row>
    <row r="90" spans="2:10" ht="15.75">
      <c r="B90" s="393" t="s">
        <v>20</v>
      </c>
      <c r="C90" s="394"/>
      <c r="D90" s="394"/>
      <c r="E90" s="394"/>
      <c r="F90" s="395"/>
      <c r="G90" s="84">
        <v>0</v>
      </c>
      <c r="J90" s="21"/>
    </row>
    <row r="91" spans="2:10" ht="15">
      <c r="J91" s="21"/>
    </row>
    <row r="92" spans="2:10" ht="15.75">
      <c r="B92" s="103">
        <v>4</v>
      </c>
      <c r="C92" s="396" t="s">
        <v>164</v>
      </c>
      <c r="D92" s="396"/>
      <c r="E92" s="396"/>
      <c r="F92" s="396"/>
      <c r="G92" s="110" t="s">
        <v>101</v>
      </c>
      <c r="J92" s="21"/>
    </row>
    <row r="93" spans="2:10" ht="15.75">
      <c r="B93" s="74"/>
      <c r="C93" s="410"/>
      <c r="D93" s="410"/>
      <c r="E93" s="410"/>
      <c r="F93" s="410"/>
      <c r="G93" s="83" t="s">
        <v>138</v>
      </c>
      <c r="J93" s="21"/>
    </row>
    <row r="94" spans="2:10" ht="15.75">
      <c r="B94" s="74" t="s">
        <v>41</v>
      </c>
      <c r="C94" s="410" t="s">
        <v>165</v>
      </c>
      <c r="D94" s="410"/>
      <c r="E94" s="410"/>
      <c r="F94" s="410"/>
      <c r="G94" s="75">
        <f>G84</f>
        <v>133.36404099999999</v>
      </c>
      <c r="J94" s="21"/>
    </row>
    <row r="95" spans="2:10" ht="15.75">
      <c r="B95" s="74" t="s">
        <v>161</v>
      </c>
      <c r="C95" s="410" t="s">
        <v>162</v>
      </c>
      <c r="D95" s="410"/>
      <c r="E95" s="410"/>
      <c r="F95" s="410"/>
      <c r="G95" s="84">
        <v>0</v>
      </c>
      <c r="J95" s="21"/>
    </row>
    <row r="96" spans="2:10" s="37" customFormat="1" ht="15.75">
      <c r="B96" s="393" t="s">
        <v>20</v>
      </c>
      <c r="C96" s="394"/>
      <c r="D96" s="394"/>
      <c r="E96" s="394"/>
      <c r="F96" s="395"/>
      <c r="G96" s="76">
        <f>SUM(G94:G95)</f>
        <v>133.36404099999999</v>
      </c>
    </row>
    <row r="97" spans="2:7" s="37" customFormat="1" ht="15.75">
      <c r="B97" s="68"/>
      <c r="C97" s="68"/>
      <c r="D97" s="68"/>
      <c r="E97" s="68"/>
      <c r="F97" s="68"/>
      <c r="G97" s="88"/>
    </row>
    <row r="98" spans="2:7" s="37" customFormat="1" ht="12.75">
      <c r="B98" s="397" t="s">
        <v>166</v>
      </c>
      <c r="C98" s="397"/>
      <c r="D98" s="397"/>
      <c r="E98" s="397"/>
      <c r="F98" s="397"/>
      <c r="G98" s="397"/>
    </row>
    <row r="99" spans="2:7" ht="15.75">
      <c r="B99" s="398" t="s">
        <v>167</v>
      </c>
      <c r="C99" s="398"/>
      <c r="D99" s="398"/>
      <c r="E99" s="398"/>
      <c r="F99" s="398"/>
      <c r="G99" s="90" t="s">
        <v>101</v>
      </c>
    </row>
    <row r="100" spans="2:7" ht="15">
      <c r="B100" s="85" t="s">
        <v>52</v>
      </c>
      <c r="C100" s="430" t="s">
        <v>168</v>
      </c>
      <c r="D100" s="430"/>
      <c r="E100" s="430"/>
      <c r="F100" s="430"/>
      <c r="G100" s="91">
        <f>UNIFORME!E8</f>
        <v>34.266666666666666</v>
      </c>
    </row>
    <row r="101" spans="2:7" ht="15">
      <c r="B101" s="26" t="s">
        <v>53</v>
      </c>
      <c r="C101" s="427" t="s">
        <v>169</v>
      </c>
      <c r="D101" s="428"/>
      <c r="E101" s="428"/>
      <c r="F101" s="429"/>
      <c r="G101" s="89">
        <v>0</v>
      </c>
    </row>
    <row r="102" spans="2:7" ht="15">
      <c r="B102" s="32" t="s">
        <v>54</v>
      </c>
      <c r="C102" s="377" t="s">
        <v>170</v>
      </c>
      <c r="D102" s="378"/>
      <c r="E102" s="378"/>
      <c r="F102" s="379"/>
      <c r="G102" s="20">
        <f>EPI!E10</f>
        <v>6.9050000000000002</v>
      </c>
    </row>
    <row r="103" spans="2:7" ht="15">
      <c r="B103" s="38" t="s">
        <v>55</v>
      </c>
      <c r="C103" s="399" t="s">
        <v>135</v>
      </c>
      <c r="D103" s="399"/>
      <c r="E103" s="399"/>
      <c r="F103" s="399"/>
      <c r="G103" s="20"/>
    </row>
    <row r="104" spans="2:7" ht="15.75" customHeight="1">
      <c r="B104" s="400" t="s">
        <v>171</v>
      </c>
      <c r="C104" s="401"/>
      <c r="D104" s="401"/>
      <c r="E104" s="401"/>
      <c r="F104" s="402"/>
      <c r="G104" s="111">
        <f>G100+G101+G102+G103</f>
        <v>41.171666666666667</v>
      </c>
    </row>
    <row r="105" spans="2:7" ht="15"/>
    <row r="106" spans="2:7" ht="18">
      <c r="B106" s="382" t="s">
        <v>172</v>
      </c>
      <c r="C106" s="383"/>
      <c r="D106" s="383"/>
      <c r="E106" s="383"/>
      <c r="F106" s="383"/>
      <c r="G106" s="384"/>
    </row>
    <row r="107" spans="2:7" ht="18">
      <c r="D107" s="39"/>
      <c r="E107" s="39"/>
      <c r="F107" s="39"/>
    </row>
    <row r="108" spans="2:7" ht="15.75">
      <c r="B108" s="30"/>
      <c r="C108" s="400" t="s">
        <v>173</v>
      </c>
      <c r="D108" s="401"/>
      <c r="E108" s="401"/>
      <c r="F108" s="402"/>
      <c r="G108" s="30" t="s">
        <v>101</v>
      </c>
    </row>
    <row r="109" spans="2:7" ht="15">
      <c r="B109" s="8">
        <v>1</v>
      </c>
      <c r="C109" s="375" t="s">
        <v>174</v>
      </c>
      <c r="D109" s="375"/>
      <c r="E109" s="375"/>
      <c r="F109" s="375"/>
      <c r="G109" s="40">
        <f>G31</f>
        <v>1306.21</v>
      </c>
    </row>
    <row r="110" spans="2:7" ht="15">
      <c r="B110" s="8">
        <v>2</v>
      </c>
      <c r="C110" s="375" t="s">
        <v>175</v>
      </c>
      <c r="D110" s="375"/>
      <c r="E110" s="375"/>
      <c r="F110" s="375"/>
      <c r="G110" s="40">
        <f>G38+G49+G57</f>
        <v>1437.0999768239999</v>
      </c>
    </row>
    <row r="111" spans="2:7" ht="15">
      <c r="B111" s="8">
        <v>3</v>
      </c>
      <c r="C111" s="375" t="s">
        <v>176</v>
      </c>
      <c r="D111" s="375"/>
      <c r="E111" s="375"/>
      <c r="F111" s="375"/>
      <c r="G111" s="40">
        <f>G74</f>
        <v>112.6</v>
      </c>
    </row>
    <row r="112" spans="2:7" ht="15">
      <c r="B112" s="8">
        <v>4</v>
      </c>
      <c r="C112" s="375" t="s">
        <v>177</v>
      </c>
      <c r="D112" s="375"/>
      <c r="E112" s="375"/>
      <c r="F112" s="375"/>
      <c r="G112" s="40">
        <f>G84</f>
        <v>133.36404099999999</v>
      </c>
    </row>
    <row r="113" spans="2:11" ht="15">
      <c r="B113" s="8">
        <v>5</v>
      </c>
      <c r="C113" s="375" t="s">
        <v>178</v>
      </c>
      <c r="D113" s="375"/>
      <c r="E113" s="375"/>
      <c r="F113" s="375"/>
      <c r="G113" s="40">
        <f>G104</f>
        <v>41.171666666666667</v>
      </c>
    </row>
    <row r="114" spans="2:11" ht="15">
      <c r="B114" s="8">
        <v>6</v>
      </c>
      <c r="C114" s="375" t="s">
        <v>159</v>
      </c>
      <c r="D114" s="375"/>
      <c r="E114" s="375"/>
      <c r="F114" s="375"/>
      <c r="G114" s="25"/>
    </row>
    <row r="115" spans="2:11" ht="15.75">
      <c r="B115" s="420" t="s">
        <v>20</v>
      </c>
      <c r="C115" s="420"/>
      <c r="D115" s="420"/>
      <c r="E115" s="420"/>
      <c r="F115" s="420"/>
      <c r="G115" s="41">
        <f>SUM(G109:G114)</f>
        <v>3030.4456844906663</v>
      </c>
    </row>
    <row r="116" spans="2:11" ht="15.75">
      <c r="B116" s="22"/>
      <c r="C116" s="22"/>
      <c r="D116" s="22"/>
      <c r="E116" s="22"/>
      <c r="F116" s="22"/>
      <c r="G116" s="42"/>
    </row>
    <row r="117" spans="2:11" ht="15">
      <c r="B117" s="403" t="s">
        <v>179</v>
      </c>
      <c r="C117" s="404"/>
      <c r="D117" s="404"/>
      <c r="E117" s="404"/>
      <c r="F117" s="404"/>
      <c r="G117" s="405"/>
    </row>
    <row r="118" spans="2:11" ht="15.75">
      <c r="B118" s="43">
        <v>6</v>
      </c>
      <c r="C118" s="44" t="s">
        <v>180</v>
      </c>
      <c r="D118" s="45"/>
      <c r="E118" s="46"/>
      <c r="F118" s="47" t="s">
        <v>100</v>
      </c>
      <c r="G118" s="6" t="s">
        <v>115</v>
      </c>
    </row>
    <row r="119" spans="2:11" ht="15.75">
      <c r="B119" s="8" t="s">
        <v>52</v>
      </c>
      <c r="C119" s="375" t="s">
        <v>181</v>
      </c>
      <c r="D119" s="375"/>
      <c r="E119" s="375"/>
      <c r="F119" s="132">
        <v>0.1</v>
      </c>
      <c r="G119" s="48">
        <f>G115*F119</f>
        <v>303.04456844906662</v>
      </c>
      <c r="J119" s="92">
        <f>SUM(F122:F124)</f>
        <v>8.6499999999999994E-2</v>
      </c>
      <c r="K119" s="93"/>
    </row>
    <row r="120" spans="2:11" ht="15.75">
      <c r="B120" s="8" t="s">
        <v>53</v>
      </c>
      <c r="C120" s="377" t="s">
        <v>182</v>
      </c>
      <c r="D120" s="378"/>
      <c r="E120" s="379"/>
      <c r="F120" s="132">
        <v>0.1</v>
      </c>
      <c r="G120" s="48">
        <f>(G119+G115)*F120</f>
        <v>333.34902529397328</v>
      </c>
      <c r="J120" s="94">
        <f>G136</f>
        <v>3030.4456844906663</v>
      </c>
      <c r="K120" s="95"/>
    </row>
    <row r="121" spans="2:11" ht="15.75">
      <c r="B121" s="8" t="s">
        <v>54</v>
      </c>
      <c r="C121" s="375" t="s">
        <v>183</v>
      </c>
      <c r="D121" s="375"/>
      <c r="E121" s="375"/>
      <c r="F121" s="49"/>
      <c r="G121" s="50">
        <v>0</v>
      </c>
      <c r="J121" s="96">
        <f>G119+G120</f>
        <v>636.3935937430399</v>
      </c>
      <c r="K121" s="97"/>
    </row>
    <row r="122" spans="2:11" ht="15.75">
      <c r="B122" s="8"/>
      <c r="C122" s="375" t="s">
        <v>184</v>
      </c>
      <c r="D122" s="375"/>
      <c r="E122" s="375"/>
      <c r="F122" s="19">
        <v>6.4999999999999997E-3</v>
      </c>
      <c r="G122" s="50">
        <f>F122*I123</f>
        <v>26.091357754262823</v>
      </c>
      <c r="I122" s="50"/>
      <c r="J122" s="96">
        <f>SUM(J120:J121)</f>
        <v>3666.839278233706</v>
      </c>
      <c r="K122" s="98"/>
    </row>
    <row r="123" spans="2:11" ht="15.75">
      <c r="B123" s="8"/>
      <c r="C123" s="375" t="s">
        <v>185</v>
      </c>
      <c r="D123" s="375"/>
      <c r="E123" s="375"/>
      <c r="F123" s="19">
        <v>0.03</v>
      </c>
      <c r="G123" s="50">
        <f>F123*I123</f>
        <v>120.42165117352071</v>
      </c>
      <c r="I123" s="50">
        <f>(G115+G119+G120)/0.9135</f>
        <v>4014.0550391173574</v>
      </c>
      <c r="J123" s="96">
        <f>J122/(1-J119)</f>
        <v>4014.0550391173574</v>
      </c>
      <c r="K123" s="98"/>
    </row>
    <row r="124" spans="2:11" ht="15.75">
      <c r="B124" s="8"/>
      <c r="C124" s="375" t="s">
        <v>186</v>
      </c>
      <c r="D124" s="375"/>
      <c r="E124" s="375"/>
      <c r="F124" s="19">
        <v>0.05</v>
      </c>
      <c r="G124" s="50">
        <f>F124*I123</f>
        <v>200.70275195586788</v>
      </c>
      <c r="J124" s="98"/>
      <c r="K124" s="98"/>
    </row>
    <row r="125" spans="2:11" ht="15.75">
      <c r="B125" s="8"/>
      <c r="C125" s="390" t="s">
        <v>187</v>
      </c>
      <c r="D125" s="391"/>
      <c r="E125" s="392"/>
      <c r="F125" s="19">
        <v>0</v>
      </c>
      <c r="G125" s="50">
        <f>F125*I123</f>
        <v>0</v>
      </c>
      <c r="J125" s="96">
        <f>SUM(H123:H125)</f>
        <v>0</v>
      </c>
      <c r="K125" s="96"/>
    </row>
    <row r="126" spans="2:11" ht="15">
      <c r="B126" s="8"/>
      <c r="C126" s="426" t="s">
        <v>188</v>
      </c>
      <c r="D126" s="426"/>
      <c r="E126" s="426"/>
      <c r="F126" s="52">
        <f>SUM(F119:F125)</f>
        <v>0.28650000000000003</v>
      </c>
      <c r="G126" s="53">
        <f>SUM(G119:G125)</f>
        <v>983.60935462669136</v>
      </c>
    </row>
    <row r="127" spans="2:11" ht="15"/>
    <row r="128" spans="2:11" ht="18">
      <c r="B128" s="382" t="s">
        <v>189</v>
      </c>
      <c r="C128" s="383"/>
      <c r="D128" s="383"/>
      <c r="E128" s="383"/>
      <c r="F128" s="383"/>
      <c r="G128" s="384"/>
    </row>
    <row r="129" spans="2:7" ht="15"/>
    <row r="130" spans="2:7" ht="15">
      <c r="B130" s="112"/>
      <c r="C130" s="387" t="s">
        <v>190</v>
      </c>
      <c r="D130" s="388"/>
      <c r="E130" s="388"/>
      <c r="F130" s="389"/>
      <c r="G130" s="112" t="s">
        <v>115</v>
      </c>
    </row>
    <row r="131" spans="2:7" ht="15">
      <c r="B131" s="8" t="s">
        <v>52</v>
      </c>
      <c r="C131" s="375" t="s">
        <v>191</v>
      </c>
      <c r="D131" s="375"/>
      <c r="E131" s="375"/>
      <c r="F131" s="375"/>
      <c r="G131" s="7">
        <f>G109</f>
        <v>1306.21</v>
      </c>
    </row>
    <row r="132" spans="2:7" ht="15">
      <c r="B132" s="8" t="s">
        <v>53</v>
      </c>
      <c r="C132" s="375" t="s">
        <v>113</v>
      </c>
      <c r="D132" s="375"/>
      <c r="E132" s="375"/>
      <c r="F132" s="375"/>
      <c r="G132" s="7">
        <f>G110</f>
        <v>1437.0999768239999</v>
      </c>
    </row>
    <row r="133" spans="2:7" ht="15">
      <c r="B133" s="8" t="s">
        <v>54</v>
      </c>
      <c r="C133" s="375" t="s">
        <v>143</v>
      </c>
      <c r="D133" s="375"/>
      <c r="E133" s="375"/>
      <c r="F133" s="375"/>
      <c r="G133" s="7">
        <f>G111</f>
        <v>112.6</v>
      </c>
    </row>
    <row r="134" spans="2:7" ht="15">
      <c r="B134" s="8" t="s">
        <v>55</v>
      </c>
      <c r="C134" s="375" t="s">
        <v>192</v>
      </c>
      <c r="D134" s="375"/>
      <c r="E134" s="375"/>
      <c r="F134" s="375"/>
      <c r="G134" s="7">
        <f>G112</f>
        <v>133.36404099999999</v>
      </c>
    </row>
    <row r="135" spans="2:7" ht="15">
      <c r="B135" s="8" t="s">
        <v>56</v>
      </c>
      <c r="C135" s="377" t="s">
        <v>178</v>
      </c>
      <c r="D135" s="378"/>
      <c r="E135" s="378"/>
      <c r="F135" s="379"/>
      <c r="G135" s="7">
        <f>G113</f>
        <v>41.171666666666667</v>
      </c>
    </row>
    <row r="136" spans="2:7" ht="15">
      <c r="B136" s="380" t="s">
        <v>193</v>
      </c>
      <c r="C136" s="380"/>
      <c r="D136" s="380"/>
      <c r="E136" s="380"/>
      <c r="F136" s="380"/>
      <c r="G136" s="7">
        <f>SUM(G131:G135)</f>
        <v>3030.4456844906663</v>
      </c>
    </row>
    <row r="137" spans="2:7" ht="15">
      <c r="B137" s="8" t="s">
        <v>108</v>
      </c>
      <c r="C137" s="375" t="s">
        <v>194</v>
      </c>
      <c r="D137" s="375"/>
      <c r="E137" s="375"/>
      <c r="F137" s="375"/>
      <c r="G137" s="7">
        <f>G126</f>
        <v>983.60935462669136</v>
      </c>
    </row>
    <row r="138" spans="2:7" ht="15">
      <c r="B138" s="381" t="s">
        <v>195</v>
      </c>
      <c r="C138" s="381"/>
      <c r="D138" s="381"/>
      <c r="E138" s="381"/>
      <c r="F138" s="381"/>
      <c r="G138" s="54">
        <f>ROUNDDOWN(G136+G137,2)</f>
        <v>4014.05</v>
      </c>
    </row>
    <row r="139" spans="2:7" ht="15">
      <c r="F139" s="3"/>
      <c r="G139" s="3"/>
    </row>
    <row r="140" spans="2:7" ht="18">
      <c r="B140" s="382" t="s">
        <v>196</v>
      </c>
      <c r="C140" s="383"/>
      <c r="D140" s="383"/>
      <c r="E140" s="383"/>
      <c r="F140" s="383"/>
      <c r="G140" s="384"/>
    </row>
    <row r="141" spans="2:7" ht="15">
      <c r="F141" s="3"/>
      <c r="G141" s="3"/>
    </row>
    <row r="142" spans="2:7" ht="15">
      <c r="B142" s="12" t="s">
        <v>197</v>
      </c>
      <c r="C142" s="12" t="s">
        <v>198</v>
      </c>
      <c r="D142" s="12" t="s">
        <v>199</v>
      </c>
      <c r="E142" s="12" t="s">
        <v>200</v>
      </c>
      <c r="F142" s="12" t="s">
        <v>201</v>
      </c>
      <c r="G142" s="12" t="s">
        <v>202</v>
      </c>
    </row>
    <row r="143" spans="2:7" ht="15">
      <c r="B143" s="87"/>
      <c r="C143" s="6" t="s">
        <v>203</v>
      </c>
      <c r="D143" s="6" t="s">
        <v>204</v>
      </c>
      <c r="E143" s="6" t="s">
        <v>205</v>
      </c>
      <c r="F143" s="6" t="s">
        <v>206</v>
      </c>
      <c r="G143" s="6" t="s">
        <v>207</v>
      </c>
    </row>
    <row r="144" spans="2:7" ht="15">
      <c r="B144" s="113" t="str">
        <f>G19</f>
        <v>AJUDANTE</v>
      </c>
      <c r="C144" s="55">
        <f>G138</f>
        <v>4014.05</v>
      </c>
      <c r="D144" s="56">
        <f>F14</f>
        <v>1</v>
      </c>
      <c r="E144" s="57">
        <f>C144</f>
        <v>4014.05</v>
      </c>
      <c r="F144" s="133">
        <v>1</v>
      </c>
      <c r="G144" s="57">
        <f>E144*F144</f>
        <v>4014.05</v>
      </c>
    </row>
    <row r="145" spans="2:7" ht="15">
      <c r="B145" s="6"/>
      <c r="C145" s="49"/>
      <c r="D145" s="49"/>
      <c r="E145" s="49"/>
      <c r="F145" s="8"/>
      <c r="G145" s="8"/>
    </row>
    <row r="146" spans="2:7" ht="15">
      <c r="B146" s="8"/>
      <c r="C146" s="49"/>
      <c r="D146" s="49"/>
      <c r="E146" s="49"/>
      <c r="F146" s="8"/>
      <c r="G146" s="8"/>
    </row>
    <row r="147" spans="2:7" ht="15">
      <c r="B147" s="8"/>
      <c r="C147" s="49"/>
      <c r="D147" s="49"/>
      <c r="E147" s="49"/>
      <c r="F147" s="8"/>
      <c r="G147" s="8"/>
    </row>
    <row r="148" spans="2:7" ht="15">
      <c r="B148" s="8"/>
      <c r="C148" s="49"/>
      <c r="D148" s="49"/>
      <c r="E148" s="49"/>
      <c r="F148" s="8"/>
      <c r="G148" s="8"/>
    </row>
    <row r="149" spans="2:7" ht="18">
      <c r="C149" s="59"/>
      <c r="D149" s="59"/>
      <c r="E149" s="59"/>
      <c r="F149" s="59"/>
      <c r="G149" s="59"/>
    </row>
    <row r="150" spans="2:7" ht="18">
      <c r="B150" s="382" t="s">
        <v>208</v>
      </c>
      <c r="C150" s="383"/>
      <c r="D150" s="383"/>
      <c r="E150" s="383"/>
      <c r="F150" s="383"/>
      <c r="G150" s="384"/>
    </row>
    <row r="151" spans="2:7" ht="18">
      <c r="B151" s="59"/>
      <c r="C151" s="59"/>
      <c r="D151" s="59"/>
      <c r="E151" s="59"/>
      <c r="F151" s="59"/>
      <c r="G151" s="59"/>
    </row>
    <row r="152" spans="2:7" ht="18">
      <c r="B152" s="60"/>
      <c r="C152" s="385" t="s">
        <v>209</v>
      </c>
      <c r="D152" s="385"/>
      <c r="E152" s="385"/>
      <c r="F152" s="385"/>
      <c r="G152" s="385"/>
    </row>
    <row r="153" spans="2:7" ht="15">
      <c r="B153" s="8"/>
      <c r="C153" s="386" t="s">
        <v>50</v>
      </c>
      <c r="D153" s="386"/>
      <c r="E153" s="386"/>
      <c r="F153" s="386"/>
      <c r="G153" s="51" t="s">
        <v>115</v>
      </c>
    </row>
    <row r="154" spans="2:7" ht="15">
      <c r="B154" s="8" t="s">
        <v>52</v>
      </c>
      <c r="C154" s="375" t="s">
        <v>210</v>
      </c>
      <c r="D154" s="375"/>
      <c r="E154" s="375"/>
      <c r="F154" s="375"/>
      <c r="G154" s="25">
        <f>C144</f>
        <v>4014.05</v>
      </c>
    </row>
    <row r="155" spans="2:7" ht="15">
      <c r="B155" s="58" t="s">
        <v>53</v>
      </c>
      <c r="C155" s="376" t="s">
        <v>211</v>
      </c>
      <c r="D155" s="376"/>
      <c r="E155" s="376"/>
      <c r="F155" s="376"/>
      <c r="G155" s="215">
        <f>G154/21</f>
        <v>191.14523809523811</v>
      </c>
    </row>
    <row r="156" spans="2:7" ht="15"/>
    <row r="157" spans="2:7" ht="15"/>
    <row r="158" spans="2:7" ht="15"/>
    <row r="160" spans="2:7" ht="15"/>
    <row r="161" ht="15"/>
    <row r="162" ht="15"/>
  </sheetData>
  <mergeCells count="132">
    <mergeCell ref="C70:E70"/>
    <mergeCell ref="C71:E71"/>
    <mergeCell ref="C72:E72"/>
    <mergeCell ref="C73:E73"/>
    <mergeCell ref="C56:F56"/>
    <mergeCell ref="C57:F57"/>
    <mergeCell ref="C54:F54"/>
    <mergeCell ref="C55:F55"/>
    <mergeCell ref="C59:F59"/>
    <mergeCell ref="C1:D1"/>
    <mergeCell ref="C2:D2"/>
    <mergeCell ref="B4:G4"/>
    <mergeCell ref="C6:E6"/>
    <mergeCell ref="F6:G6"/>
    <mergeCell ref="C7:E7"/>
    <mergeCell ref="F7:G7"/>
    <mergeCell ref="C18:F18"/>
    <mergeCell ref="C19:F19"/>
    <mergeCell ref="B13:C13"/>
    <mergeCell ref="D13:E13"/>
    <mergeCell ref="F13:G13"/>
    <mergeCell ref="C17:F17"/>
    <mergeCell ref="C10:E10"/>
    <mergeCell ref="F10:G10"/>
    <mergeCell ref="B12:G12"/>
    <mergeCell ref="B14:C14"/>
    <mergeCell ref="D14:E14"/>
    <mergeCell ref="F14:G14"/>
    <mergeCell ref="B16:G16"/>
    <mergeCell ref="C8:E8"/>
    <mergeCell ref="B49:E49"/>
    <mergeCell ref="F8:G8"/>
    <mergeCell ref="C9:E9"/>
    <mergeCell ref="F9:G9"/>
    <mergeCell ref="C20:F20"/>
    <mergeCell ref="C44:E44"/>
    <mergeCell ref="C45:E45"/>
    <mergeCell ref="C46:E46"/>
    <mergeCell ref="C47:E47"/>
    <mergeCell ref="C48:E48"/>
    <mergeCell ref="C21:F21"/>
    <mergeCell ref="C43:E43"/>
    <mergeCell ref="C37:E37"/>
    <mergeCell ref="B38:E38"/>
    <mergeCell ref="B40:E40"/>
    <mergeCell ref="C23:E23"/>
    <mergeCell ref="D22:F22"/>
    <mergeCell ref="C29:E29"/>
    <mergeCell ref="C30:E30"/>
    <mergeCell ref="C36:E36"/>
    <mergeCell ref="C24:E24"/>
    <mergeCell ref="C25:E25"/>
    <mergeCell ref="C26:E26"/>
    <mergeCell ref="C27:E27"/>
    <mergeCell ref="C28:E28"/>
    <mergeCell ref="C31:E31"/>
    <mergeCell ref="B33:G33"/>
    <mergeCell ref="B35:E35"/>
    <mergeCell ref="C41:E41"/>
    <mergeCell ref="C42:E42"/>
    <mergeCell ref="C114:F114"/>
    <mergeCell ref="C137:F137"/>
    <mergeCell ref="C126:E126"/>
    <mergeCell ref="C108:F108"/>
    <mergeCell ref="C101:F101"/>
    <mergeCell ref="B96:F96"/>
    <mergeCell ref="C87:F87"/>
    <mergeCell ref="C88:F88"/>
    <mergeCell ref="C89:F89"/>
    <mergeCell ref="C94:F94"/>
    <mergeCell ref="C100:F100"/>
    <mergeCell ref="C93:F93"/>
    <mergeCell ref="C95:F95"/>
    <mergeCell ref="C109:F109"/>
    <mergeCell ref="C111:F111"/>
    <mergeCell ref="C112:F112"/>
    <mergeCell ref="C113:F113"/>
    <mergeCell ref="B115:F115"/>
    <mergeCell ref="B117:G117"/>
    <mergeCell ref="C119:E119"/>
    <mergeCell ref="B51:F51"/>
    <mergeCell ref="C52:F52"/>
    <mergeCell ref="C53:F53"/>
    <mergeCell ref="C60:F60"/>
    <mergeCell ref="B64:F64"/>
    <mergeCell ref="B66:G66"/>
    <mergeCell ref="B67:E67"/>
    <mergeCell ref="C68:E68"/>
    <mergeCell ref="C69:E69"/>
    <mergeCell ref="C61:F61"/>
    <mergeCell ref="C62:F62"/>
    <mergeCell ref="C63:F63"/>
    <mergeCell ref="B74:E74"/>
    <mergeCell ref="B76:G76"/>
    <mergeCell ref="B77:E77"/>
    <mergeCell ref="C78:E78"/>
    <mergeCell ref="C79:D79"/>
    <mergeCell ref="C80:D80"/>
    <mergeCell ref="C81:D81"/>
    <mergeCell ref="C82:D82"/>
    <mergeCell ref="B84:E84"/>
    <mergeCell ref="C83:D83"/>
    <mergeCell ref="B90:F90"/>
    <mergeCell ref="C92:F92"/>
    <mergeCell ref="B98:G98"/>
    <mergeCell ref="B99:F99"/>
    <mergeCell ref="C102:F102"/>
    <mergeCell ref="C103:F103"/>
    <mergeCell ref="B104:F104"/>
    <mergeCell ref="B106:G106"/>
    <mergeCell ref="C110:F110"/>
    <mergeCell ref="C120:E120"/>
    <mergeCell ref="C121:E121"/>
    <mergeCell ref="C122:E122"/>
    <mergeCell ref="C123:E123"/>
    <mergeCell ref="C124:E124"/>
    <mergeCell ref="B128:G128"/>
    <mergeCell ref="C130:F130"/>
    <mergeCell ref="C131:F131"/>
    <mergeCell ref="C132:F132"/>
    <mergeCell ref="C125:E125"/>
    <mergeCell ref="C154:F154"/>
    <mergeCell ref="C155:F155"/>
    <mergeCell ref="C133:F133"/>
    <mergeCell ref="C134:F134"/>
    <mergeCell ref="C135:F135"/>
    <mergeCell ref="B136:F136"/>
    <mergeCell ref="B138:F138"/>
    <mergeCell ref="B140:G140"/>
    <mergeCell ref="B150:G150"/>
    <mergeCell ref="C152:G152"/>
    <mergeCell ref="C153:F15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N155"/>
  <sheetViews>
    <sheetView showGridLines="0" topLeftCell="A130" workbookViewId="0">
      <selection activeCell="I11" sqref="I11"/>
    </sheetView>
  </sheetViews>
  <sheetFormatPr defaultRowHeight="15"/>
  <cols>
    <col min="1" max="1" width="2.7109375" customWidth="1"/>
    <col min="2" max="2" width="15" style="3" customWidth="1"/>
    <col min="3" max="3" width="13.42578125" customWidth="1"/>
    <col min="4" max="4" width="30.7109375" customWidth="1"/>
    <col min="5" max="5" width="15.7109375" customWidth="1"/>
    <col min="6" max="6" width="14.42578125" customWidth="1"/>
    <col min="7" max="7" width="19.140625" bestFit="1" customWidth="1"/>
    <col min="8" max="8" width="8.5703125" customWidth="1"/>
    <col min="9" max="9" width="14" customWidth="1"/>
    <col min="10" max="10" width="10.5703125" bestFit="1" customWidth="1"/>
    <col min="11" max="11" width="11.42578125" customWidth="1"/>
    <col min="12" max="12" width="10.5703125" bestFit="1" customWidth="1"/>
    <col min="13" max="13" width="9.5703125" bestFit="1" customWidth="1"/>
  </cols>
  <sheetData>
    <row r="1" spans="2:11">
      <c r="B1" s="134" t="s">
        <v>75</v>
      </c>
      <c r="C1" s="438"/>
      <c r="D1" s="439"/>
      <c r="E1" s="2"/>
      <c r="F1" s="2"/>
    </row>
    <row r="2" spans="2:11">
      <c r="B2" s="134" t="s">
        <v>76</v>
      </c>
      <c r="C2" s="440"/>
      <c r="D2" s="439"/>
      <c r="E2" s="2"/>
      <c r="F2" s="2"/>
    </row>
    <row r="3" spans="2:11">
      <c r="C3" s="2"/>
      <c r="D3" s="2"/>
      <c r="E3" s="2"/>
      <c r="F3" s="2"/>
    </row>
    <row r="4" spans="2:11">
      <c r="B4" s="441" t="s">
        <v>77</v>
      </c>
      <c r="C4" s="441"/>
      <c r="D4" s="441"/>
      <c r="E4" s="441"/>
      <c r="F4" s="441"/>
      <c r="G4" s="441"/>
    </row>
    <row r="5" spans="2:11">
      <c r="C5" s="2"/>
    </row>
    <row r="6" spans="2:11" ht="15" customHeight="1">
      <c r="B6" s="85" t="s">
        <v>52</v>
      </c>
      <c r="C6" s="430" t="s">
        <v>78</v>
      </c>
      <c r="D6" s="430"/>
      <c r="E6" s="430"/>
      <c r="F6" s="442" t="s">
        <v>79</v>
      </c>
      <c r="G6" s="432"/>
      <c r="I6" s="69"/>
      <c r="J6" s="69"/>
      <c r="K6" s="69"/>
    </row>
    <row r="7" spans="2:11">
      <c r="B7" s="85" t="s">
        <v>53</v>
      </c>
      <c r="C7" s="430" t="s">
        <v>80</v>
      </c>
      <c r="D7" s="430"/>
      <c r="E7" s="430"/>
      <c r="F7" s="443" t="s">
        <v>81</v>
      </c>
      <c r="G7" s="439"/>
      <c r="I7" s="69"/>
      <c r="J7" s="69"/>
      <c r="K7" s="69"/>
    </row>
    <row r="8" spans="2:11">
      <c r="B8" s="85" t="s">
        <v>54</v>
      </c>
      <c r="C8" s="430" t="s">
        <v>82</v>
      </c>
      <c r="D8" s="430"/>
      <c r="E8" s="430"/>
      <c r="F8" s="431" t="s">
        <v>83</v>
      </c>
      <c r="G8" s="432"/>
      <c r="I8" s="69"/>
      <c r="J8" s="69"/>
      <c r="K8" s="69"/>
    </row>
    <row r="9" spans="2:11">
      <c r="B9" s="85" t="s">
        <v>55</v>
      </c>
      <c r="C9" s="430" t="s">
        <v>84</v>
      </c>
      <c r="D9" s="430"/>
      <c r="E9" s="430"/>
      <c r="F9" s="431">
        <v>12</v>
      </c>
      <c r="G9" s="432"/>
      <c r="I9" s="69"/>
      <c r="J9" s="69"/>
      <c r="K9" s="69"/>
    </row>
    <row r="10" spans="2:11">
      <c r="B10" s="85" t="s">
        <v>56</v>
      </c>
      <c r="C10" s="430" t="s">
        <v>85</v>
      </c>
      <c r="D10" s="430"/>
      <c r="E10" s="430"/>
      <c r="F10" s="443" t="s">
        <v>86</v>
      </c>
      <c r="G10" s="439"/>
      <c r="I10" s="69"/>
      <c r="J10" s="69"/>
      <c r="K10" s="69"/>
    </row>
    <row r="11" spans="2:11">
      <c r="C11" s="2"/>
      <c r="D11" s="2"/>
      <c r="E11" s="2"/>
      <c r="F11" s="2"/>
      <c r="G11" s="3"/>
      <c r="I11" s="69"/>
      <c r="J11" s="69"/>
      <c r="K11" s="69"/>
    </row>
    <row r="12" spans="2:11">
      <c r="B12" s="448" t="s">
        <v>87</v>
      </c>
      <c r="C12" s="448"/>
      <c r="D12" s="448"/>
      <c r="E12" s="448"/>
      <c r="F12" s="448"/>
      <c r="G12" s="448"/>
      <c r="I12" s="69"/>
      <c r="J12" s="69"/>
      <c r="K12" s="69"/>
    </row>
    <row r="13" spans="2:11" ht="36" customHeight="1">
      <c r="B13" s="445" t="s">
        <v>88</v>
      </c>
      <c r="C13" s="445"/>
      <c r="D13" s="445" t="s">
        <v>89</v>
      </c>
      <c r="E13" s="445"/>
      <c r="F13" s="446" t="s">
        <v>90</v>
      </c>
      <c r="G13" s="446"/>
    </row>
    <row r="14" spans="2:11" ht="15" customHeight="1">
      <c r="B14" s="449" t="s">
        <v>91</v>
      </c>
      <c r="C14" s="449"/>
      <c r="D14" s="450" t="s">
        <v>92</v>
      </c>
      <c r="E14" s="450"/>
      <c r="F14" s="451">
        <v>1</v>
      </c>
      <c r="G14" s="451"/>
    </row>
    <row r="15" spans="2:11" ht="18">
      <c r="B15" s="59"/>
      <c r="C15" s="4"/>
      <c r="D15" s="4"/>
      <c r="E15" s="4"/>
      <c r="F15" s="4"/>
    </row>
    <row r="16" spans="2:11">
      <c r="B16" s="452" t="s">
        <v>93</v>
      </c>
      <c r="C16" s="452"/>
      <c r="D16" s="452"/>
      <c r="E16" s="452"/>
      <c r="F16" s="452"/>
      <c r="G16" s="452"/>
    </row>
    <row r="17" spans="2:7">
      <c r="B17" s="5">
        <v>1</v>
      </c>
      <c r="C17" s="447" t="s">
        <v>94</v>
      </c>
      <c r="D17" s="447"/>
      <c r="E17" s="447"/>
      <c r="F17" s="447"/>
      <c r="G17" s="6" t="str">
        <f>B14</f>
        <v>Manutenção Predial</v>
      </c>
    </row>
    <row r="18" spans="2:7">
      <c r="B18" s="51">
        <v>2</v>
      </c>
      <c r="C18" s="375" t="s">
        <v>95</v>
      </c>
      <c r="D18" s="375"/>
      <c r="E18" s="375"/>
      <c r="F18" s="375"/>
      <c r="G18" s="125">
        <v>1922.74</v>
      </c>
    </row>
    <row r="19" spans="2:7" s="77" customFormat="1">
      <c r="B19" s="135">
        <v>3</v>
      </c>
      <c r="C19" s="444" t="s">
        <v>96</v>
      </c>
      <c r="D19" s="444"/>
      <c r="E19" s="444"/>
      <c r="F19" s="444"/>
      <c r="G19" s="136" t="s">
        <v>212</v>
      </c>
    </row>
    <row r="20" spans="2:7">
      <c r="B20" s="51">
        <v>4</v>
      </c>
      <c r="C20" s="377" t="s">
        <v>97</v>
      </c>
      <c r="D20" s="378"/>
      <c r="E20" s="378"/>
      <c r="F20" s="379"/>
      <c r="G20" s="126" t="s">
        <v>86</v>
      </c>
    </row>
    <row r="21" spans="2:7">
      <c r="B21" s="51">
        <v>5</v>
      </c>
      <c r="C21" s="375" t="s">
        <v>98</v>
      </c>
      <c r="D21" s="375"/>
      <c r="E21" s="375"/>
      <c r="F21" s="375"/>
      <c r="G21" s="127">
        <v>44440</v>
      </c>
    </row>
    <row r="22" spans="2:7">
      <c r="C22" s="3"/>
      <c r="D22" s="436"/>
      <c r="E22" s="436"/>
      <c r="F22" s="436"/>
      <c r="G22" s="3"/>
    </row>
    <row r="23" spans="2:7">
      <c r="B23" s="99">
        <v>1</v>
      </c>
      <c r="C23" s="433" t="s">
        <v>99</v>
      </c>
      <c r="D23" s="434"/>
      <c r="E23" s="435"/>
      <c r="F23" s="99" t="s">
        <v>100</v>
      </c>
      <c r="G23" s="99" t="s">
        <v>101</v>
      </c>
    </row>
    <row r="24" spans="2:7">
      <c r="B24" s="8" t="s">
        <v>52</v>
      </c>
      <c r="C24" s="375" t="s">
        <v>102</v>
      </c>
      <c r="D24" s="375"/>
      <c r="E24" s="375"/>
      <c r="F24" s="8">
        <v>100</v>
      </c>
      <c r="G24" s="9">
        <f>G18</f>
        <v>1922.74</v>
      </c>
    </row>
    <row r="25" spans="2:7">
      <c r="B25" s="8" t="s">
        <v>53</v>
      </c>
      <c r="C25" s="375" t="s">
        <v>103</v>
      </c>
      <c r="D25" s="375"/>
      <c r="E25" s="375"/>
      <c r="F25" s="10">
        <v>0</v>
      </c>
      <c r="G25" s="11">
        <v>0</v>
      </c>
    </row>
    <row r="26" spans="2:7">
      <c r="B26" s="8" t="s">
        <v>54</v>
      </c>
      <c r="C26" s="375" t="s">
        <v>104</v>
      </c>
      <c r="D26" s="375"/>
      <c r="E26" s="375"/>
      <c r="F26" s="10"/>
      <c r="G26" s="11">
        <f>G24*F26</f>
        <v>0</v>
      </c>
    </row>
    <row r="27" spans="2:7">
      <c r="B27" s="8" t="s">
        <v>55</v>
      </c>
      <c r="C27" s="375" t="s">
        <v>105</v>
      </c>
      <c r="D27" s="375"/>
      <c r="E27" s="375"/>
      <c r="F27" s="10"/>
      <c r="G27" s="11">
        <f>G26*F27</f>
        <v>0</v>
      </c>
    </row>
    <row r="28" spans="2:7">
      <c r="B28" s="8" t="s">
        <v>106</v>
      </c>
      <c r="C28" s="375" t="s">
        <v>107</v>
      </c>
      <c r="D28" s="375"/>
      <c r="E28" s="375"/>
      <c r="F28" s="10"/>
      <c r="G28" s="11">
        <f>G27*F28</f>
        <v>0</v>
      </c>
    </row>
    <row r="29" spans="2:7">
      <c r="B29" s="8" t="s">
        <v>108</v>
      </c>
      <c r="C29" s="375" t="s">
        <v>109</v>
      </c>
      <c r="D29" s="375"/>
      <c r="E29" s="375"/>
      <c r="F29" s="10">
        <v>0</v>
      </c>
      <c r="G29" s="11">
        <f>G28*F29</f>
        <v>0</v>
      </c>
    </row>
    <row r="30" spans="2:7">
      <c r="B30" s="12" t="s">
        <v>110</v>
      </c>
      <c r="C30" s="437" t="s">
        <v>111</v>
      </c>
      <c r="D30" s="437"/>
      <c r="E30" s="437"/>
      <c r="F30" s="13">
        <v>0</v>
      </c>
      <c r="G30" s="14">
        <f>G24*F30</f>
        <v>0</v>
      </c>
    </row>
    <row r="31" spans="2:7">
      <c r="B31" s="15"/>
      <c r="C31" s="421" t="s">
        <v>112</v>
      </c>
      <c r="D31" s="421"/>
      <c r="E31" s="421"/>
      <c r="F31" s="15"/>
      <c r="G31" s="16">
        <f>SUM(G24,G25,G26,G27,G28,G29,G30)</f>
        <v>1922.74</v>
      </c>
    </row>
    <row r="32" spans="2:7" ht="15" customHeight="1">
      <c r="C32" s="17"/>
      <c r="D32" s="17"/>
      <c r="E32" s="17"/>
      <c r="F32" s="3"/>
      <c r="G32" s="18"/>
    </row>
    <row r="33" spans="2:14" ht="15" customHeight="1">
      <c r="B33" s="422" t="s">
        <v>113</v>
      </c>
      <c r="C33" s="423"/>
      <c r="D33" s="423"/>
      <c r="E33" s="423"/>
      <c r="F33" s="423"/>
      <c r="G33" s="424"/>
      <c r="N33" s="69"/>
    </row>
    <row r="34" spans="2:14">
      <c r="B34" s="17"/>
      <c r="C34" s="3"/>
      <c r="D34" s="3"/>
      <c r="E34" s="3"/>
      <c r="F34" s="3"/>
      <c r="G34" s="3"/>
      <c r="N34" s="69"/>
    </row>
    <row r="35" spans="2:14" ht="15" customHeight="1">
      <c r="B35" s="425" t="s">
        <v>114</v>
      </c>
      <c r="C35" s="425"/>
      <c r="D35" s="425"/>
      <c r="E35" s="425"/>
      <c r="F35" s="101" t="s">
        <v>100</v>
      </c>
      <c r="G35" s="101" t="s">
        <v>115</v>
      </c>
      <c r="N35" s="69"/>
    </row>
    <row r="36" spans="2:14">
      <c r="B36" s="8" t="s">
        <v>52</v>
      </c>
      <c r="C36" s="399" t="s">
        <v>116</v>
      </c>
      <c r="D36" s="399"/>
      <c r="E36" s="399"/>
      <c r="F36" s="19">
        <v>8.3299999999999999E-2</v>
      </c>
      <c r="G36" s="20">
        <f>F36*G31</f>
        <v>160.164242</v>
      </c>
      <c r="N36" s="69"/>
    </row>
    <row r="37" spans="2:14">
      <c r="B37" s="8" t="s">
        <v>53</v>
      </c>
      <c r="C37" s="399" t="s">
        <v>117</v>
      </c>
      <c r="D37" s="399"/>
      <c r="E37" s="399"/>
      <c r="F37" s="19">
        <f>(1/12)+((1/3)/12)</f>
        <v>0.1111111111111111</v>
      </c>
      <c r="G37" s="20">
        <f>F37*G31</f>
        <v>213.63777777777776</v>
      </c>
      <c r="N37" s="69"/>
    </row>
    <row r="38" spans="2:14" ht="15.75">
      <c r="B38" s="420" t="s">
        <v>118</v>
      </c>
      <c r="C38" s="420"/>
      <c r="D38" s="420"/>
      <c r="E38" s="420"/>
      <c r="F38" s="130">
        <f>SUM(F36:F37)</f>
        <v>0.19441111111111109</v>
      </c>
      <c r="G38" s="184">
        <f>SUM(G36:G37)</f>
        <v>373.80201977777779</v>
      </c>
      <c r="N38" s="69"/>
    </row>
    <row r="39" spans="2:14" ht="15.75">
      <c r="B39" s="22"/>
      <c r="C39" s="22"/>
      <c r="D39" s="22"/>
      <c r="E39" s="22"/>
      <c r="F39" s="23"/>
      <c r="G39" s="24"/>
      <c r="N39" s="69"/>
    </row>
    <row r="40" spans="2:14">
      <c r="B40" s="425" t="s">
        <v>119</v>
      </c>
      <c r="C40" s="425"/>
      <c r="D40" s="425"/>
      <c r="E40" s="425"/>
      <c r="F40" s="101" t="s">
        <v>100</v>
      </c>
      <c r="G40" s="101" t="s">
        <v>115</v>
      </c>
      <c r="N40" s="69"/>
    </row>
    <row r="41" spans="2:14">
      <c r="B41" s="8" t="s">
        <v>52</v>
      </c>
      <c r="C41" s="375" t="s">
        <v>120</v>
      </c>
      <c r="D41" s="375"/>
      <c r="E41" s="375"/>
      <c r="F41" s="19">
        <v>0.2</v>
      </c>
      <c r="G41" s="25">
        <f>($G$31+$G$38)*F41</f>
        <v>459.30840395555555</v>
      </c>
      <c r="N41" s="69"/>
    </row>
    <row r="42" spans="2:14">
      <c r="B42" s="8" t="s">
        <v>53</v>
      </c>
      <c r="C42" s="375" t="s">
        <v>121</v>
      </c>
      <c r="D42" s="375"/>
      <c r="E42" s="375"/>
      <c r="F42" s="19">
        <v>2.5000000000000001E-2</v>
      </c>
      <c r="G42" s="25">
        <f t="shared" ref="G42:G48" si="0">($G$31+$G$38)*F42</f>
        <v>57.413550494444443</v>
      </c>
      <c r="N42" s="69"/>
    </row>
    <row r="43" spans="2:14">
      <c r="B43" s="8" t="s">
        <v>54</v>
      </c>
      <c r="C43" s="375" t="s">
        <v>122</v>
      </c>
      <c r="D43" s="375"/>
      <c r="E43" s="375"/>
      <c r="F43" s="70">
        <v>0.03</v>
      </c>
      <c r="G43" s="25">
        <f t="shared" si="0"/>
        <v>68.896260593333324</v>
      </c>
      <c r="N43" s="69"/>
    </row>
    <row r="44" spans="2:14">
      <c r="B44" s="8" t="s">
        <v>55</v>
      </c>
      <c r="C44" s="375" t="s">
        <v>123</v>
      </c>
      <c r="D44" s="375"/>
      <c r="E44" s="375"/>
      <c r="F44" s="19">
        <v>1.4999999999999999E-2</v>
      </c>
      <c r="G44" s="25">
        <f t="shared" si="0"/>
        <v>34.448130296666662</v>
      </c>
      <c r="N44" s="69"/>
    </row>
    <row r="45" spans="2:14">
      <c r="B45" s="8" t="s">
        <v>56</v>
      </c>
      <c r="C45" s="375" t="s">
        <v>124</v>
      </c>
      <c r="D45" s="375"/>
      <c r="E45" s="375"/>
      <c r="F45" s="19">
        <v>0.01</v>
      </c>
      <c r="G45" s="25">
        <f t="shared" si="0"/>
        <v>22.965420197777775</v>
      </c>
      <c r="N45" s="69"/>
    </row>
    <row r="46" spans="2:14">
      <c r="B46" s="8" t="s">
        <v>108</v>
      </c>
      <c r="C46" s="375" t="s">
        <v>125</v>
      </c>
      <c r="D46" s="375"/>
      <c r="E46" s="375"/>
      <c r="F46" s="19">
        <v>6.0000000000000001E-3</v>
      </c>
      <c r="G46" s="25">
        <f t="shared" si="0"/>
        <v>13.779252118666665</v>
      </c>
      <c r="N46" s="69"/>
    </row>
    <row r="47" spans="2:14">
      <c r="B47" s="8" t="s">
        <v>110</v>
      </c>
      <c r="C47" s="375" t="s">
        <v>126</v>
      </c>
      <c r="D47" s="375"/>
      <c r="E47" s="375"/>
      <c r="F47" s="19">
        <v>2E-3</v>
      </c>
      <c r="G47" s="25">
        <f t="shared" si="0"/>
        <v>4.5930840395555554</v>
      </c>
      <c r="N47" s="69"/>
    </row>
    <row r="48" spans="2:14">
      <c r="B48" s="8" t="s">
        <v>127</v>
      </c>
      <c r="C48" s="375" t="s">
        <v>128</v>
      </c>
      <c r="D48" s="375"/>
      <c r="E48" s="375"/>
      <c r="F48" s="19">
        <v>0.08</v>
      </c>
      <c r="G48" s="25">
        <f t="shared" si="0"/>
        <v>183.7233615822222</v>
      </c>
      <c r="N48" s="69"/>
    </row>
    <row r="49" spans="2:14" ht="15.75">
      <c r="B49" s="420" t="s">
        <v>129</v>
      </c>
      <c r="C49" s="420"/>
      <c r="D49" s="420"/>
      <c r="E49" s="420"/>
      <c r="F49" s="128">
        <f>SUM(F41:F48)</f>
        <v>0.36800000000000005</v>
      </c>
      <c r="G49" s="129">
        <f>SUM(G41:G48)</f>
        <v>845.12746327822231</v>
      </c>
      <c r="N49" s="69"/>
    </row>
    <row r="50" spans="2:14">
      <c r="B50" s="26"/>
      <c r="C50" s="27"/>
      <c r="D50" s="28"/>
      <c r="E50" s="28"/>
      <c r="F50" s="28"/>
      <c r="G50" s="29"/>
      <c r="N50" s="69"/>
    </row>
    <row r="51" spans="2:14" ht="15.75">
      <c r="B51" s="406" t="s">
        <v>130</v>
      </c>
      <c r="C51" s="407"/>
      <c r="D51" s="407"/>
      <c r="E51" s="407"/>
      <c r="F51" s="408"/>
      <c r="G51" s="100" t="s">
        <v>101</v>
      </c>
      <c r="N51" s="69"/>
    </row>
    <row r="52" spans="2:14">
      <c r="B52" s="8" t="s">
        <v>52</v>
      </c>
      <c r="C52" s="375" t="s">
        <v>131</v>
      </c>
      <c r="D52" s="375"/>
      <c r="E52" s="375"/>
      <c r="F52" s="375"/>
      <c r="G52" s="25">
        <f>TRANSPORTE!F11</f>
        <v>241.03559999999999</v>
      </c>
      <c r="H52" s="31"/>
      <c r="I52" s="69"/>
      <c r="J52" s="69"/>
      <c r="K52" s="69"/>
      <c r="L52" s="69"/>
      <c r="M52" s="69"/>
      <c r="N52" s="69"/>
    </row>
    <row r="53" spans="2:14">
      <c r="B53" s="56" t="s">
        <v>53</v>
      </c>
      <c r="C53" s="409" t="s">
        <v>132</v>
      </c>
      <c r="D53" s="409"/>
      <c r="E53" s="409"/>
      <c r="F53" s="409"/>
      <c r="G53" s="72">
        <v>300</v>
      </c>
      <c r="H53" s="71"/>
      <c r="I53" s="69"/>
      <c r="J53" s="69"/>
      <c r="K53" s="69"/>
      <c r="L53" s="69"/>
      <c r="M53" s="69"/>
      <c r="N53" s="69"/>
    </row>
    <row r="54" spans="2:14">
      <c r="B54" s="8" t="s">
        <v>54</v>
      </c>
      <c r="C54" s="375" t="s">
        <v>133</v>
      </c>
      <c r="D54" s="375"/>
      <c r="E54" s="375"/>
      <c r="F54" s="375"/>
      <c r="G54" s="20">
        <f>'CAFÉ DA MANHÃ'!F9</f>
        <v>26.995000000000001</v>
      </c>
      <c r="I54" s="69"/>
      <c r="J54" s="69"/>
      <c r="K54" s="69"/>
      <c r="L54" s="69"/>
      <c r="M54" s="69"/>
      <c r="N54" s="69"/>
    </row>
    <row r="55" spans="2:14">
      <c r="B55" s="8" t="s">
        <v>55</v>
      </c>
      <c r="C55" s="454" t="s">
        <v>134</v>
      </c>
      <c r="D55" s="455"/>
      <c r="E55" s="455"/>
      <c r="F55" s="456"/>
      <c r="G55" s="20">
        <v>4</v>
      </c>
      <c r="I55" s="69"/>
      <c r="J55" s="69"/>
      <c r="K55" s="69"/>
      <c r="L55" s="69"/>
      <c r="M55" s="69"/>
    </row>
    <row r="56" spans="2:14">
      <c r="B56" s="8" t="s">
        <v>108</v>
      </c>
      <c r="C56" s="375" t="s">
        <v>135</v>
      </c>
      <c r="D56" s="375"/>
      <c r="E56" s="375"/>
      <c r="F56" s="375"/>
      <c r="G56" s="20">
        <v>0</v>
      </c>
    </row>
    <row r="57" spans="2:14">
      <c r="B57" s="8"/>
      <c r="C57" s="426" t="s">
        <v>136</v>
      </c>
      <c r="D57" s="426"/>
      <c r="E57" s="426"/>
      <c r="F57" s="426"/>
      <c r="G57" s="131">
        <f>SUM(G52:G56)</f>
        <v>572.03059999999994</v>
      </c>
    </row>
    <row r="58" spans="2:14">
      <c r="B58" s="86"/>
      <c r="C58" s="61"/>
      <c r="D58" s="61"/>
      <c r="E58" s="61"/>
      <c r="F58" s="61"/>
      <c r="G58" s="62"/>
    </row>
    <row r="59" spans="2:14" ht="15.75">
      <c r="B59" s="102">
        <v>2</v>
      </c>
      <c r="C59" s="396" t="s">
        <v>137</v>
      </c>
      <c r="D59" s="396"/>
      <c r="E59" s="396"/>
      <c r="F59" s="396"/>
      <c r="G59" s="103" t="s">
        <v>101</v>
      </c>
    </row>
    <row r="60" spans="2:14" ht="15.75">
      <c r="B60" s="74"/>
      <c r="C60" s="410"/>
      <c r="D60" s="410"/>
      <c r="E60" s="410"/>
      <c r="F60" s="410"/>
      <c r="G60" s="73" t="s">
        <v>138</v>
      </c>
    </row>
    <row r="61" spans="2:14" ht="15.75">
      <c r="B61" s="74" t="s">
        <v>23</v>
      </c>
      <c r="C61" s="410" t="s">
        <v>139</v>
      </c>
      <c r="D61" s="410"/>
      <c r="E61" s="410"/>
      <c r="F61" s="410"/>
      <c r="G61" s="75">
        <f>G38</f>
        <v>373.80201977777779</v>
      </c>
    </row>
    <row r="62" spans="2:14" ht="15.75">
      <c r="B62" s="74" t="s">
        <v>25</v>
      </c>
      <c r="C62" s="410" t="s">
        <v>140</v>
      </c>
      <c r="D62" s="410"/>
      <c r="E62" s="410"/>
      <c r="F62" s="410"/>
      <c r="G62" s="75">
        <f>G49</f>
        <v>845.12746327822231</v>
      </c>
    </row>
    <row r="63" spans="2:14" ht="15.75">
      <c r="B63" s="74" t="s">
        <v>141</v>
      </c>
      <c r="C63" s="410" t="s">
        <v>142</v>
      </c>
      <c r="D63" s="410"/>
      <c r="E63" s="410"/>
      <c r="F63" s="410"/>
      <c r="G63" s="75">
        <f>G57</f>
        <v>572.03059999999994</v>
      </c>
    </row>
    <row r="64" spans="2:14" ht="15.75">
      <c r="B64" s="411" t="s">
        <v>20</v>
      </c>
      <c r="C64" s="411"/>
      <c r="D64" s="411"/>
      <c r="E64" s="411"/>
      <c r="F64" s="411"/>
      <c r="G64" s="104">
        <f>SUM(G61:G63)</f>
        <v>1790.9600830560003</v>
      </c>
    </row>
    <row r="65" spans="2:13" ht="26.25" customHeight="1">
      <c r="B65" s="63"/>
      <c r="C65" s="63"/>
      <c r="D65" s="64"/>
    </row>
    <row r="66" spans="2:13" s="77" customFormat="1">
      <c r="B66" s="412" t="s">
        <v>143</v>
      </c>
      <c r="C66" s="413"/>
      <c r="D66" s="413"/>
      <c r="E66" s="413"/>
      <c r="F66" s="413"/>
      <c r="G66" s="414"/>
    </row>
    <row r="67" spans="2:13" s="77" customFormat="1">
      <c r="B67" s="415" t="s">
        <v>144</v>
      </c>
      <c r="C67" s="415"/>
      <c r="D67" s="415"/>
      <c r="E67" s="415"/>
      <c r="F67" s="105" t="s">
        <v>100</v>
      </c>
      <c r="G67" s="105" t="s">
        <v>115</v>
      </c>
      <c r="I67" s="79"/>
    </row>
    <row r="68" spans="2:13" s="77" customFormat="1" ht="31.5" customHeight="1">
      <c r="B68" s="82" t="s">
        <v>52</v>
      </c>
      <c r="C68" s="416" t="s">
        <v>145</v>
      </c>
      <c r="D68" s="416"/>
      <c r="E68" s="416"/>
      <c r="F68" s="80">
        <v>4.5999999999999999E-3</v>
      </c>
      <c r="G68" s="81">
        <f>ROUND(F68*$G$31,2)</f>
        <v>8.84</v>
      </c>
      <c r="I68"/>
      <c r="J68"/>
      <c r="K68"/>
      <c r="L68"/>
      <c r="M68"/>
    </row>
    <row r="69" spans="2:13" s="77" customFormat="1" ht="33" customHeight="1">
      <c r="B69" s="82" t="s">
        <v>53</v>
      </c>
      <c r="C69" s="416" t="s">
        <v>146</v>
      </c>
      <c r="D69" s="416"/>
      <c r="E69" s="416"/>
      <c r="F69" s="80">
        <v>8.9999999999999998E-4</v>
      </c>
      <c r="G69" s="81">
        <f t="shared" ref="G69:G73" si="1">ROUND(F69*$G$31,2)</f>
        <v>1.73</v>
      </c>
      <c r="H69" s="78"/>
      <c r="I69"/>
      <c r="J69"/>
      <c r="K69"/>
      <c r="L69"/>
      <c r="M69"/>
    </row>
    <row r="70" spans="2:13" s="77" customFormat="1">
      <c r="B70" s="82" t="s">
        <v>54</v>
      </c>
      <c r="C70" s="416" t="s">
        <v>147</v>
      </c>
      <c r="D70" s="453"/>
      <c r="E70" s="453"/>
      <c r="F70" s="80">
        <v>2.2200000000000001E-2</v>
      </c>
      <c r="G70" s="81">
        <f t="shared" si="1"/>
        <v>42.68</v>
      </c>
      <c r="I70"/>
      <c r="J70"/>
      <c r="K70"/>
      <c r="L70"/>
      <c r="M70"/>
    </row>
    <row r="71" spans="2:13" s="77" customFormat="1" ht="48" customHeight="1">
      <c r="B71" s="82" t="s">
        <v>55</v>
      </c>
      <c r="C71" s="416" t="s">
        <v>148</v>
      </c>
      <c r="D71" s="416"/>
      <c r="E71" s="416"/>
      <c r="F71" s="80">
        <v>1.9400000000000001E-2</v>
      </c>
      <c r="G71" s="81">
        <f t="shared" si="1"/>
        <v>37.299999999999997</v>
      </c>
      <c r="I71"/>
      <c r="J71"/>
      <c r="K71"/>
      <c r="L71"/>
      <c r="M71"/>
    </row>
    <row r="72" spans="2:13" s="77" customFormat="1" ht="35.25" customHeight="1">
      <c r="B72" s="82" t="s">
        <v>56</v>
      </c>
      <c r="C72" s="416" t="s">
        <v>149</v>
      </c>
      <c r="D72" s="416"/>
      <c r="E72" s="416"/>
      <c r="F72" s="80">
        <f>ROUND(F49*F71,4)</f>
        <v>7.1000000000000004E-3</v>
      </c>
      <c r="G72" s="81">
        <f t="shared" si="1"/>
        <v>13.65</v>
      </c>
      <c r="H72" s="78"/>
      <c r="I72"/>
      <c r="J72"/>
      <c r="K72"/>
      <c r="L72"/>
      <c r="M72"/>
    </row>
    <row r="73" spans="2:13" s="77" customFormat="1" ht="33.75" customHeight="1">
      <c r="B73" s="82" t="s">
        <v>108</v>
      </c>
      <c r="C73" s="416" t="s">
        <v>150</v>
      </c>
      <c r="D73" s="453"/>
      <c r="E73" s="453"/>
      <c r="F73" s="80">
        <v>3.2000000000000001E-2</v>
      </c>
      <c r="G73" s="81">
        <f t="shared" si="1"/>
        <v>61.53</v>
      </c>
      <c r="I73"/>
      <c r="J73"/>
      <c r="K73"/>
      <c r="L73"/>
      <c r="M73"/>
    </row>
    <row r="74" spans="2:13" s="77" customFormat="1" ht="15.75">
      <c r="B74" s="417" t="s">
        <v>151</v>
      </c>
      <c r="C74" s="417"/>
      <c r="D74" s="417"/>
      <c r="E74" s="417"/>
      <c r="F74" s="106">
        <f>SUM(F68:F73)</f>
        <v>8.6199999999999999E-2</v>
      </c>
      <c r="G74" s="107">
        <f>SUM(G68:G73)</f>
        <v>165.73000000000002</v>
      </c>
      <c r="I74"/>
      <c r="J74"/>
      <c r="K74"/>
      <c r="L74"/>
      <c r="M74"/>
    </row>
    <row r="75" spans="2:13" ht="26.25" customHeight="1">
      <c r="B75" s="22"/>
      <c r="C75" s="22"/>
      <c r="D75" s="22"/>
      <c r="E75" s="22"/>
      <c r="F75" s="23"/>
      <c r="G75" s="18"/>
    </row>
    <row r="76" spans="2:13" ht="15.75">
      <c r="B76" s="418" t="s">
        <v>152</v>
      </c>
      <c r="C76" s="418"/>
      <c r="D76" s="418"/>
      <c r="E76" s="418"/>
      <c r="F76" s="418"/>
      <c r="G76" s="418"/>
    </row>
    <row r="77" spans="2:13">
      <c r="B77" s="419" t="s">
        <v>153</v>
      </c>
      <c r="C77" s="419"/>
      <c r="D77" s="419"/>
      <c r="E77" s="419"/>
      <c r="F77" s="5" t="s">
        <v>100</v>
      </c>
      <c r="G77" s="5" t="s">
        <v>115</v>
      </c>
    </row>
    <row r="78" spans="2:13">
      <c r="B78" s="32" t="s">
        <v>52</v>
      </c>
      <c r="C78" s="399" t="s">
        <v>154</v>
      </c>
      <c r="D78" s="399"/>
      <c r="E78" s="399"/>
      <c r="F78" s="33">
        <v>8.3299999999999999E-2</v>
      </c>
      <c r="G78" s="34">
        <f>G$31*F78</f>
        <v>160.164242</v>
      </c>
      <c r="I78" s="21"/>
      <c r="J78" s="21"/>
    </row>
    <row r="79" spans="2:13">
      <c r="B79" s="32" t="s">
        <v>53</v>
      </c>
      <c r="C79" s="377" t="s">
        <v>155</v>
      </c>
      <c r="D79" s="377"/>
      <c r="E79" s="35"/>
      <c r="F79" s="36">
        <v>1.7500000000000002E-2</v>
      </c>
      <c r="G79" s="34">
        <f t="shared" ref="G79:G83" si="2">G$31*F79</f>
        <v>33.647950000000002</v>
      </c>
      <c r="J79" s="21"/>
      <c r="K79" s="21"/>
    </row>
    <row r="80" spans="2:13">
      <c r="B80" s="32" t="s">
        <v>54</v>
      </c>
      <c r="C80" s="377" t="s">
        <v>156</v>
      </c>
      <c r="D80" s="377"/>
      <c r="E80" s="35"/>
      <c r="F80" s="36">
        <v>5.0000000000000001E-4</v>
      </c>
      <c r="G80" s="34">
        <f t="shared" si="2"/>
        <v>0.96137000000000006</v>
      </c>
      <c r="J80" s="21"/>
    </row>
    <row r="81" spans="2:10">
      <c r="B81" s="32" t="s">
        <v>55</v>
      </c>
      <c r="C81" s="377" t="s">
        <v>157</v>
      </c>
      <c r="D81" s="377"/>
      <c r="E81" s="35"/>
      <c r="F81" s="36">
        <v>4.0000000000000002E-4</v>
      </c>
      <c r="G81" s="34">
        <f t="shared" si="2"/>
        <v>0.769096</v>
      </c>
      <c r="J81" s="21"/>
    </row>
    <row r="82" spans="2:10">
      <c r="B82" s="32" t="s">
        <v>56</v>
      </c>
      <c r="C82" s="377" t="s">
        <v>158</v>
      </c>
      <c r="D82" s="377"/>
      <c r="E82" s="35"/>
      <c r="F82" s="36">
        <v>4.0000000000000002E-4</v>
      </c>
      <c r="G82" s="34">
        <f t="shared" si="2"/>
        <v>0.769096</v>
      </c>
      <c r="J82" s="21"/>
    </row>
    <row r="83" spans="2:10">
      <c r="B83" s="32" t="s">
        <v>108</v>
      </c>
      <c r="C83" s="377" t="s">
        <v>159</v>
      </c>
      <c r="D83" s="377"/>
      <c r="E83" s="35"/>
      <c r="F83" s="36">
        <v>0</v>
      </c>
      <c r="G83" s="34">
        <f t="shared" si="2"/>
        <v>0</v>
      </c>
    </row>
    <row r="84" spans="2:10" ht="15.75">
      <c r="B84" s="420" t="s">
        <v>160</v>
      </c>
      <c r="C84" s="420"/>
      <c r="D84" s="420"/>
      <c r="E84" s="420"/>
      <c r="F84" s="108">
        <f>SUM(F78:F83)</f>
        <v>0.1021</v>
      </c>
      <c r="G84" s="109">
        <f>SUM(G78:G83)</f>
        <v>196.31175399999998</v>
      </c>
      <c r="J84" s="21"/>
    </row>
    <row r="85" spans="2:10" ht="15.75">
      <c r="B85" s="65"/>
      <c r="C85" s="65"/>
      <c r="D85" s="65"/>
      <c r="E85" s="65"/>
      <c r="F85" s="66"/>
      <c r="G85" s="67"/>
      <c r="J85" s="21"/>
    </row>
    <row r="86" spans="2:10">
      <c r="J86" s="21"/>
    </row>
    <row r="87" spans="2:10" ht="15.75">
      <c r="B87" s="103" t="s">
        <v>161</v>
      </c>
      <c r="C87" s="396" t="s">
        <v>162</v>
      </c>
      <c r="D87" s="396"/>
      <c r="E87" s="396"/>
      <c r="F87" s="396"/>
      <c r="G87" s="110" t="s">
        <v>101</v>
      </c>
      <c r="J87" s="21"/>
    </row>
    <row r="88" spans="2:10" ht="15.75">
      <c r="B88" s="74"/>
      <c r="C88" s="410"/>
      <c r="D88" s="410"/>
      <c r="E88" s="410"/>
      <c r="F88" s="410"/>
      <c r="G88" s="83" t="s">
        <v>138</v>
      </c>
      <c r="J88" s="21"/>
    </row>
    <row r="89" spans="2:10" ht="15.75">
      <c r="B89" s="73" t="s">
        <v>52</v>
      </c>
      <c r="C89" s="410" t="s">
        <v>163</v>
      </c>
      <c r="D89" s="410"/>
      <c r="E89" s="410"/>
      <c r="F89" s="410"/>
      <c r="G89" s="84">
        <v>0</v>
      </c>
      <c r="J89" s="21"/>
    </row>
    <row r="90" spans="2:10" ht="15.75">
      <c r="B90" s="393" t="s">
        <v>20</v>
      </c>
      <c r="C90" s="394"/>
      <c r="D90" s="394"/>
      <c r="E90" s="394"/>
      <c r="F90" s="395"/>
      <c r="G90" s="84">
        <v>0</v>
      </c>
      <c r="J90" s="21"/>
    </row>
    <row r="91" spans="2:10">
      <c r="J91" s="21"/>
    </row>
    <row r="92" spans="2:10" ht="15.75">
      <c r="B92" s="103">
        <v>4</v>
      </c>
      <c r="C92" s="396" t="s">
        <v>164</v>
      </c>
      <c r="D92" s="396"/>
      <c r="E92" s="396"/>
      <c r="F92" s="396"/>
      <c r="G92" s="110" t="s">
        <v>101</v>
      </c>
      <c r="J92" s="21"/>
    </row>
    <row r="93" spans="2:10" ht="15.75">
      <c r="B93" s="74"/>
      <c r="C93" s="410"/>
      <c r="D93" s="410"/>
      <c r="E93" s="410"/>
      <c r="F93" s="410"/>
      <c r="G93" s="83" t="s">
        <v>138</v>
      </c>
      <c r="J93" s="21"/>
    </row>
    <row r="94" spans="2:10" ht="15.75">
      <c r="B94" s="74" t="s">
        <v>41</v>
      </c>
      <c r="C94" s="410" t="s">
        <v>165</v>
      </c>
      <c r="D94" s="410"/>
      <c r="E94" s="410"/>
      <c r="F94" s="410"/>
      <c r="G94" s="75">
        <f>G84</f>
        <v>196.31175399999998</v>
      </c>
      <c r="J94" s="21"/>
    </row>
    <row r="95" spans="2:10" ht="15.75">
      <c r="B95" s="74" t="s">
        <v>161</v>
      </c>
      <c r="C95" s="410" t="s">
        <v>162</v>
      </c>
      <c r="D95" s="410"/>
      <c r="E95" s="410"/>
      <c r="F95" s="410"/>
      <c r="G95" s="84">
        <v>0</v>
      </c>
      <c r="J95" s="21"/>
    </row>
    <row r="96" spans="2:10" s="37" customFormat="1" ht="15.75">
      <c r="B96" s="393" t="s">
        <v>20</v>
      </c>
      <c r="C96" s="394"/>
      <c r="D96" s="394"/>
      <c r="E96" s="394"/>
      <c r="F96" s="395"/>
      <c r="G96" s="76">
        <f>SUM(G94:G95)</f>
        <v>196.31175399999998</v>
      </c>
    </row>
    <row r="97" spans="2:7" s="37" customFormat="1" ht="15.75">
      <c r="B97" s="68"/>
      <c r="C97" s="68"/>
      <c r="D97" s="68"/>
      <c r="E97" s="68"/>
      <c r="F97" s="68"/>
      <c r="G97" s="88"/>
    </row>
    <row r="98" spans="2:7" s="37" customFormat="1" ht="12.75">
      <c r="B98" s="397" t="s">
        <v>166</v>
      </c>
      <c r="C98" s="397"/>
      <c r="D98" s="397"/>
      <c r="E98" s="397"/>
      <c r="F98" s="397"/>
      <c r="G98" s="397"/>
    </row>
    <row r="99" spans="2:7" ht="15.75">
      <c r="B99" s="398" t="s">
        <v>167</v>
      </c>
      <c r="C99" s="398"/>
      <c r="D99" s="398"/>
      <c r="E99" s="398"/>
      <c r="F99" s="398"/>
      <c r="G99" s="90" t="s">
        <v>101</v>
      </c>
    </row>
    <row r="100" spans="2:7">
      <c r="B100" s="85" t="s">
        <v>52</v>
      </c>
      <c r="C100" s="430" t="s">
        <v>168</v>
      </c>
      <c r="D100" s="430"/>
      <c r="E100" s="430"/>
      <c r="F100" s="430"/>
      <c r="G100" s="91">
        <f>UNIFORME!E8</f>
        <v>34.266666666666666</v>
      </c>
    </row>
    <row r="101" spans="2:7">
      <c r="B101" s="26" t="s">
        <v>53</v>
      </c>
      <c r="C101" s="427" t="s">
        <v>169</v>
      </c>
      <c r="D101" s="428"/>
      <c r="E101" s="428"/>
      <c r="F101" s="429"/>
      <c r="G101" s="89">
        <v>0</v>
      </c>
    </row>
    <row r="102" spans="2:7">
      <c r="B102" s="32" t="s">
        <v>54</v>
      </c>
      <c r="C102" s="377" t="s">
        <v>170</v>
      </c>
      <c r="D102" s="378"/>
      <c r="E102" s="378"/>
      <c r="F102" s="379"/>
      <c r="G102" s="20">
        <f>EPI!E10</f>
        <v>6.9050000000000002</v>
      </c>
    </row>
    <row r="103" spans="2:7">
      <c r="B103" s="38" t="s">
        <v>55</v>
      </c>
      <c r="C103" s="399" t="s">
        <v>135</v>
      </c>
      <c r="D103" s="399"/>
      <c r="E103" s="399"/>
      <c r="F103" s="399"/>
      <c r="G103" s="20"/>
    </row>
    <row r="104" spans="2:7" ht="15.75" customHeight="1">
      <c r="B104" s="400" t="s">
        <v>171</v>
      </c>
      <c r="C104" s="401"/>
      <c r="D104" s="401"/>
      <c r="E104" s="401"/>
      <c r="F104" s="402"/>
      <c r="G104" s="111">
        <f>G100+G101+G102+G103</f>
        <v>41.171666666666667</v>
      </c>
    </row>
    <row r="106" spans="2:7" ht="18">
      <c r="B106" s="382" t="s">
        <v>172</v>
      </c>
      <c r="C106" s="383"/>
      <c r="D106" s="383"/>
      <c r="E106" s="383"/>
      <c r="F106" s="383"/>
      <c r="G106" s="384"/>
    </row>
    <row r="107" spans="2:7" ht="18">
      <c r="D107" s="39"/>
      <c r="E107" s="39"/>
      <c r="F107" s="39"/>
    </row>
    <row r="108" spans="2:7" ht="15.75">
      <c r="B108" s="30"/>
      <c r="C108" s="400" t="s">
        <v>173</v>
      </c>
      <c r="D108" s="401"/>
      <c r="E108" s="401"/>
      <c r="F108" s="402"/>
      <c r="G108" s="30" t="s">
        <v>101</v>
      </c>
    </row>
    <row r="109" spans="2:7">
      <c r="B109" s="8">
        <v>1</v>
      </c>
      <c r="C109" s="375" t="s">
        <v>174</v>
      </c>
      <c r="D109" s="375"/>
      <c r="E109" s="375"/>
      <c r="F109" s="375"/>
      <c r="G109" s="40">
        <f>G31</f>
        <v>1922.74</v>
      </c>
    </row>
    <row r="110" spans="2:7">
      <c r="B110" s="8">
        <v>2</v>
      </c>
      <c r="C110" s="375" t="s">
        <v>175</v>
      </c>
      <c r="D110" s="375"/>
      <c r="E110" s="375"/>
      <c r="F110" s="375"/>
      <c r="G110" s="40">
        <f>G38+G49+G57</f>
        <v>1790.9600830560003</v>
      </c>
    </row>
    <row r="111" spans="2:7">
      <c r="B111" s="8">
        <v>3</v>
      </c>
      <c r="C111" s="375" t="s">
        <v>176</v>
      </c>
      <c r="D111" s="375"/>
      <c r="E111" s="375"/>
      <c r="F111" s="375"/>
      <c r="G111" s="40">
        <f>G74</f>
        <v>165.73000000000002</v>
      </c>
    </row>
    <row r="112" spans="2:7">
      <c r="B112" s="8">
        <v>4</v>
      </c>
      <c r="C112" s="375" t="s">
        <v>177</v>
      </c>
      <c r="D112" s="375"/>
      <c r="E112" s="375"/>
      <c r="F112" s="375"/>
      <c r="G112" s="40">
        <f>G84</f>
        <v>196.31175399999998</v>
      </c>
    </row>
    <row r="113" spans="2:11">
      <c r="B113" s="8">
        <v>5</v>
      </c>
      <c r="C113" s="375" t="s">
        <v>178</v>
      </c>
      <c r="D113" s="375"/>
      <c r="E113" s="375"/>
      <c r="F113" s="375"/>
      <c r="G113" s="40">
        <f>G104</f>
        <v>41.171666666666667</v>
      </c>
    </row>
    <row r="114" spans="2:11">
      <c r="B114" s="8">
        <v>6</v>
      </c>
      <c r="C114" s="375" t="s">
        <v>159</v>
      </c>
      <c r="D114" s="375"/>
      <c r="E114" s="375"/>
      <c r="F114" s="375"/>
      <c r="G114" s="25"/>
    </row>
    <row r="115" spans="2:11" ht="15.75">
      <c r="B115" s="420" t="s">
        <v>20</v>
      </c>
      <c r="C115" s="420"/>
      <c r="D115" s="420"/>
      <c r="E115" s="420"/>
      <c r="F115" s="420"/>
      <c r="G115" s="41">
        <f>SUM(G109:G114)</f>
        <v>4116.913503722667</v>
      </c>
    </row>
    <row r="116" spans="2:11" ht="15.75">
      <c r="B116" s="22"/>
      <c r="C116" s="22"/>
      <c r="D116" s="22"/>
      <c r="E116" s="22"/>
      <c r="F116" s="22"/>
      <c r="G116" s="42"/>
    </row>
    <row r="117" spans="2:11">
      <c r="B117" s="403" t="s">
        <v>179</v>
      </c>
      <c r="C117" s="404"/>
      <c r="D117" s="404"/>
      <c r="E117" s="404"/>
      <c r="F117" s="404"/>
      <c r="G117" s="405"/>
    </row>
    <row r="118" spans="2:11" ht="15.75">
      <c r="B118" s="43">
        <v>6</v>
      </c>
      <c r="C118" s="44" t="s">
        <v>180</v>
      </c>
      <c r="D118" s="45"/>
      <c r="E118" s="46"/>
      <c r="F118" s="47" t="s">
        <v>100</v>
      </c>
      <c r="G118" s="6" t="s">
        <v>115</v>
      </c>
    </row>
    <row r="119" spans="2:11" ht="15.75">
      <c r="B119" s="8" t="s">
        <v>52</v>
      </c>
      <c r="C119" s="375" t="s">
        <v>181</v>
      </c>
      <c r="D119" s="375"/>
      <c r="E119" s="375"/>
      <c r="F119" s="132">
        <v>0.1</v>
      </c>
      <c r="G119" s="48">
        <f>G115*F119</f>
        <v>411.6913503722667</v>
      </c>
      <c r="J119" s="92">
        <f>SUM(F122:F124)</f>
        <v>8.6499999999999994E-2</v>
      </c>
      <c r="K119" s="93"/>
    </row>
    <row r="120" spans="2:11" ht="15.75">
      <c r="B120" s="8" t="s">
        <v>53</v>
      </c>
      <c r="C120" s="377" t="s">
        <v>182</v>
      </c>
      <c r="D120" s="378"/>
      <c r="E120" s="379"/>
      <c r="F120" s="132">
        <v>0.1</v>
      </c>
      <c r="G120" s="48">
        <f>(G119+G115)*F120</f>
        <v>452.86048540949344</v>
      </c>
      <c r="J120" s="94">
        <f>G136</f>
        <v>4116.913503722667</v>
      </c>
      <c r="K120" s="95"/>
    </row>
    <row r="121" spans="2:11" ht="15.75">
      <c r="B121" s="8" t="s">
        <v>54</v>
      </c>
      <c r="C121" s="375" t="s">
        <v>183</v>
      </c>
      <c r="D121" s="375"/>
      <c r="E121" s="375"/>
      <c r="F121" s="49"/>
      <c r="G121" s="50">
        <v>0</v>
      </c>
      <c r="J121" s="96">
        <f>G119+G120</f>
        <v>864.55183578176013</v>
      </c>
      <c r="K121" s="97"/>
    </row>
    <row r="122" spans="2:11" ht="15.75">
      <c r="B122" s="8"/>
      <c r="C122" s="375" t="s">
        <v>184</v>
      </c>
      <c r="D122" s="375"/>
      <c r="E122" s="375"/>
      <c r="F122" s="19">
        <v>6.4999999999999997E-3</v>
      </c>
      <c r="G122" s="50">
        <f>F122*I123</f>
        <v>35.445566181476501</v>
      </c>
      <c r="I122" s="50"/>
      <c r="J122" s="96">
        <f>SUM(J120:J121)</f>
        <v>4981.465339504427</v>
      </c>
      <c r="K122" s="98"/>
    </row>
    <row r="123" spans="2:11" ht="15.75">
      <c r="B123" s="8"/>
      <c r="C123" s="375" t="s">
        <v>185</v>
      </c>
      <c r="D123" s="375"/>
      <c r="E123" s="375"/>
      <c r="F123" s="19">
        <v>0.03</v>
      </c>
      <c r="G123" s="50">
        <f>F123*I123</f>
        <v>163.59492083758386</v>
      </c>
      <c r="I123" s="50">
        <f>(G115+G119+G120)/0.9135</f>
        <v>5453.1640279194617</v>
      </c>
      <c r="J123" s="96">
        <f>J122/(1-J119)</f>
        <v>5453.1640279194608</v>
      </c>
      <c r="K123" s="98"/>
    </row>
    <row r="124" spans="2:11" ht="15.75">
      <c r="B124" s="8"/>
      <c r="C124" s="375" t="s">
        <v>186</v>
      </c>
      <c r="D124" s="375"/>
      <c r="E124" s="375"/>
      <c r="F124" s="19">
        <v>0.05</v>
      </c>
      <c r="G124" s="50">
        <f>F124*I123</f>
        <v>272.65820139597309</v>
      </c>
      <c r="J124" s="98"/>
      <c r="K124" s="98"/>
    </row>
    <row r="125" spans="2:11" ht="15.75">
      <c r="B125" s="8"/>
      <c r="C125" s="390" t="s">
        <v>187</v>
      </c>
      <c r="D125" s="391"/>
      <c r="E125" s="392"/>
      <c r="F125" s="19">
        <v>0</v>
      </c>
      <c r="G125" s="50">
        <f>F125*I123</f>
        <v>0</v>
      </c>
      <c r="J125" s="96">
        <f>SUM(H123:H125)</f>
        <v>0</v>
      </c>
      <c r="K125" s="96"/>
    </row>
    <row r="126" spans="2:11">
      <c r="B126" s="8"/>
      <c r="C126" s="426" t="s">
        <v>188</v>
      </c>
      <c r="D126" s="426"/>
      <c r="E126" s="426"/>
      <c r="F126" s="52">
        <f>SUM(F119:F125)</f>
        <v>0.28650000000000003</v>
      </c>
      <c r="G126" s="53">
        <f>SUM(G119:G125)</f>
        <v>1336.2505241967935</v>
      </c>
    </row>
    <row r="128" spans="2:11" ht="18">
      <c r="B128" s="382" t="s">
        <v>189</v>
      </c>
      <c r="C128" s="383"/>
      <c r="D128" s="383"/>
      <c r="E128" s="383"/>
      <c r="F128" s="383"/>
      <c r="G128" s="384"/>
    </row>
    <row r="130" spans="2:7">
      <c r="B130" s="112"/>
      <c r="C130" s="387" t="s">
        <v>190</v>
      </c>
      <c r="D130" s="388"/>
      <c r="E130" s="388"/>
      <c r="F130" s="389"/>
      <c r="G130" s="112" t="s">
        <v>115</v>
      </c>
    </row>
    <row r="131" spans="2:7">
      <c r="B131" s="8" t="s">
        <v>52</v>
      </c>
      <c r="C131" s="375" t="s">
        <v>191</v>
      </c>
      <c r="D131" s="375"/>
      <c r="E131" s="375"/>
      <c r="F131" s="375"/>
      <c r="G131" s="7">
        <f>G109</f>
        <v>1922.74</v>
      </c>
    </row>
    <row r="132" spans="2:7">
      <c r="B132" s="8" t="s">
        <v>53</v>
      </c>
      <c r="C132" s="375" t="s">
        <v>113</v>
      </c>
      <c r="D132" s="375"/>
      <c r="E132" s="375"/>
      <c r="F132" s="375"/>
      <c r="G132" s="7">
        <f>G110</f>
        <v>1790.9600830560003</v>
      </c>
    </row>
    <row r="133" spans="2:7">
      <c r="B133" s="8" t="s">
        <v>54</v>
      </c>
      <c r="C133" s="375" t="s">
        <v>143</v>
      </c>
      <c r="D133" s="375"/>
      <c r="E133" s="375"/>
      <c r="F133" s="375"/>
      <c r="G133" s="7">
        <f>G111</f>
        <v>165.73000000000002</v>
      </c>
    </row>
    <row r="134" spans="2:7">
      <c r="B134" s="8" t="s">
        <v>55</v>
      </c>
      <c r="C134" s="375" t="s">
        <v>192</v>
      </c>
      <c r="D134" s="375"/>
      <c r="E134" s="375"/>
      <c r="F134" s="375"/>
      <c r="G134" s="7">
        <f>G112</f>
        <v>196.31175399999998</v>
      </c>
    </row>
    <row r="135" spans="2:7">
      <c r="B135" s="8" t="s">
        <v>56</v>
      </c>
      <c r="C135" s="377" t="s">
        <v>178</v>
      </c>
      <c r="D135" s="378"/>
      <c r="E135" s="378"/>
      <c r="F135" s="379"/>
      <c r="G135" s="7">
        <f>G113</f>
        <v>41.171666666666667</v>
      </c>
    </row>
    <row r="136" spans="2:7">
      <c r="B136" s="380" t="s">
        <v>193</v>
      </c>
      <c r="C136" s="380"/>
      <c r="D136" s="380"/>
      <c r="E136" s="380"/>
      <c r="F136" s="380"/>
      <c r="G136" s="7">
        <f>SUM(G131:G135)</f>
        <v>4116.913503722667</v>
      </c>
    </row>
    <row r="137" spans="2:7">
      <c r="B137" s="8" t="s">
        <v>108</v>
      </c>
      <c r="C137" s="375" t="s">
        <v>194</v>
      </c>
      <c r="D137" s="375"/>
      <c r="E137" s="375"/>
      <c r="F137" s="375"/>
      <c r="G137" s="7">
        <f>G126</f>
        <v>1336.2505241967935</v>
      </c>
    </row>
    <row r="138" spans="2:7">
      <c r="B138" s="381" t="s">
        <v>195</v>
      </c>
      <c r="C138" s="381"/>
      <c r="D138" s="381"/>
      <c r="E138" s="381"/>
      <c r="F138" s="381"/>
      <c r="G138" s="54">
        <f>ROUNDDOWN(G136+G137,2)</f>
        <v>5453.16</v>
      </c>
    </row>
    <row r="139" spans="2:7">
      <c r="F139" s="3"/>
      <c r="G139" s="3"/>
    </row>
    <row r="140" spans="2:7" ht="18">
      <c r="B140" s="382" t="s">
        <v>196</v>
      </c>
      <c r="C140" s="383"/>
      <c r="D140" s="383"/>
      <c r="E140" s="383"/>
      <c r="F140" s="383"/>
      <c r="G140" s="384"/>
    </row>
    <row r="141" spans="2:7">
      <c r="F141" s="3"/>
      <c r="G141" s="3"/>
    </row>
    <row r="142" spans="2:7">
      <c r="B142" s="12" t="s">
        <v>197</v>
      </c>
      <c r="C142" s="12" t="s">
        <v>198</v>
      </c>
      <c r="D142" s="12" t="s">
        <v>199</v>
      </c>
      <c r="E142" s="12" t="s">
        <v>200</v>
      </c>
      <c r="F142" s="12" t="s">
        <v>201</v>
      </c>
      <c r="G142" s="12" t="s">
        <v>202</v>
      </c>
    </row>
    <row r="143" spans="2:7">
      <c r="B143" s="87"/>
      <c r="C143" s="6" t="s">
        <v>203</v>
      </c>
      <c r="D143" s="6" t="s">
        <v>204</v>
      </c>
      <c r="E143" s="6" t="s">
        <v>205</v>
      </c>
      <c r="F143" s="6" t="s">
        <v>206</v>
      </c>
      <c r="G143" s="6" t="s">
        <v>207</v>
      </c>
    </row>
    <row r="144" spans="2:7">
      <c r="B144" s="113" t="str">
        <f>G19</f>
        <v>PEDEIRO</v>
      </c>
      <c r="C144" s="55">
        <f>G138</f>
        <v>5453.16</v>
      </c>
      <c r="D144" s="56">
        <f>F14</f>
        <v>1</v>
      </c>
      <c r="E144" s="57">
        <f>C144</f>
        <v>5453.16</v>
      </c>
      <c r="F144" s="133">
        <v>1</v>
      </c>
      <c r="G144" s="57">
        <f>E144*F144</f>
        <v>5453.16</v>
      </c>
    </row>
    <row r="145" spans="2:7">
      <c r="B145" s="6"/>
      <c r="C145" s="49"/>
      <c r="D145" s="49"/>
      <c r="E145" s="49"/>
      <c r="F145" s="8"/>
      <c r="G145" s="8"/>
    </row>
    <row r="146" spans="2:7">
      <c r="B146" s="8"/>
      <c r="C146" s="49"/>
      <c r="D146" s="49"/>
      <c r="E146" s="49"/>
      <c r="F146" s="8"/>
      <c r="G146" s="8"/>
    </row>
    <row r="147" spans="2:7">
      <c r="B147" s="8"/>
      <c r="C147" s="49"/>
      <c r="D147" s="49"/>
      <c r="E147" s="49"/>
      <c r="F147" s="8"/>
      <c r="G147" s="8"/>
    </row>
    <row r="148" spans="2:7">
      <c r="B148" s="8"/>
      <c r="C148" s="49"/>
      <c r="D148" s="49"/>
      <c r="E148" s="49"/>
      <c r="F148" s="8"/>
      <c r="G148" s="8"/>
    </row>
    <row r="149" spans="2:7" ht="18">
      <c r="C149" s="59"/>
      <c r="D149" s="59"/>
      <c r="E149" s="59"/>
      <c r="F149" s="59"/>
      <c r="G149" s="59"/>
    </row>
    <row r="150" spans="2:7" ht="18">
      <c r="B150" s="382" t="s">
        <v>208</v>
      </c>
      <c r="C150" s="383"/>
      <c r="D150" s="383"/>
      <c r="E150" s="383"/>
      <c r="F150" s="383"/>
      <c r="G150" s="384"/>
    </row>
    <row r="151" spans="2:7" ht="18">
      <c r="B151" s="59"/>
      <c r="C151" s="59"/>
      <c r="D151" s="59"/>
      <c r="E151" s="59"/>
      <c r="F151" s="59"/>
      <c r="G151" s="59"/>
    </row>
    <row r="152" spans="2:7" ht="18">
      <c r="B152" s="60"/>
      <c r="C152" s="385" t="s">
        <v>209</v>
      </c>
      <c r="D152" s="385"/>
      <c r="E152" s="385"/>
      <c r="F152" s="385"/>
      <c r="G152" s="385"/>
    </row>
    <row r="153" spans="2:7">
      <c r="B153" s="8"/>
      <c r="C153" s="386" t="s">
        <v>50</v>
      </c>
      <c r="D153" s="386"/>
      <c r="E153" s="386"/>
      <c r="F153" s="386"/>
      <c r="G153" s="51" t="s">
        <v>115</v>
      </c>
    </row>
    <row r="154" spans="2:7">
      <c r="B154" s="8" t="s">
        <v>52</v>
      </c>
      <c r="C154" s="375" t="s">
        <v>210</v>
      </c>
      <c r="D154" s="375"/>
      <c r="E154" s="375"/>
      <c r="F154" s="375"/>
      <c r="G154" s="25">
        <f>C144</f>
        <v>5453.16</v>
      </c>
    </row>
    <row r="155" spans="2:7">
      <c r="B155" s="58" t="s">
        <v>53</v>
      </c>
      <c r="C155" s="376" t="s">
        <v>211</v>
      </c>
      <c r="D155" s="376"/>
      <c r="E155" s="376"/>
      <c r="F155" s="376"/>
      <c r="G155" s="215">
        <f>G154/21</f>
        <v>259.6742857142857</v>
      </c>
    </row>
  </sheetData>
  <mergeCells count="132">
    <mergeCell ref="C153:F153"/>
    <mergeCell ref="C154:F154"/>
    <mergeCell ref="C155:F155"/>
    <mergeCell ref="C10:E10"/>
    <mergeCell ref="F10:G10"/>
    <mergeCell ref="B136:F136"/>
    <mergeCell ref="C137:F137"/>
    <mergeCell ref="B138:F138"/>
    <mergeCell ref="B140:G140"/>
    <mergeCell ref="B150:G150"/>
    <mergeCell ref="C152:G152"/>
    <mergeCell ref="C130:F130"/>
    <mergeCell ref="C131:F131"/>
    <mergeCell ref="C132:F132"/>
    <mergeCell ref="C133:F133"/>
    <mergeCell ref="C134:F134"/>
    <mergeCell ref="C135:F135"/>
    <mergeCell ref="C123:E123"/>
    <mergeCell ref="C124:E124"/>
    <mergeCell ref="C125:E125"/>
    <mergeCell ref="C126:E126"/>
    <mergeCell ref="B128:G128"/>
    <mergeCell ref="B115:F115"/>
    <mergeCell ref="B117:G117"/>
    <mergeCell ref="C119:E119"/>
    <mergeCell ref="C120:E120"/>
    <mergeCell ref="C121:E121"/>
    <mergeCell ref="C122:E122"/>
    <mergeCell ref="C109:F109"/>
    <mergeCell ref="C110:F110"/>
    <mergeCell ref="C111:F111"/>
    <mergeCell ref="C112:F112"/>
    <mergeCell ref="C113:F113"/>
    <mergeCell ref="C114:F114"/>
    <mergeCell ref="C101:F101"/>
    <mergeCell ref="C102:F102"/>
    <mergeCell ref="C103:F103"/>
    <mergeCell ref="B106:G106"/>
    <mergeCell ref="C108:F108"/>
    <mergeCell ref="C94:F94"/>
    <mergeCell ref="C95:F95"/>
    <mergeCell ref="B98:G98"/>
    <mergeCell ref="B99:F99"/>
    <mergeCell ref="C100:F100"/>
    <mergeCell ref="B96:F96"/>
    <mergeCell ref="B104:F104"/>
    <mergeCell ref="C88:F88"/>
    <mergeCell ref="C89:F89"/>
    <mergeCell ref="C93:F93"/>
    <mergeCell ref="C81:D81"/>
    <mergeCell ref="C82:D82"/>
    <mergeCell ref="C83:D83"/>
    <mergeCell ref="B84:E84"/>
    <mergeCell ref="C87:F87"/>
    <mergeCell ref="B90:F90"/>
    <mergeCell ref="C92:F92"/>
    <mergeCell ref="C31:E31"/>
    <mergeCell ref="B33:G33"/>
    <mergeCell ref="B35:E35"/>
    <mergeCell ref="C36:E36"/>
    <mergeCell ref="C37:E37"/>
    <mergeCell ref="B49:E49"/>
    <mergeCell ref="B51:F51"/>
    <mergeCell ref="C52:F52"/>
    <mergeCell ref="C44:E44"/>
    <mergeCell ref="C45:E45"/>
    <mergeCell ref="C46:E46"/>
    <mergeCell ref="C47:E47"/>
    <mergeCell ref="C48:E48"/>
    <mergeCell ref="B38:E38"/>
    <mergeCell ref="B40:E40"/>
    <mergeCell ref="C41:E41"/>
    <mergeCell ref="C42:E42"/>
    <mergeCell ref="C43:E43"/>
    <mergeCell ref="C25:E25"/>
    <mergeCell ref="C26:E26"/>
    <mergeCell ref="C27:E27"/>
    <mergeCell ref="C28:E28"/>
    <mergeCell ref="C29:E29"/>
    <mergeCell ref="C30:E30"/>
    <mergeCell ref="C19:F19"/>
    <mergeCell ref="C20:F20"/>
    <mergeCell ref="C21:F21"/>
    <mergeCell ref="D22:F22"/>
    <mergeCell ref="C23:E23"/>
    <mergeCell ref="C24:E24"/>
    <mergeCell ref="B16:G16"/>
    <mergeCell ref="C17:F17"/>
    <mergeCell ref="C18:F18"/>
    <mergeCell ref="C8:E8"/>
    <mergeCell ref="F8:G8"/>
    <mergeCell ref="C9:E9"/>
    <mergeCell ref="F9:G9"/>
    <mergeCell ref="B12:G12"/>
    <mergeCell ref="B13:C13"/>
    <mergeCell ref="D13:E13"/>
    <mergeCell ref="F13:G13"/>
    <mergeCell ref="C1:D1"/>
    <mergeCell ref="C2:D2"/>
    <mergeCell ref="B4:G4"/>
    <mergeCell ref="C6:E6"/>
    <mergeCell ref="F6:G6"/>
    <mergeCell ref="C7:E7"/>
    <mergeCell ref="F7:G7"/>
    <mergeCell ref="B14:C14"/>
    <mergeCell ref="D14:E14"/>
    <mergeCell ref="F14:G14"/>
    <mergeCell ref="C80:D80"/>
    <mergeCell ref="C70:E70"/>
    <mergeCell ref="C71:E71"/>
    <mergeCell ref="C72:E72"/>
    <mergeCell ref="C73:E73"/>
    <mergeCell ref="C56:F56"/>
    <mergeCell ref="C57:F57"/>
    <mergeCell ref="C60:F60"/>
    <mergeCell ref="C61:F61"/>
    <mergeCell ref="C53:F53"/>
    <mergeCell ref="C54:F54"/>
    <mergeCell ref="C55:F55"/>
    <mergeCell ref="B74:E74"/>
    <mergeCell ref="B76:G76"/>
    <mergeCell ref="B77:E77"/>
    <mergeCell ref="C78:E78"/>
    <mergeCell ref="C79:D79"/>
    <mergeCell ref="C59:F59"/>
    <mergeCell ref="B64:F64"/>
    <mergeCell ref="B66:G66"/>
    <mergeCell ref="B67:E67"/>
    <mergeCell ref="C68:E68"/>
    <mergeCell ref="C63:F63"/>
    <mergeCell ref="C69:E69"/>
    <mergeCell ref="C62:F62"/>
  </mergeCells>
  <pageMargins left="0.511811024" right="0.511811024" top="0.78740157499999996" bottom="0.78740157499999996" header="0.31496062000000002" footer="0.31496062000000002"/>
  <pageSetup paperSize="0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N155"/>
  <sheetViews>
    <sheetView showGridLines="0" topLeftCell="A119" workbookViewId="0">
      <selection activeCell="G53" sqref="G53"/>
    </sheetView>
  </sheetViews>
  <sheetFormatPr defaultRowHeight="15"/>
  <cols>
    <col min="1" max="1" width="2.7109375" customWidth="1"/>
    <col min="2" max="2" width="15" style="3" customWidth="1"/>
    <col min="3" max="3" width="13.42578125" customWidth="1"/>
    <col min="4" max="4" width="30.7109375" customWidth="1"/>
    <col min="5" max="5" width="15.7109375" customWidth="1"/>
    <col min="6" max="6" width="14.42578125" customWidth="1"/>
    <col min="7" max="7" width="19.140625" bestFit="1" customWidth="1"/>
    <col min="8" max="8" width="8.5703125" customWidth="1"/>
    <col min="9" max="9" width="14" customWidth="1"/>
    <col min="10" max="10" width="10.5703125" bestFit="1" customWidth="1"/>
    <col min="11" max="11" width="45.85546875" customWidth="1"/>
    <col min="12" max="12" width="10.5703125" bestFit="1" customWidth="1"/>
    <col min="13" max="13" width="9.5703125" bestFit="1" customWidth="1"/>
  </cols>
  <sheetData>
    <row r="1" spans="2:11">
      <c r="B1" s="134" t="s">
        <v>75</v>
      </c>
      <c r="C1" s="438"/>
      <c r="D1" s="439"/>
      <c r="E1" s="2"/>
      <c r="F1" s="2"/>
    </row>
    <row r="2" spans="2:11">
      <c r="B2" s="134" t="s">
        <v>76</v>
      </c>
      <c r="C2" s="440"/>
      <c r="D2" s="439"/>
      <c r="E2" s="2"/>
      <c r="F2" s="2"/>
    </row>
    <row r="3" spans="2:11">
      <c r="C3" s="2"/>
      <c r="D3" s="2"/>
      <c r="E3" s="2"/>
      <c r="F3" s="2"/>
    </row>
    <row r="4" spans="2:11">
      <c r="B4" s="441" t="s">
        <v>77</v>
      </c>
      <c r="C4" s="441"/>
      <c r="D4" s="441"/>
      <c r="E4" s="441"/>
      <c r="F4" s="441"/>
      <c r="G4" s="441"/>
    </row>
    <row r="5" spans="2:11">
      <c r="C5" s="2"/>
    </row>
    <row r="6" spans="2:11" ht="15" customHeight="1">
      <c r="B6" s="85" t="s">
        <v>52</v>
      </c>
      <c r="C6" s="430" t="s">
        <v>78</v>
      </c>
      <c r="D6" s="430"/>
      <c r="E6" s="430"/>
      <c r="F6" s="442" t="s">
        <v>79</v>
      </c>
      <c r="G6" s="432"/>
      <c r="I6" s="69"/>
      <c r="J6" s="69"/>
      <c r="K6" s="69"/>
    </row>
    <row r="7" spans="2:11">
      <c r="B7" s="85" t="s">
        <v>53</v>
      </c>
      <c r="C7" s="430" t="s">
        <v>80</v>
      </c>
      <c r="D7" s="430"/>
      <c r="E7" s="430"/>
      <c r="F7" s="443" t="s">
        <v>81</v>
      </c>
      <c r="G7" s="439"/>
      <c r="I7" s="69"/>
      <c r="J7" s="69"/>
      <c r="K7" s="69"/>
    </row>
    <row r="8" spans="2:11">
      <c r="B8" s="85" t="s">
        <v>54</v>
      </c>
      <c r="C8" s="430" t="s">
        <v>82</v>
      </c>
      <c r="D8" s="430"/>
      <c r="E8" s="430"/>
      <c r="F8" s="431" t="s">
        <v>83</v>
      </c>
      <c r="G8" s="432"/>
      <c r="I8" s="69"/>
      <c r="J8" s="69"/>
      <c r="K8" s="69"/>
    </row>
    <row r="9" spans="2:11">
      <c r="B9" s="85" t="s">
        <v>55</v>
      </c>
      <c r="C9" s="430" t="s">
        <v>84</v>
      </c>
      <c r="D9" s="430"/>
      <c r="E9" s="430"/>
      <c r="F9" s="431">
        <v>12</v>
      </c>
      <c r="G9" s="432"/>
      <c r="I9" s="69"/>
      <c r="J9" s="69"/>
      <c r="K9" s="69"/>
    </row>
    <row r="10" spans="2:11">
      <c r="B10" s="85" t="s">
        <v>56</v>
      </c>
      <c r="C10" s="430" t="s">
        <v>85</v>
      </c>
      <c r="D10" s="430"/>
      <c r="E10" s="430"/>
      <c r="F10" s="443" t="s">
        <v>86</v>
      </c>
      <c r="G10" s="439"/>
      <c r="I10" s="69"/>
      <c r="J10" s="69"/>
      <c r="K10" s="69"/>
    </row>
    <row r="11" spans="2:11">
      <c r="C11" s="2"/>
      <c r="D11" s="2"/>
      <c r="E11" s="2"/>
      <c r="F11" s="2"/>
      <c r="G11" s="3"/>
      <c r="I11" s="69"/>
      <c r="J11" s="69"/>
      <c r="K11" s="69"/>
    </row>
    <row r="12" spans="2:11">
      <c r="B12" s="448" t="s">
        <v>87</v>
      </c>
      <c r="C12" s="448"/>
      <c r="D12" s="448"/>
      <c r="E12" s="448"/>
      <c r="F12" s="448"/>
      <c r="G12" s="448"/>
      <c r="I12" s="69"/>
      <c r="J12" s="69"/>
      <c r="K12" s="69"/>
    </row>
    <row r="13" spans="2:11" ht="36" customHeight="1">
      <c r="B13" s="445" t="s">
        <v>88</v>
      </c>
      <c r="C13" s="445"/>
      <c r="D13" s="445" t="s">
        <v>89</v>
      </c>
      <c r="E13" s="445"/>
      <c r="F13" s="446" t="s">
        <v>90</v>
      </c>
      <c r="G13" s="446"/>
    </row>
    <row r="14" spans="2:11" ht="15" customHeight="1">
      <c r="B14" s="449" t="s">
        <v>91</v>
      </c>
      <c r="C14" s="449"/>
      <c r="D14" s="450" t="s">
        <v>92</v>
      </c>
      <c r="E14" s="450"/>
      <c r="F14" s="451">
        <v>1</v>
      </c>
      <c r="G14" s="451"/>
    </row>
    <row r="15" spans="2:11" ht="18">
      <c r="B15" s="59"/>
      <c r="C15" s="4"/>
      <c r="D15" s="4"/>
      <c r="E15" s="4"/>
      <c r="F15" s="4"/>
    </row>
    <row r="16" spans="2:11">
      <c r="B16" s="452" t="s">
        <v>93</v>
      </c>
      <c r="C16" s="452"/>
      <c r="D16" s="452"/>
      <c r="E16" s="452"/>
      <c r="F16" s="452"/>
      <c r="G16" s="452"/>
    </row>
    <row r="17" spans="2:7">
      <c r="B17" s="5">
        <v>1</v>
      </c>
      <c r="C17" s="447" t="s">
        <v>94</v>
      </c>
      <c r="D17" s="447"/>
      <c r="E17" s="447"/>
      <c r="F17" s="447"/>
      <c r="G17" s="6" t="str">
        <f>B14</f>
        <v>Manutenção Predial</v>
      </c>
    </row>
    <row r="18" spans="2:7">
      <c r="B18" s="51">
        <v>2</v>
      </c>
      <c r="C18" s="375" t="s">
        <v>95</v>
      </c>
      <c r="D18" s="375"/>
      <c r="E18" s="375"/>
      <c r="F18" s="375"/>
      <c r="G18" s="125">
        <v>1922.74</v>
      </c>
    </row>
    <row r="19" spans="2:7" s="77" customFormat="1">
      <c r="B19" s="135">
        <v>3</v>
      </c>
      <c r="C19" s="444" t="s">
        <v>96</v>
      </c>
      <c r="D19" s="444"/>
      <c r="E19" s="444"/>
      <c r="F19" s="444"/>
      <c r="G19" s="136" t="s">
        <v>212</v>
      </c>
    </row>
    <row r="20" spans="2:7">
      <c r="B20" s="51">
        <v>4</v>
      </c>
      <c r="C20" s="377" t="s">
        <v>97</v>
      </c>
      <c r="D20" s="378"/>
      <c r="E20" s="378"/>
      <c r="F20" s="379"/>
      <c r="G20" s="126" t="s">
        <v>86</v>
      </c>
    </row>
    <row r="21" spans="2:7">
      <c r="B21" s="51">
        <v>5</v>
      </c>
      <c r="C21" s="375" t="s">
        <v>98</v>
      </c>
      <c r="D21" s="375"/>
      <c r="E21" s="375"/>
      <c r="F21" s="375"/>
      <c r="G21" s="127">
        <v>44440</v>
      </c>
    </row>
    <row r="22" spans="2:7">
      <c r="C22" s="3"/>
      <c r="D22" s="436"/>
      <c r="E22" s="436"/>
      <c r="F22" s="436"/>
      <c r="G22" s="3"/>
    </row>
    <row r="23" spans="2:7">
      <c r="B23" s="99">
        <v>1</v>
      </c>
      <c r="C23" s="433" t="s">
        <v>99</v>
      </c>
      <c r="D23" s="434"/>
      <c r="E23" s="435"/>
      <c r="F23" s="99" t="s">
        <v>100</v>
      </c>
      <c r="G23" s="99" t="s">
        <v>101</v>
      </c>
    </row>
    <row r="24" spans="2:7">
      <c r="B24" s="8" t="s">
        <v>52</v>
      </c>
      <c r="C24" s="375" t="s">
        <v>102</v>
      </c>
      <c r="D24" s="375"/>
      <c r="E24" s="375"/>
      <c r="F24" s="8">
        <v>100</v>
      </c>
      <c r="G24" s="9">
        <f>G18</f>
        <v>1922.74</v>
      </c>
    </row>
    <row r="25" spans="2:7">
      <c r="B25" s="8" t="s">
        <v>53</v>
      </c>
      <c r="C25" s="375" t="s">
        <v>103</v>
      </c>
      <c r="D25" s="375"/>
      <c r="E25" s="375"/>
      <c r="F25" s="10">
        <v>0</v>
      </c>
      <c r="G25" s="11">
        <v>0</v>
      </c>
    </row>
    <row r="26" spans="2:7">
      <c r="B26" s="8" t="s">
        <v>54</v>
      </c>
      <c r="C26" s="375" t="s">
        <v>104</v>
      </c>
      <c r="D26" s="375"/>
      <c r="E26" s="375"/>
      <c r="F26" s="10"/>
      <c r="G26" s="11">
        <f>G24*F26</f>
        <v>0</v>
      </c>
    </row>
    <row r="27" spans="2:7">
      <c r="B27" s="8" t="s">
        <v>55</v>
      </c>
      <c r="C27" s="375" t="s">
        <v>105</v>
      </c>
      <c r="D27" s="375"/>
      <c r="E27" s="375"/>
      <c r="F27" s="10"/>
      <c r="G27" s="11">
        <f>G26*F27</f>
        <v>0</v>
      </c>
    </row>
    <row r="28" spans="2:7">
      <c r="B28" s="8" t="s">
        <v>106</v>
      </c>
      <c r="C28" s="375" t="s">
        <v>107</v>
      </c>
      <c r="D28" s="375"/>
      <c r="E28" s="375"/>
      <c r="F28" s="10"/>
      <c r="G28" s="11">
        <f>G27*F28</f>
        <v>0</v>
      </c>
    </row>
    <row r="29" spans="2:7">
      <c r="B29" s="8" t="s">
        <v>108</v>
      </c>
      <c r="C29" s="375" t="s">
        <v>109</v>
      </c>
      <c r="D29" s="375"/>
      <c r="E29" s="375"/>
      <c r="F29" s="10">
        <v>0</v>
      </c>
      <c r="G29" s="11">
        <f>G28*F29</f>
        <v>0</v>
      </c>
    </row>
    <row r="30" spans="2:7">
      <c r="B30" s="12" t="s">
        <v>110</v>
      </c>
      <c r="C30" s="437" t="s">
        <v>111</v>
      </c>
      <c r="D30" s="437"/>
      <c r="E30" s="437"/>
      <c r="F30" s="13">
        <v>0</v>
      </c>
      <c r="G30" s="14">
        <f>G24*F30</f>
        <v>0</v>
      </c>
    </row>
    <row r="31" spans="2:7">
      <c r="B31" s="15"/>
      <c r="C31" s="421" t="s">
        <v>112</v>
      </c>
      <c r="D31" s="421"/>
      <c r="E31" s="421"/>
      <c r="F31" s="15"/>
      <c r="G31" s="16">
        <f>SUM(G24,G25,G26,G27,G28,G29,G30)</f>
        <v>1922.74</v>
      </c>
    </row>
    <row r="32" spans="2:7" ht="15" customHeight="1">
      <c r="C32" s="17"/>
      <c r="D32" s="17"/>
      <c r="E32" s="17"/>
      <c r="F32" s="3"/>
      <c r="G32" s="18"/>
    </row>
    <row r="33" spans="2:14" ht="15" customHeight="1">
      <c r="B33" s="422" t="s">
        <v>113</v>
      </c>
      <c r="C33" s="423"/>
      <c r="D33" s="423"/>
      <c r="E33" s="423"/>
      <c r="F33" s="423"/>
      <c r="G33" s="424"/>
      <c r="N33" s="69"/>
    </row>
    <row r="34" spans="2:14">
      <c r="B34" s="17"/>
      <c r="C34" s="3"/>
      <c r="D34" s="3"/>
      <c r="E34" s="3"/>
      <c r="F34" s="3"/>
      <c r="G34" s="3"/>
      <c r="N34" s="69"/>
    </row>
    <row r="35" spans="2:14" ht="15" customHeight="1">
      <c r="B35" s="425" t="s">
        <v>114</v>
      </c>
      <c r="C35" s="425"/>
      <c r="D35" s="425"/>
      <c r="E35" s="425"/>
      <c r="F35" s="101" t="s">
        <v>100</v>
      </c>
      <c r="G35" s="101" t="s">
        <v>115</v>
      </c>
      <c r="N35" s="69"/>
    </row>
    <row r="36" spans="2:14">
      <c r="B36" s="8" t="s">
        <v>52</v>
      </c>
      <c r="C36" s="399" t="s">
        <v>116</v>
      </c>
      <c r="D36" s="399"/>
      <c r="E36" s="399"/>
      <c r="F36" s="19">
        <v>8.3299999999999999E-2</v>
      </c>
      <c r="G36" s="20">
        <f>F36*G31</f>
        <v>160.164242</v>
      </c>
      <c r="N36" s="69"/>
    </row>
    <row r="37" spans="2:14">
      <c r="B37" s="8" t="s">
        <v>53</v>
      </c>
      <c r="C37" s="399" t="s">
        <v>117</v>
      </c>
      <c r="D37" s="399"/>
      <c r="E37" s="399"/>
      <c r="F37" s="19">
        <f>(1/12)+((1/3)/12)</f>
        <v>0.1111111111111111</v>
      </c>
      <c r="G37" s="20">
        <f>F37*G31</f>
        <v>213.63777777777776</v>
      </c>
      <c r="N37" s="69"/>
    </row>
    <row r="38" spans="2:14" ht="15.75">
      <c r="B38" s="420" t="s">
        <v>118</v>
      </c>
      <c r="C38" s="420"/>
      <c r="D38" s="420"/>
      <c r="E38" s="420"/>
      <c r="F38" s="130">
        <f>SUM(F36:F37)</f>
        <v>0.19441111111111109</v>
      </c>
      <c r="G38" s="184">
        <f>SUM(G36:G37)</f>
        <v>373.80201977777779</v>
      </c>
      <c r="N38" s="69"/>
    </row>
    <row r="39" spans="2:14" ht="15.75">
      <c r="B39" s="22"/>
      <c r="C39" s="22"/>
      <c r="D39" s="22"/>
      <c r="E39" s="22"/>
      <c r="F39" s="23"/>
      <c r="G39" s="24"/>
      <c r="N39" s="69"/>
    </row>
    <row r="40" spans="2:14">
      <c r="B40" s="425" t="s">
        <v>119</v>
      </c>
      <c r="C40" s="425"/>
      <c r="D40" s="425"/>
      <c r="E40" s="425"/>
      <c r="F40" s="101" t="s">
        <v>100</v>
      </c>
      <c r="G40" s="101" t="s">
        <v>115</v>
      </c>
      <c r="N40" s="69"/>
    </row>
    <row r="41" spans="2:14">
      <c r="B41" s="8" t="s">
        <v>52</v>
      </c>
      <c r="C41" s="375" t="s">
        <v>120</v>
      </c>
      <c r="D41" s="375"/>
      <c r="E41" s="375"/>
      <c r="F41" s="19">
        <v>0.2</v>
      </c>
      <c r="G41" s="25">
        <f>($G$31+$G$38)*F41</f>
        <v>459.30840395555555</v>
      </c>
      <c r="N41" s="69"/>
    </row>
    <row r="42" spans="2:14">
      <c r="B42" s="8" t="s">
        <v>53</v>
      </c>
      <c r="C42" s="375" t="s">
        <v>121</v>
      </c>
      <c r="D42" s="375"/>
      <c r="E42" s="375"/>
      <c r="F42" s="19">
        <v>2.5000000000000001E-2</v>
      </c>
      <c r="G42" s="25">
        <f t="shared" ref="G42:G48" si="0">($G$31+$G$38)*F42</f>
        <v>57.413550494444443</v>
      </c>
      <c r="N42" s="69"/>
    </row>
    <row r="43" spans="2:14">
      <c r="B43" s="8" t="s">
        <v>54</v>
      </c>
      <c r="C43" s="375" t="s">
        <v>122</v>
      </c>
      <c r="D43" s="375"/>
      <c r="E43" s="375"/>
      <c r="F43" s="70">
        <v>0.03</v>
      </c>
      <c r="G43" s="25">
        <f t="shared" si="0"/>
        <v>68.896260593333324</v>
      </c>
      <c r="N43" s="69"/>
    </row>
    <row r="44" spans="2:14">
      <c r="B44" s="8" t="s">
        <v>55</v>
      </c>
      <c r="C44" s="375" t="s">
        <v>123</v>
      </c>
      <c r="D44" s="375"/>
      <c r="E44" s="375"/>
      <c r="F44" s="19">
        <v>1.4999999999999999E-2</v>
      </c>
      <c r="G44" s="25">
        <f t="shared" si="0"/>
        <v>34.448130296666662</v>
      </c>
      <c r="N44" s="69"/>
    </row>
    <row r="45" spans="2:14">
      <c r="B45" s="8" t="s">
        <v>56</v>
      </c>
      <c r="C45" s="375" t="s">
        <v>124</v>
      </c>
      <c r="D45" s="375"/>
      <c r="E45" s="375"/>
      <c r="F45" s="19">
        <v>0.01</v>
      </c>
      <c r="G45" s="25">
        <f t="shared" si="0"/>
        <v>22.965420197777775</v>
      </c>
      <c r="N45" s="69"/>
    </row>
    <row r="46" spans="2:14">
      <c r="B46" s="8" t="s">
        <v>108</v>
      </c>
      <c r="C46" s="375" t="s">
        <v>125</v>
      </c>
      <c r="D46" s="375"/>
      <c r="E46" s="375"/>
      <c r="F46" s="19">
        <v>6.0000000000000001E-3</v>
      </c>
      <c r="G46" s="25">
        <f t="shared" si="0"/>
        <v>13.779252118666665</v>
      </c>
      <c r="N46" s="69"/>
    </row>
    <row r="47" spans="2:14">
      <c r="B47" s="8" t="s">
        <v>110</v>
      </c>
      <c r="C47" s="375" t="s">
        <v>126</v>
      </c>
      <c r="D47" s="375"/>
      <c r="E47" s="375"/>
      <c r="F47" s="19">
        <v>2E-3</v>
      </c>
      <c r="G47" s="25">
        <f t="shared" si="0"/>
        <v>4.5930840395555554</v>
      </c>
      <c r="N47" s="69"/>
    </row>
    <row r="48" spans="2:14">
      <c r="B48" s="8" t="s">
        <v>127</v>
      </c>
      <c r="C48" s="375" t="s">
        <v>128</v>
      </c>
      <c r="D48" s="375"/>
      <c r="E48" s="375"/>
      <c r="F48" s="19">
        <v>0.08</v>
      </c>
      <c r="G48" s="25">
        <f t="shared" si="0"/>
        <v>183.7233615822222</v>
      </c>
      <c r="N48" s="69"/>
    </row>
    <row r="49" spans="2:14" ht="15.75">
      <c r="B49" s="420" t="s">
        <v>129</v>
      </c>
      <c r="C49" s="420"/>
      <c r="D49" s="420"/>
      <c r="E49" s="420"/>
      <c r="F49" s="128">
        <f>SUM(F41:F48)</f>
        <v>0.36800000000000005</v>
      </c>
      <c r="G49" s="129">
        <f>SUM(G41:G48)</f>
        <v>845.12746327822231</v>
      </c>
      <c r="N49" s="69"/>
    </row>
    <row r="50" spans="2:14">
      <c r="B50" s="26"/>
      <c r="C50" s="27"/>
      <c r="D50" s="28"/>
      <c r="E50" s="28"/>
      <c r="F50" s="28"/>
      <c r="G50" s="29"/>
      <c r="N50" s="69"/>
    </row>
    <row r="51" spans="2:14" ht="15.75">
      <c r="B51" s="406" t="s">
        <v>130</v>
      </c>
      <c r="C51" s="407"/>
      <c r="D51" s="407"/>
      <c r="E51" s="407"/>
      <c r="F51" s="408"/>
      <c r="G51" s="100" t="s">
        <v>101</v>
      </c>
      <c r="N51" s="69"/>
    </row>
    <row r="52" spans="2:14">
      <c r="B52" s="8" t="s">
        <v>52</v>
      </c>
      <c r="C52" s="375" t="s">
        <v>131</v>
      </c>
      <c r="D52" s="375"/>
      <c r="E52" s="375"/>
      <c r="F52" s="375"/>
      <c r="G52" s="25">
        <f>TRANSPORTE!F12</f>
        <v>241.03559999999999</v>
      </c>
      <c r="H52" s="31"/>
      <c r="I52" s="69"/>
      <c r="J52" s="69"/>
      <c r="K52" s="69"/>
      <c r="L52" s="69"/>
      <c r="M52" s="69"/>
      <c r="N52" s="69"/>
    </row>
    <row r="53" spans="2:14">
      <c r="B53" s="56" t="s">
        <v>53</v>
      </c>
      <c r="C53" s="409" t="s">
        <v>132</v>
      </c>
      <c r="D53" s="409"/>
      <c r="E53" s="409"/>
      <c r="F53" s="409"/>
      <c r="G53" s="72">
        <v>300</v>
      </c>
      <c r="H53" s="71"/>
      <c r="I53" s="69"/>
      <c r="J53" s="69"/>
      <c r="K53" s="69"/>
      <c r="L53" s="69"/>
      <c r="M53" s="69"/>
      <c r="N53" s="69"/>
    </row>
    <row r="54" spans="2:14">
      <c r="B54" s="8" t="s">
        <v>54</v>
      </c>
      <c r="C54" s="375" t="s">
        <v>133</v>
      </c>
      <c r="D54" s="375"/>
      <c r="E54" s="375"/>
      <c r="F54" s="375"/>
      <c r="G54" s="20">
        <f>'CAFÉ DA MANHÃ'!F9</f>
        <v>26.995000000000001</v>
      </c>
      <c r="I54" s="69"/>
      <c r="J54" s="69"/>
      <c r="K54" s="69"/>
      <c r="L54" s="69"/>
      <c r="M54" s="69"/>
      <c r="N54" s="69"/>
    </row>
    <row r="55" spans="2:14">
      <c r="B55" s="8" t="s">
        <v>55</v>
      </c>
      <c r="C55" s="454" t="s">
        <v>134</v>
      </c>
      <c r="D55" s="455"/>
      <c r="E55" s="455"/>
      <c r="F55" s="456"/>
      <c r="G55" s="20">
        <v>4</v>
      </c>
      <c r="I55" s="69"/>
      <c r="J55" s="69"/>
      <c r="K55" s="69"/>
      <c r="L55" s="69"/>
      <c r="M55" s="69"/>
    </row>
    <row r="56" spans="2:14">
      <c r="B56" s="8" t="s">
        <v>108</v>
      </c>
      <c r="C56" s="375" t="s">
        <v>135</v>
      </c>
      <c r="D56" s="375"/>
      <c r="E56" s="375"/>
      <c r="F56" s="375"/>
      <c r="G56" s="20">
        <v>0</v>
      </c>
    </row>
    <row r="57" spans="2:14">
      <c r="B57" s="8"/>
      <c r="C57" s="426" t="s">
        <v>136</v>
      </c>
      <c r="D57" s="426"/>
      <c r="E57" s="426"/>
      <c r="F57" s="426"/>
      <c r="G57" s="131">
        <f>SUM(G52:G56)</f>
        <v>572.03059999999994</v>
      </c>
    </row>
    <row r="58" spans="2:14">
      <c r="B58" s="86"/>
      <c r="C58" s="61"/>
      <c r="D58" s="61"/>
      <c r="E58" s="61"/>
      <c r="F58" s="61"/>
      <c r="G58" s="62"/>
    </row>
    <row r="59" spans="2:14" ht="15.75">
      <c r="B59" s="102">
        <v>2</v>
      </c>
      <c r="C59" s="396" t="s">
        <v>137</v>
      </c>
      <c r="D59" s="396"/>
      <c r="E59" s="396"/>
      <c r="F59" s="396"/>
      <c r="G59" s="103" t="s">
        <v>101</v>
      </c>
    </row>
    <row r="60" spans="2:14" ht="15.75">
      <c r="B60" s="74"/>
      <c r="C60" s="410"/>
      <c r="D60" s="410"/>
      <c r="E60" s="410"/>
      <c r="F60" s="410"/>
      <c r="G60" s="73" t="s">
        <v>138</v>
      </c>
    </row>
    <row r="61" spans="2:14" ht="15.75">
      <c r="B61" s="74" t="s">
        <v>23</v>
      </c>
      <c r="C61" s="410" t="s">
        <v>139</v>
      </c>
      <c r="D61" s="410"/>
      <c r="E61" s="410"/>
      <c r="F61" s="410"/>
      <c r="G61" s="75">
        <f>G38</f>
        <v>373.80201977777779</v>
      </c>
    </row>
    <row r="62" spans="2:14" ht="15.75">
      <c r="B62" s="74" t="s">
        <v>25</v>
      </c>
      <c r="C62" s="410" t="s">
        <v>140</v>
      </c>
      <c r="D62" s="410"/>
      <c r="E62" s="410"/>
      <c r="F62" s="410"/>
      <c r="G62" s="75">
        <f>G49</f>
        <v>845.12746327822231</v>
      </c>
    </row>
    <row r="63" spans="2:14" ht="15.75">
      <c r="B63" s="74" t="s">
        <v>141</v>
      </c>
      <c r="C63" s="410" t="s">
        <v>142</v>
      </c>
      <c r="D63" s="410"/>
      <c r="E63" s="410"/>
      <c r="F63" s="410"/>
      <c r="G63" s="75">
        <f>G57</f>
        <v>572.03059999999994</v>
      </c>
    </row>
    <row r="64" spans="2:14" ht="15.75">
      <c r="B64" s="411" t="s">
        <v>20</v>
      </c>
      <c r="C64" s="411"/>
      <c r="D64" s="411"/>
      <c r="E64" s="411"/>
      <c r="F64" s="411"/>
      <c r="G64" s="104">
        <f>SUM(G61:G63)</f>
        <v>1790.9600830560003</v>
      </c>
    </row>
    <row r="65" spans="2:13" ht="26.25" customHeight="1">
      <c r="B65" s="63"/>
      <c r="C65" s="63"/>
      <c r="D65" s="64"/>
    </row>
    <row r="66" spans="2:13" s="77" customFormat="1">
      <c r="B66" s="412" t="s">
        <v>143</v>
      </c>
      <c r="C66" s="413"/>
      <c r="D66" s="413"/>
      <c r="E66" s="413"/>
      <c r="F66" s="413"/>
      <c r="G66" s="414"/>
    </row>
    <row r="67" spans="2:13" s="77" customFormat="1">
      <c r="B67" s="415" t="s">
        <v>144</v>
      </c>
      <c r="C67" s="415"/>
      <c r="D67" s="415"/>
      <c r="E67" s="415"/>
      <c r="F67" s="105" t="s">
        <v>100</v>
      </c>
      <c r="G67" s="105" t="s">
        <v>115</v>
      </c>
      <c r="I67" s="79"/>
    </row>
    <row r="68" spans="2:13" s="77" customFormat="1" ht="31.5" customHeight="1">
      <c r="B68" s="82" t="s">
        <v>52</v>
      </c>
      <c r="C68" s="416" t="s">
        <v>145</v>
      </c>
      <c r="D68" s="416"/>
      <c r="E68" s="416"/>
      <c r="F68" s="80">
        <v>4.5999999999999999E-3</v>
      </c>
      <c r="G68" s="81">
        <f>ROUND(F68*$G$31,2)</f>
        <v>8.84</v>
      </c>
      <c r="I68"/>
      <c r="J68"/>
      <c r="K68"/>
      <c r="L68"/>
      <c r="M68"/>
    </row>
    <row r="69" spans="2:13" s="77" customFormat="1" ht="33" customHeight="1">
      <c r="B69" s="82" t="s">
        <v>53</v>
      </c>
      <c r="C69" s="416" t="s">
        <v>146</v>
      </c>
      <c r="D69" s="416"/>
      <c r="E69" s="416"/>
      <c r="F69" s="80">
        <v>8.9999999999999998E-4</v>
      </c>
      <c r="G69" s="81">
        <f t="shared" ref="G69:G73" si="1">ROUND(F69*$G$31,2)</f>
        <v>1.73</v>
      </c>
      <c r="H69" s="78"/>
      <c r="I69"/>
      <c r="J69"/>
      <c r="K69"/>
      <c r="L69"/>
      <c r="M69"/>
    </row>
    <row r="70" spans="2:13" s="77" customFormat="1">
      <c r="B70" s="82" t="s">
        <v>54</v>
      </c>
      <c r="C70" s="416" t="s">
        <v>147</v>
      </c>
      <c r="D70" s="453"/>
      <c r="E70" s="453"/>
      <c r="F70" s="80">
        <v>2.2200000000000001E-2</v>
      </c>
      <c r="G70" s="81">
        <f t="shared" si="1"/>
        <v>42.68</v>
      </c>
      <c r="I70"/>
      <c r="J70"/>
      <c r="K70"/>
      <c r="L70"/>
      <c r="M70"/>
    </row>
    <row r="71" spans="2:13" s="77" customFormat="1" ht="48" customHeight="1">
      <c r="B71" s="82" t="s">
        <v>55</v>
      </c>
      <c r="C71" s="416" t="s">
        <v>148</v>
      </c>
      <c r="D71" s="416"/>
      <c r="E71" s="416"/>
      <c r="F71" s="80">
        <v>1.9400000000000001E-2</v>
      </c>
      <c r="G71" s="81">
        <f t="shared" si="1"/>
        <v>37.299999999999997</v>
      </c>
      <c r="I71"/>
      <c r="J71"/>
      <c r="K71"/>
      <c r="L71"/>
      <c r="M71"/>
    </row>
    <row r="72" spans="2:13" s="77" customFormat="1" ht="35.25" customHeight="1">
      <c r="B72" s="82" t="s">
        <v>56</v>
      </c>
      <c r="C72" s="416" t="s">
        <v>149</v>
      </c>
      <c r="D72" s="416"/>
      <c r="E72" s="416"/>
      <c r="F72" s="80">
        <f>ROUND(F49*F71,4)</f>
        <v>7.1000000000000004E-3</v>
      </c>
      <c r="G72" s="81">
        <f t="shared" si="1"/>
        <v>13.65</v>
      </c>
      <c r="H72" s="78"/>
      <c r="I72"/>
      <c r="J72"/>
      <c r="K72"/>
      <c r="L72"/>
      <c r="M72"/>
    </row>
    <row r="73" spans="2:13" s="77" customFormat="1" ht="33.75" customHeight="1">
      <c r="B73" s="82" t="s">
        <v>108</v>
      </c>
      <c r="C73" s="416" t="s">
        <v>150</v>
      </c>
      <c r="D73" s="453"/>
      <c r="E73" s="453"/>
      <c r="F73" s="80">
        <v>3.2000000000000001E-2</v>
      </c>
      <c r="G73" s="81">
        <f t="shared" si="1"/>
        <v>61.53</v>
      </c>
      <c r="I73"/>
      <c r="J73"/>
      <c r="K73"/>
      <c r="L73"/>
      <c r="M73"/>
    </row>
    <row r="74" spans="2:13" s="77" customFormat="1" ht="15.75">
      <c r="B74" s="417" t="s">
        <v>151</v>
      </c>
      <c r="C74" s="417"/>
      <c r="D74" s="417"/>
      <c r="E74" s="417"/>
      <c r="F74" s="106">
        <f>SUM(F68:F73)</f>
        <v>8.6199999999999999E-2</v>
      </c>
      <c r="G74" s="107">
        <f>SUM(G68:G73)</f>
        <v>165.73000000000002</v>
      </c>
      <c r="I74"/>
      <c r="J74"/>
      <c r="K74"/>
      <c r="L74"/>
      <c r="M74"/>
    </row>
    <row r="75" spans="2:13" ht="26.25" customHeight="1">
      <c r="B75" s="22"/>
      <c r="C75" s="22"/>
      <c r="D75" s="22"/>
      <c r="E75" s="22"/>
      <c r="F75" s="23"/>
      <c r="G75" s="18"/>
    </row>
    <row r="76" spans="2:13" ht="15.75">
      <c r="B76" s="418" t="s">
        <v>152</v>
      </c>
      <c r="C76" s="418"/>
      <c r="D76" s="418"/>
      <c r="E76" s="418"/>
      <c r="F76" s="418"/>
      <c r="G76" s="418"/>
    </row>
    <row r="77" spans="2:13">
      <c r="B77" s="419" t="s">
        <v>153</v>
      </c>
      <c r="C77" s="419"/>
      <c r="D77" s="419"/>
      <c r="E77" s="419"/>
      <c r="F77" s="5" t="s">
        <v>100</v>
      </c>
      <c r="G77" s="5" t="s">
        <v>115</v>
      </c>
    </row>
    <row r="78" spans="2:13">
      <c r="B78" s="32" t="s">
        <v>52</v>
      </c>
      <c r="C78" s="399" t="s">
        <v>154</v>
      </c>
      <c r="D78" s="399"/>
      <c r="E78" s="399"/>
      <c r="F78" s="33">
        <v>8.3299999999999999E-2</v>
      </c>
      <c r="G78" s="34">
        <f>G$31*F78</f>
        <v>160.164242</v>
      </c>
      <c r="I78" s="21"/>
      <c r="J78" s="21"/>
    </row>
    <row r="79" spans="2:13">
      <c r="B79" s="32" t="s">
        <v>53</v>
      </c>
      <c r="C79" s="377" t="s">
        <v>155</v>
      </c>
      <c r="D79" s="377"/>
      <c r="E79" s="35"/>
      <c r="F79" s="36">
        <v>1.7500000000000002E-2</v>
      </c>
      <c r="G79" s="34">
        <f t="shared" ref="G79:G83" si="2">G$31*F79</f>
        <v>33.647950000000002</v>
      </c>
      <c r="J79" s="21"/>
      <c r="K79" s="21"/>
    </row>
    <row r="80" spans="2:13">
      <c r="B80" s="32" t="s">
        <v>54</v>
      </c>
      <c r="C80" s="377" t="s">
        <v>156</v>
      </c>
      <c r="D80" s="377"/>
      <c r="E80" s="35"/>
      <c r="F80" s="36">
        <v>5.0000000000000001E-4</v>
      </c>
      <c r="G80" s="34">
        <f t="shared" si="2"/>
        <v>0.96137000000000006</v>
      </c>
      <c r="J80" s="21"/>
    </row>
    <row r="81" spans="2:10">
      <c r="B81" s="32" t="s">
        <v>55</v>
      </c>
      <c r="C81" s="377" t="s">
        <v>157</v>
      </c>
      <c r="D81" s="377"/>
      <c r="E81" s="35"/>
      <c r="F81" s="36">
        <v>4.0000000000000002E-4</v>
      </c>
      <c r="G81" s="34">
        <f t="shared" si="2"/>
        <v>0.769096</v>
      </c>
      <c r="J81" s="21"/>
    </row>
    <row r="82" spans="2:10">
      <c r="B82" s="32" t="s">
        <v>56</v>
      </c>
      <c r="C82" s="377" t="s">
        <v>158</v>
      </c>
      <c r="D82" s="377"/>
      <c r="E82" s="35"/>
      <c r="F82" s="36">
        <v>4.0000000000000002E-4</v>
      </c>
      <c r="G82" s="34">
        <f t="shared" si="2"/>
        <v>0.769096</v>
      </c>
      <c r="J82" s="21"/>
    </row>
    <row r="83" spans="2:10">
      <c r="B83" s="32" t="s">
        <v>108</v>
      </c>
      <c r="C83" s="377" t="s">
        <v>159</v>
      </c>
      <c r="D83" s="377"/>
      <c r="E83" s="35"/>
      <c r="F83" s="36">
        <v>0</v>
      </c>
      <c r="G83" s="34">
        <f t="shared" si="2"/>
        <v>0</v>
      </c>
    </row>
    <row r="84" spans="2:10" ht="15.75">
      <c r="B84" s="420" t="s">
        <v>160</v>
      </c>
      <c r="C84" s="420"/>
      <c r="D84" s="420"/>
      <c r="E84" s="420"/>
      <c r="F84" s="108">
        <f>SUM(F78:F83)</f>
        <v>0.1021</v>
      </c>
      <c r="G84" s="109">
        <f>SUM(G78:G83)</f>
        <v>196.31175399999998</v>
      </c>
      <c r="J84" s="21"/>
    </row>
    <row r="85" spans="2:10" ht="15.75">
      <c r="B85" s="65"/>
      <c r="C85" s="65"/>
      <c r="D85" s="65"/>
      <c r="E85" s="65"/>
      <c r="F85" s="66"/>
      <c r="G85" s="67"/>
      <c r="J85" s="21"/>
    </row>
    <row r="86" spans="2:10">
      <c r="J86" s="21"/>
    </row>
    <row r="87" spans="2:10" ht="15.75">
      <c r="B87" s="103" t="s">
        <v>161</v>
      </c>
      <c r="C87" s="396" t="s">
        <v>162</v>
      </c>
      <c r="D87" s="396"/>
      <c r="E87" s="396"/>
      <c r="F87" s="396"/>
      <c r="G87" s="110" t="s">
        <v>101</v>
      </c>
      <c r="J87" s="21"/>
    </row>
    <row r="88" spans="2:10" ht="15.75">
      <c r="B88" s="74"/>
      <c r="C88" s="410"/>
      <c r="D88" s="410"/>
      <c r="E88" s="410"/>
      <c r="F88" s="410"/>
      <c r="G88" s="83" t="s">
        <v>138</v>
      </c>
      <c r="J88" s="21"/>
    </row>
    <row r="89" spans="2:10" ht="15.75">
      <c r="B89" s="73" t="s">
        <v>52</v>
      </c>
      <c r="C89" s="410" t="s">
        <v>163</v>
      </c>
      <c r="D89" s="410"/>
      <c r="E89" s="410"/>
      <c r="F89" s="410"/>
      <c r="G89" s="84">
        <v>0</v>
      </c>
      <c r="J89" s="21"/>
    </row>
    <row r="90" spans="2:10" ht="15.75">
      <c r="B90" s="393" t="s">
        <v>20</v>
      </c>
      <c r="C90" s="394"/>
      <c r="D90" s="394"/>
      <c r="E90" s="394"/>
      <c r="F90" s="395"/>
      <c r="G90" s="84">
        <v>0</v>
      </c>
      <c r="J90" s="21"/>
    </row>
    <row r="91" spans="2:10">
      <c r="J91" s="21"/>
    </row>
    <row r="92" spans="2:10" ht="15.75">
      <c r="B92" s="103">
        <v>4</v>
      </c>
      <c r="C92" s="396" t="s">
        <v>164</v>
      </c>
      <c r="D92" s="396"/>
      <c r="E92" s="396"/>
      <c r="F92" s="396"/>
      <c r="G92" s="110" t="s">
        <v>101</v>
      </c>
      <c r="J92" s="21"/>
    </row>
    <row r="93" spans="2:10" ht="15.75">
      <c r="B93" s="74"/>
      <c r="C93" s="410"/>
      <c r="D93" s="410"/>
      <c r="E93" s="410"/>
      <c r="F93" s="410"/>
      <c r="G93" s="83" t="s">
        <v>138</v>
      </c>
      <c r="J93" s="21"/>
    </row>
    <row r="94" spans="2:10" ht="15.75">
      <c r="B94" s="74" t="s">
        <v>41</v>
      </c>
      <c r="C94" s="410" t="s">
        <v>165</v>
      </c>
      <c r="D94" s="410"/>
      <c r="E94" s="410"/>
      <c r="F94" s="410"/>
      <c r="G94" s="75">
        <f>G84</f>
        <v>196.31175399999998</v>
      </c>
      <c r="J94" s="21"/>
    </row>
    <row r="95" spans="2:10" ht="15.75">
      <c r="B95" s="74" t="s">
        <v>161</v>
      </c>
      <c r="C95" s="410" t="s">
        <v>162</v>
      </c>
      <c r="D95" s="410"/>
      <c r="E95" s="410"/>
      <c r="F95" s="410"/>
      <c r="G95" s="84">
        <v>0</v>
      </c>
      <c r="J95" s="21"/>
    </row>
    <row r="96" spans="2:10" s="37" customFormat="1" ht="15.75">
      <c r="B96" s="393" t="s">
        <v>20</v>
      </c>
      <c r="C96" s="394"/>
      <c r="D96" s="394"/>
      <c r="E96" s="394"/>
      <c r="F96" s="395"/>
      <c r="G96" s="76">
        <f>SUM(G94:G95)</f>
        <v>196.31175399999998</v>
      </c>
    </row>
    <row r="97" spans="2:7" s="37" customFormat="1" ht="15.75">
      <c r="B97" s="68"/>
      <c r="C97" s="68"/>
      <c r="D97" s="68"/>
      <c r="E97" s="68"/>
      <c r="F97" s="68"/>
      <c r="G97" s="88"/>
    </row>
    <row r="98" spans="2:7" s="37" customFormat="1" ht="12.75">
      <c r="B98" s="397" t="s">
        <v>166</v>
      </c>
      <c r="C98" s="397"/>
      <c r="D98" s="397"/>
      <c r="E98" s="397"/>
      <c r="F98" s="397"/>
      <c r="G98" s="397"/>
    </row>
    <row r="99" spans="2:7" ht="15.75">
      <c r="B99" s="398" t="s">
        <v>167</v>
      </c>
      <c r="C99" s="398"/>
      <c r="D99" s="398"/>
      <c r="E99" s="398"/>
      <c r="F99" s="398"/>
      <c r="G99" s="90" t="s">
        <v>101</v>
      </c>
    </row>
    <row r="100" spans="2:7">
      <c r="B100" s="85" t="s">
        <v>52</v>
      </c>
      <c r="C100" s="430" t="s">
        <v>168</v>
      </c>
      <c r="D100" s="430"/>
      <c r="E100" s="430"/>
      <c r="F100" s="430"/>
      <c r="G100" s="91">
        <f>UNIFORME!E8</f>
        <v>34.266666666666666</v>
      </c>
    </row>
    <row r="101" spans="2:7">
      <c r="B101" s="26" t="s">
        <v>53</v>
      </c>
      <c r="C101" s="427" t="s">
        <v>169</v>
      </c>
      <c r="D101" s="428"/>
      <c r="E101" s="428"/>
      <c r="F101" s="429"/>
      <c r="G101" s="89">
        <v>0</v>
      </c>
    </row>
    <row r="102" spans="2:7">
      <c r="B102" s="32" t="s">
        <v>54</v>
      </c>
      <c r="C102" s="377" t="s">
        <v>170</v>
      </c>
      <c r="D102" s="378"/>
      <c r="E102" s="378"/>
      <c r="F102" s="379"/>
      <c r="G102" s="20">
        <f>EPI!E10</f>
        <v>6.9050000000000002</v>
      </c>
    </row>
    <row r="103" spans="2:7">
      <c r="B103" s="38" t="s">
        <v>55</v>
      </c>
      <c r="C103" s="399" t="s">
        <v>135</v>
      </c>
      <c r="D103" s="399"/>
      <c r="E103" s="399"/>
      <c r="F103" s="399"/>
      <c r="G103" s="20"/>
    </row>
    <row r="104" spans="2:7" ht="15.75" customHeight="1">
      <c r="B104" s="400" t="s">
        <v>171</v>
      </c>
      <c r="C104" s="401"/>
      <c r="D104" s="401"/>
      <c r="E104" s="401"/>
      <c r="F104" s="402"/>
      <c r="G104" s="111">
        <f>G100+G101+G102+G103</f>
        <v>41.171666666666667</v>
      </c>
    </row>
    <row r="106" spans="2:7" ht="18">
      <c r="B106" s="382" t="s">
        <v>172</v>
      </c>
      <c r="C106" s="383"/>
      <c r="D106" s="383"/>
      <c r="E106" s="383"/>
      <c r="F106" s="383"/>
      <c r="G106" s="384"/>
    </row>
    <row r="107" spans="2:7" ht="18">
      <c r="D107" s="39"/>
      <c r="E107" s="39"/>
      <c r="F107" s="39"/>
    </row>
    <row r="108" spans="2:7" ht="15.75">
      <c r="B108" s="30"/>
      <c r="C108" s="400" t="s">
        <v>173</v>
      </c>
      <c r="D108" s="401"/>
      <c r="E108" s="401"/>
      <c r="F108" s="402"/>
      <c r="G108" s="30" t="s">
        <v>101</v>
      </c>
    </row>
    <row r="109" spans="2:7">
      <c r="B109" s="8">
        <v>1</v>
      </c>
      <c r="C109" s="375" t="s">
        <v>174</v>
      </c>
      <c r="D109" s="375"/>
      <c r="E109" s="375"/>
      <c r="F109" s="375"/>
      <c r="G109" s="40">
        <f>G31</f>
        <v>1922.74</v>
      </c>
    </row>
    <row r="110" spans="2:7">
      <c r="B110" s="8">
        <v>2</v>
      </c>
      <c r="C110" s="375" t="s">
        <v>175</v>
      </c>
      <c r="D110" s="375"/>
      <c r="E110" s="375"/>
      <c r="F110" s="375"/>
      <c r="G110" s="40">
        <f>G38+G49+G57</f>
        <v>1790.9600830560003</v>
      </c>
    </row>
    <row r="111" spans="2:7">
      <c r="B111" s="8">
        <v>3</v>
      </c>
      <c r="C111" s="375" t="s">
        <v>176</v>
      </c>
      <c r="D111" s="375"/>
      <c r="E111" s="375"/>
      <c r="F111" s="375"/>
      <c r="G111" s="40">
        <f>G74</f>
        <v>165.73000000000002</v>
      </c>
    </row>
    <row r="112" spans="2:7">
      <c r="B112" s="8">
        <v>4</v>
      </c>
      <c r="C112" s="375" t="s">
        <v>177</v>
      </c>
      <c r="D112" s="375"/>
      <c r="E112" s="375"/>
      <c r="F112" s="375"/>
      <c r="G112" s="40">
        <f>G84</f>
        <v>196.31175399999998</v>
      </c>
    </row>
    <row r="113" spans="2:11">
      <c r="B113" s="8">
        <v>5</v>
      </c>
      <c r="C113" s="375" t="s">
        <v>178</v>
      </c>
      <c r="D113" s="375"/>
      <c r="E113" s="375"/>
      <c r="F113" s="375"/>
      <c r="G113" s="40">
        <f>G104</f>
        <v>41.171666666666667</v>
      </c>
    </row>
    <row r="114" spans="2:11">
      <c r="B114" s="8">
        <v>6</v>
      </c>
      <c r="C114" s="375" t="s">
        <v>159</v>
      </c>
      <c r="D114" s="375"/>
      <c r="E114" s="375"/>
      <c r="F114" s="375"/>
      <c r="G114" s="25"/>
    </row>
    <row r="115" spans="2:11" ht="15.75">
      <c r="B115" s="420" t="s">
        <v>20</v>
      </c>
      <c r="C115" s="420"/>
      <c r="D115" s="420"/>
      <c r="E115" s="420"/>
      <c r="F115" s="420"/>
      <c r="G115" s="41">
        <f>SUM(G109:G114)</f>
        <v>4116.913503722667</v>
      </c>
    </row>
    <row r="116" spans="2:11" ht="15.75">
      <c r="B116" s="22"/>
      <c r="C116" s="22"/>
      <c r="D116" s="22"/>
      <c r="E116" s="22"/>
      <c r="F116" s="22"/>
      <c r="G116" s="42"/>
    </row>
    <row r="117" spans="2:11">
      <c r="B117" s="403" t="s">
        <v>179</v>
      </c>
      <c r="C117" s="404"/>
      <c r="D117" s="404"/>
      <c r="E117" s="404"/>
      <c r="F117" s="404"/>
      <c r="G117" s="405"/>
    </row>
    <row r="118" spans="2:11" ht="15.75">
      <c r="B118" s="43">
        <v>6</v>
      </c>
      <c r="C118" s="44" t="s">
        <v>180</v>
      </c>
      <c r="D118" s="45"/>
      <c r="E118" s="46"/>
      <c r="F118" s="47" t="s">
        <v>100</v>
      </c>
      <c r="G118" s="6" t="s">
        <v>115</v>
      </c>
    </row>
    <row r="119" spans="2:11" ht="15.75">
      <c r="B119" s="8" t="s">
        <v>52</v>
      </c>
      <c r="C119" s="375" t="s">
        <v>181</v>
      </c>
      <c r="D119" s="375"/>
      <c r="E119" s="375"/>
      <c r="F119" s="132">
        <v>0.1</v>
      </c>
      <c r="G119" s="48">
        <f>G115*F119</f>
        <v>411.6913503722667</v>
      </c>
      <c r="J119" s="92">
        <f>SUM(F122:F124)</f>
        <v>8.6499999999999994E-2</v>
      </c>
      <c r="K119" s="93"/>
    </row>
    <row r="120" spans="2:11" ht="15.75">
      <c r="B120" s="8" t="s">
        <v>53</v>
      </c>
      <c r="C120" s="377" t="s">
        <v>182</v>
      </c>
      <c r="D120" s="378"/>
      <c r="E120" s="379"/>
      <c r="F120" s="132">
        <v>0.1</v>
      </c>
      <c r="G120" s="48">
        <f>(G119+G115)*F120</f>
        <v>452.86048540949344</v>
      </c>
      <c r="J120" s="94">
        <f>G136</f>
        <v>4116.913503722667</v>
      </c>
      <c r="K120" s="95"/>
    </row>
    <row r="121" spans="2:11" ht="15.75">
      <c r="B121" s="8" t="s">
        <v>54</v>
      </c>
      <c r="C121" s="375" t="s">
        <v>183</v>
      </c>
      <c r="D121" s="375"/>
      <c r="E121" s="375"/>
      <c r="F121" s="49"/>
      <c r="G121" s="50">
        <v>0</v>
      </c>
      <c r="J121" s="96">
        <f>G119+G120</f>
        <v>864.55183578176013</v>
      </c>
      <c r="K121" s="97"/>
    </row>
    <row r="122" spans="2:11" ht="15.75">
      <c r="B122" s="8"/>
      <c r="C122" s="375" t="s">
        <v>184</v>
      </c>
      <c r="D122" s="375"/>
      <c r="E122" s="375"/>
      <c r="F122" s="19">
        <v>6.4999999999999997E-3</v>
      </c>
      <c r="G122" s="50">
        <f>F122*I123</f>
        <v>35.445566181476501</v>
      </c>
      <c r="I122" s="50"/>
      <c r="J122" s="96">
        <f>SUM(J120:J121)</f>
        <v>4981.465339504427</v>
      </c>
      <c r="K122" s="98"/>
    </row>
    <row r="123" spans="2:11" ht="15.75">
      <c r="B123" s="8"/>
      <c r="C123" s="375" t="s">
        <v>185</v>
      </c>
      <c r="D123" s="375"/>
      <c r="E123" s="375"/>
      <c r="F123" s="19">
        <v>0.03</v>
      </c>
      <c r="G123" s="50">
        <f>F123*I123</f>
        <v>163.59492083758386</v>
      </c>
      <c r="I123" s="50">
        <f>(G115+G119+G120)/0.9135</f>
        <v>5453.1640279194617</v>
      </c>
      <c r="J123" s="96">
        <f>J122/(1-J119)</f>
        <v>5453.1640279194608</v>
      </c>
      <c r="K123" s="98"/>
    </row>
    <row r="124" spans="2:11" ht="15.75">
      <c r="B124" s="8"/>
      <c r="C124" s="375" t="s">
        <v>186</v>
      </c>
      <c r="D124" s="375"/>
      <c r="E124" s="375"/>
      <c r="F124" s="19">
        <v>0.05</v>
      </c>
      <c r="G124" s="50">
        <f>F124*I123</f>
        <v>272.65820139597309</v>
      </c>
      <c r="J124" s="98"/>
      <c r="K124" s="98"/>
    </row>
    <row r="125" spans="2:11" ht="15.75">
      <c r="B125" s="8"/>
      <c r="C125" s="390" t="s">
        <v>187</v>
      </c>
      <c r="D125" s="391"/>
      <c r="E125" s="392"/>
      <c r="F125" s="19">
        <v>0</v>
      </c>
      <c r="G125" s="50">
        <f>F125*I123</f>
        <v>0</v>
      </c>
      <c r="J125" s="96">
        <f>SUM(H123:H125)</f>
        <v>0</v>
      </c>
      <c r="K125" s="96"/>
    </row>
    <row r="126" spans="2:11">
      <c r="B126" s="8"/>
      <c r="C126" s="426" t="s">
        <v>188</v>
      </c>
      <c r="D126" s="426"/>
      <c r="E126" s="426"/>
      <c r="F126" s="52">
        <f>SUM(F119:F125)</f>
        <v>0.28650000000000003</v>
      </c>
      <c r="G126" s="53">
        <f>SUM(G119:G125)</f>
        <v>1336.2505241967935</v>
      </c>
    </row>
    <row r="128" spans="2:11" ht="18">
      <c r="B128" s="382" t="s">
        <v>189</v>
      </c>
      <c r="C128" s="383"/>
      <c r="D128" s="383"/>
      <c r="E128" s="383"/>
      <c r="F128" s="383"/>
      <c r="G128" s="384"/>
    </row>
    <row r="130" spans="2:7">
      <c r="B130" s="112"/>
      <c r="C130" s="387" t="s">
        <v>190</v>
      </c>
      <c r="D130" s="388"/>
      <c r="E130" s="388"/>
      <c r="F130" s="389"/>
      <c r="G130" s="112" t="s">
        <v>115</v>
      </c>
    </row>
    <row r="131" spans="2:7">
      <c r="B131" s="8" t="s">
        <v>52</v>
      </c>
      <c r="C131" s="375" t="s">
        <v>191</v>
      </c>
      <c r="D131" s="375"/>
      <c r="E131" s="375"/>
      <c r="F131" s="375"/>
      <c r="G131" s="7">
        <f>G109</f>
        <v>1922.74</v>
      </c>
    </row>
    <row r="132" spans="2:7">
      <c r="B132" s="8" t="s">
        <v>53</v>
      </c>
      <c r="C132" s="375" t="s">
        <v>113</v>
      </c>
      <c r="D132" s="375"/>
      <c r="E132" s="375"/>
      <c r="F132" s="375"/>
      <c r="G132" s="7">
        <f>G110</f>
        <v>1790.9600830560003</v>
      </c>
    </row>
    <row r="133" spans="2:7">
      <c r="B133" s="8" t="s">
        <v>54</v>
      </c>
      <c r="C133" s="375" t="s">
        <v>143</v>
      </c>
      <c r="D133" s="375"/>
      <c r="E133" s="375"/>
      <c r="F133" s="375"/>
      <c r="G133" s="7">
        <f>G111</f>
        <v>165.73000000000002</v>
      </c>
    </row>
    <row r="134" spans="2:7">
      <c r="B134" s="8" t="s">
        <v>55</v>
      </c>
      <c r="C134" s="375" t="s">
        <v>192</v>
      </c>
      <c r="D134" s="375"/>
      <c r="E134" s="375"/>
      <c r="F134" s="375"/>
      <c r="G134" s="7">
        <f>G112</f>
        <v>196.31175399999998</v>
      </c>
    </row>
    <row r="135" spans="2:7">
      <c r="B135" s="8" t="s">
        <v>56</v>
      </c>
      <c r="C135" s="377" t="s">
        <v>178</v>
      </c>
      <c r="D135" s="378"/>
      <c r="E135" s="378"/>
      <c r="F135" s="379"/>
      <c r="G135" s="7">
        <f>G113</f>
        <v>41.171666666666667</v>
      </c>
    </row>
    <row r="136" spans="2:7">
      <c r="B136" s="380" t="s">
        <v>193</v>
      </c>
      <c r="C136" s="380"/>
      <c r="D136" s="380"/>
      <c r="E136" s="380"/>
      <c r="F136" s="380"/>
      <c r="G136" s="7">
        <f>SUM(G131:G135)</f>
        <v>4116.913503722667</v>
      </c>
    </row>
    <row r="137" spans="2:7">
      <c r="B137" s="8" t="s">
        <v>108</v>
      </c>
      <c r="C137" s="375" t="s">
        <v>194</v>
      </c>
      <c r="D137" s="375"/>
      <c r="E137" s="375"/>
      <c r="F137" s="375"/>
      <c r="G137" s="7">
        <f>G126</f>
        <v>1336.2505241967935</v>
      </c>
    </row>
    <row r="138" spans="2:7">
      <c r="B138" s="381" t="s">
        <v>195</v>
      </c>
      <c r="C138" s="381"/>
      <c r="D138" s="381"/>
      <c r="E138" s="381"/>
      <c r="F138" s="381"/>
      <c r="G138" s="54">
        <f>ROUNDDOWN(G136+G137,2)</f>
        <v>5453.16</v>
      </c>
    </row>
    <row r="139" spans="2:7">
      <c r="F139" s="3"/>
      <c r="G139" s="3"/>
    </row>
    <row r="140" spans="2:7" ht="18">
      <c r="B140" s="382" t="s">
        <v>196</v>
      </c>
      <c r="C140" s="383"/>
      <c r="D140" s="383"/>
      <c r="E140" s="383"/>
      <c r="F140" s="383"/>
      <c r="G140" s="384"/>
    </row>
    <row r="141" spans="2:7">
      <c r="F141" s="3"/>
      <c r="G141" s="3"/>
    </row>
    <row r="142" spans="2:7">
      <c r="B142" s="12" t="s">
        <v>197</v>
      </c>
      <c r="C142" s="12" t="s">
        <v>198</v>
      </c>
      <c r="D142" s="12" t="s">
        <v>199</v>
      </c>
      <c r="E142" s="12" t="s">
        <v>200</v>
      </c>
      <c r="F142" s="12" t="s">
        <v>201</v>
      </c>
      <c r="G142" s="12" t="s">
        <v>202</v>
      </c>
    </row>
    <row r="143" spans="2:7">
      <c r="B143" s="87"/>
      <c r="C143" s="6" t="s">
        <v>203</v>
      </c>
      <c r="D143" s="6" t="s">
        <v>204</v>
      </c>
      <c r="E143" s="6" t="s">
        <v>205</v>
      </c>
      <c r="F143" s="6" t="s">
        <v>206</v>
      </c>
      <c r="G143" s="6" t="s">
        <v>207</v>
      </c>
    </row>
    <row r="144" spans="2:7">
      <c r="B144" s="113" t="str">
        <f>G19</f>
        <v>PEDEIRO</v>
      </c>
      <c r="C144" s="55">
        <f>G138</f>
        <v>5453.16</v>
      </c>
      <c r="D144" s="56">
        <f>F14</f>
        <v>1</v>
      </c>
      <c r="E144" s="57">
        <f>C144</f>
        <v>5453.16</v>
      </c>
      <c r="F144" s="133">
        <v>1</v>
      </c>
      <c r="G144" s="57">
        <f>E144*F144</f>
        <v>5453.16</v>
      </c>
    </row>
    <row r="145" spans="2:7">
      <c r="B145" s="6"/>
      <c r="C145" s="49"/>
      <c r="D145" s="49"/>
      <c r="E145" s="49"/>
      <c r="F145" s="8"/>
      <c r="G145" s="8"/>
    </row>
    <row r="146" spans="2:7">
      <c r="B146" s="8"/>
      <c r="C146" s="49"/>
      <c r="D146" s="49"/>
      <c r="E146" s="49"/>
      <c r="F146" s="8"/>
      <c r="G146" s="8"/>
    </row>
    <row r="147" spans="2:7">
      <c r="B147" s="8"/>
      <c r="C147" s="49"/>
      <c r="D147" s="49"/>
      <c r="E147" s="49"/>
      <c r="F147" s="8"/>
      <c r="G147" s="8"/>
    </row>
    <row r="148" spans="2:7">
      <c r="B148" s="8"/>
      <c r="C148" s="49"/>
      <c r="D148" s="49"/>
      <c r="E148" s="49"/>
      <c r="F148" s="8"/>
      <c r="G148" s="8"/>
    </row>
    <row r="149" spans="2:7" ht="18">
      <c r="C149" s="59"/>
      <c r="D149" s="59"/>
      <c r="E149" s="59"/>
      <c r="F149" s="59"/>
      <c r="G149" s="59"/>
    </row>
    <row r="150" spans="2:7" ht="18">
      <c r="B150" s="382" t="s">
        <v>208</v>
      </c>
      <c r="C150" s="383"/>
      <c r="D150" s="383"/>
      <c r="E150" s="383"/>
      <c r="F150" s="383"/>
      <c r="G150" s="384"/>
    </row>
    <row r="151" spans="2:7" ht="18">
      <c r="B151" s="59"/>
      <c r="C151" s="59"/>
      <c r="D151" s="59"/>
      <c r="E151" s="59"/>
      <c r="F151" s="59"/>
      <c r="G151" s="59"/>
    </row>
    <row r="152" spans="2:7" ht="18">
      <c r="B152" s="60"/>
      <c r="C152" s="385" t="s">
        <v>209</v>
      </c>
      <c r="D152" s="385"/>
      <c r="E152" s="385"/>
      <c r="F152" s="385"/>
      <c r="G152" s="385"/>
    </row>
    <row r="153" spans="2:7">
      <c r="B153" s="8"/>
      <c r="C153" s="386" t="s">
        <v>50</v>
      </c>
      <c r="D153" s="386"/>
      <c r="E153" s="386"/>
      <c r="F153" s="386"/>
      <c r="G153" s="51" t="s">
        <v>115</v>
      </c>
    </row>
    <row r="154" spans="2:7">
      <c r="B154" s="8" t="s">
        <v>52</v>
      </c>
      <c r="C154" s="375" t="s">
        <v>210</v>
      </c>
      <c r="D154" s="375"/>
      <c r="E154" s="375"/>
      <c r="F154" s="375"/>
      <c r="G154" s="25">
        <f>C144</f>
        <v>5453.16</v>
      </c>
    </row>
    <row r="155" spans="2:7">
      <c r="B155" s="58" t="s">
        <v>53</v>
      </c>
      <c r="C155" s="376" t="s">
        <v>211</v>
      </c>
      <c r="D155" s="376"/>
      <c r="E155" s="376"/>
      <c r="F155" s="376"/>
      <c r="G155" s="215">
        <f>G154/21</f>
        <v>259.6742857142857</v>
      </c>
    </row>
  </sheetData>
  <mergeCells count="132">
    <mergeCell ref="C152:G152"/>
    <mergeCell ref="C153:F153"/>
    <mergeCell ref="C154:F154"/>
    <mergeCell ref="C155:F155"/>
    <mergeCell ref="C135:F135"/>
    <mergeCell ref="B136:F136"/>
    <mergeCell ref="C137:F137"/>
    <mergeCell ref="B138:F138"/>
    <mergeCell ref="B140:G140"/>
    <mergeCell ref="B150:G150"/>
    <mergeCell ref="B128:G128"/>
    <mergeCell ref="C130:F130"/>
    <mergeCell ref="C131:F131"/>
    <mergeCell ref="C132:F132"/>
    <mergeCell ref="C133:F133"/>
    <mergeCell ref="C134:F134"/>
    <mergeCell ref="C121:E121"/>
    <mergeCell ref="C122:E122"/>
    <mergeCell ref="C123:E123"/>
    <mergeCell ref="C124:E124"/>
    <mergeCell ref="C125:E125"/>
    <mergeCell ref="C126:E126"/>
    <mergeCell ref="C113:F113"/>
    <mergeCell ref="C114:F114"/>
    <mergeCell ref="B115:F115"/>
    <mergeCell ref="B117:G117"/>
    <mergeCell ref="C119:E119"/>
    <mergeCell ref="C120:E120"/>
    <mergeCell ref="B106:G106"/>
    <mergeCell ref="C108:F108"/>
    <mergeCell ref="C109:F109"/>
    <mergeCell ref="C110:F110"/>
    <mergeCell ref="C111:F111"/>
    <mergeCell ref="C112:F112"/>
    <mergeCell ref="B99:F99"/>
    <mergeCell ref="C100:F100"/>
    <mergeCell ref="C101:F101"/>
    <mergeCell ref="C102:F102"/>
    <mergeCell ref="C103:F103"/>
    <mergeCell ref="B104:F104"/>
    <mergeCell ref="C92:F92"/>
    <mergeCell ref="C93:F93"/>
    <mergeCell ref="C94:F94"/>
    <mergeCell ref="C95:F95"/>
    <mergeCell ref="B96:F96"/>
    <mergeCell ref="B98:G98"/>
    <mergeCell ref="C83:D83"/>
    <mergeCell ref="B84:E84"/>
    <mergeCell ref="C87:F87"/>
    <mergeCell ref="C88:F88"/>
    <mergeCell ref="C89:F89"/>
    <mergeCell ref="B90:F90"/>
    <mergeCell ref="B77:E77"/>
    <mergeCell ref="C78:E78"/>
    <mergeCell ref="C79:D79"/>
    <mergeCell ref="C80:D80"/>
    <mergeCell ref="C81:D81"/>
    <mergeCell ref="C82:D82"/>
    <mergeCell ref="C70:E70"/>
    <mergeCell ref="C71:E71"/>
    <mergeCell ref="C72:E72"/>
    <mergeCell ref="C73:E73"/>
    <mergeCell ref="B74:E74"/>
    <mergeCell ref="B76:G76"/>
    <mergeCell ref="C63:F63"/>
    <mergeCell ref="B64:F64"/>
    <mergeCell ref="B66:G66"/>
    <mergeCell ref="B67:E67"/>
    <mergeCell ref="C68:E68"/>
    <mergeCell ref="C69:E69"/>
    <mergeCell ref="C56:F56"/>
    <mergeCell ref="C57:F57"/>
    <mergeCell ref="C59:F59"/>
    <mergeCell ref="C60:F60"/>
    <mergeCell ref="C61:F61"/>
    <mergeCell ref="C62:F62"/>
    <mergeCell ref="B49:E49"/>
    <mergeCell ref="B51:F51"/>
    <mergeCell ref="C52:F52"/>
    <mergeCell ref="C53:F53"/>
    <mergeCell ref="C54:F54"/>
    <mergeCell ref="C55:F55"/>
    <mergeCell ref="C43:E43"/>
    <mergeCell ref="C44:E44"/>
    <mergeCell ref="C45:E45"/>
    <mergeCell ref="C46:E46"/>
    <mergeCell ref="C47:E47"/>
    <mergeCell ref="C48:E48"/>
    <mergeCell ref="C36:E36"/>
    <mergeCell ref="C37:E37"/>
    <mergeCell ref="B38:E38"/>
    <mergeCell ref="B40:E40"/>
    <mergeCell ref="C41:E41"/>
    <mergeCell ref="C42:E42"/>
    <mergeCell ref="C28:E28"/>
    <mergeCell ref="C29:E29"/>
    <mergeCell ref="C30:E30"/>
    <mergeCell ref="C31:E31"/>
    <mergeCell ref="B33:G33"/>
    <mergeCell ref="B35:E35"/>
    <mergeCell ref="D22:F22"/>
    <mergeCell ref="C23:E23"/>
    <mergeCell ref="C24:E24"/>
    <mergeCell ref="C25:E25"/>
    <mergeCell ref="C26:E26"/>
    <mergeCell ref="C27:E27"/>
    <mergeCell ref="B16:G16"/>
    <mergeCell ref="C17:F17"/>
    <mergeCell ref="C18:F18"/>
    <mergeCell ref="C19:F19"/>
    <mergeCell ref="C20:F20"/>
    <mergeCell ref="C21:F21"/>
    <mergeCell ref="B12:G12"/>
    <mergeCell ref="B13:C13"/>
    <mergeCell ref="D13:E13"/>
    <mergeCell ref="F13:G13"/>
    <mergeCell ref="B14:C14"/>
    <mergeCell ref="D14:E14"/>
    <mergeCell ref="F14:G14"/>
    <mergeCell ref="C8:E8"/>
    <mergeCell ref="F8:G8"/>
    <mergeCell ref="C9:E9"/>
    <mergeCell ref="F9:G9"/>
    <mergeCell ref="C10:E10"/>
    <mergeCell ref="F10:G10"/>
    <mergeCell ref="C1:D1"/>
    <mergeCell ref="C2:D2"/>
    <mergeCell ref="B4:G4"/>
    <mergeCell ref="C6:E6"/>
    <mergeCell ref="F6:G6"/>
    <mergeCell ref="C7:E7"/>
    <mergeCell ref="F7:G7"/>
  </mergeCells>
  <pageMargins left="0.511811024" right="0.511811024" top="0.78740157499999996" bottom="0.78740157499999996" header="0.31496062000000002" footer="0.31496062000000002"/>
  <pageSetup paperSize="0" orientation="portrait" horizontalDpi="203" verticalDpi="20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N155"/>
  <sheetViews>
    <sheetView showGridLines="0" topLeftCell="A130" workbookViewId="0">
      <selection activeCell="G53" sqref="G53"/>
    </sheetView>
  </sheetViews>
  <sheetFormatPr defaultRowHeight="15"/>
  <cols>
    <col min="1" max="1" width="2.7109375" customWidth="1"/>
    <col min="2" max="2" width="15" style="3" customWidth="1"/>
    <col min="3" max="3" width="13.42578125" customWidth="1"/>
    <col min="4" max="4" width="30.7109375" customWidth="1"/>
    <col min="5" max="5" width="15.7109375" customWidth="1"/>
    <col min="6" max="6" width="14.42578125" customWidth="1"/>
    <col min="7" max="7" width="19.140625" bestFit="1" customWidth="1"/>
    <col min="8" max="8" width="8.5703125" customWidth="1"/>
    <col min="9" max="9" width="14" customWidth="1"/>
    <col min="10" max="10" width="10.5703125" bestFit="1" customWidth="1"/>
    <col min="11" max="11" width="45.85546875" customWidth="1"/>
    <col min="12" max="12" width="10.5703125" bestFit="1" customWidth="1"/>
    <col min="13" max="13" width="9.5703125" bestFit="1" customWidth="1"/>
  </cols>
  <sheetData>
    <row r="1" spans="2:11">
      <c r="B1" s="134" t="s">
        <v>75</v>
      </c>
      <c r="C1" s="438"/>
      <c r="D1" s="439"/>
      <c r="E1" s="2"/>
      <c r="F1" s="2"/>
    </row>
    <row r="2" spans="2:11">
      <c r="B2" s="134" t="s">
        <v>76</v>
      </c>
      <c r="C2" s="440"/>
      <c r="D2" s="439"/>
      <c r="E2" s="2"/>
      <c r="F2" s="2"/>
    </row>
    <row r="3" spans="2:11">
      <c r="C3" s="2"/>
      <c r="D3" s="2"/>
      <c r="E3" s="2"/>
      <c r="F3" s="2"/>
    </row>
    <row r="4" spans="2:11">
      <c r="B4" s="441" t="s">
        <v>77</v>
      </c>
      <c r="C4" s="441"/>
      <c r="D4" s="441"/>
      <c r="E4" s="441"/>
      <c r="F4" s="441"/>
      <c r="G4" s="441"/>
    </row>
    <row r="5" spans="2:11">
      <c r="C5" s="2"/>
    </row>
    <row r="6" spans="2:11" ht="15" customHeight="1">
      <c r="B6" s="85" t="s">
        <v>52</v>
      </c>
      <c r="C6" s="430" t="s">
        <v>78</v>
      </c>
      <c r="D6" s="430"/>
      <c r="E6" s="430"/>
      <c r="F6" s="442" t="s">
        <v>79</v>
      </c>
      <c r="G6" s="432"/>
      <c r="I6" s="69"/>
      <c r="J6" s="69"/>
      <c r="K6" s="69"/>
    </row>
    <row r="7" spans="2:11">
      <c r="B7" s="85" t="s">
        <v>53</v>
      </c>
      <c r="C7" s="430" t="s">
        <v>80</v>
      </c>
      <c r="D7" s="430"/>
      <c r="E7" s="430"/>
      <c r="F7" s="443" t="s">
        <v>81</v>
      </c>
      <c r="G7" s="439"/>
      <c r="I7" s="69"/>
      <c r="J7" s="69"/>
      <c r="K7" s="69"/>
    </row>
    <row r="8" spans="2:11">
      <c r="B8" s="85" t="s">
        <v>54</v>
      </c>
      <c r="C8" s="430" t="s">
        <v>82</v>
      </c>
      <c r="D8" s="430"/>
      <c r="E8" s="430"/>
      <c r="F8" s="431" t="s">
        <v>83</v>
      </c>
      <c r="G8" s="432"/>
      <c r="I8" s="69"/>
      <c r="J8" s="69"/>
      <c r="K8" s="69"/>
    </row>
    <row r="9" spans="2:11">
      <c r="B9" s="85" t="s">
        <v>55</v>
      </c>
      <c r="C9" s="430" t="s">
        <v>84</v>
      </c>
      <c r="D9" s="430"/>
      <c r="E9" s="430"/>
      <c r="F9" s="431">
        <v>12</v>
      </c>
      <c r="G9" s="432"/>
      <c r="I9" s="69"/>
      <c r="J9" s="69"/>
      <c r="K9" s="69"/>
    </row>
    <row r="10" spans="2:11">
      <c r="B10" s="85" t="s">
        <v>56</v>
      </c>
      <c r="C10" s="430" t="s">
        <v>85</v>
      </c>
      <c r="D10" s="430"/>
      <c r="E10" s="430"/>
      <c r="F10" s="443" t="s">
        <v>86</v>
      </c>
      <c r="G10" s="439"/>
      <c r="I10" s="69"/>
      <c r="J10" s="69"/>
      <c r="K10" s="69"/>
    </row>
    <row r="11" spans="2:11">
      <c r="C11" s="2"/>
      <c r="D11" s="2"/>
      <c r="E11" s="2"/>
      <c r="F11" s="2"/>
      <c r="G11" s="3"/>
      <c r="I11" s="69"/>
      <c r="J11" s="69"/>
      <c r="K11" s="69"/>
    </row>
    <row r="12" spans="2:11">
      <c r="B12" s="448" t="s">
        <v>87</v>
      </c>
      <c r="C12" s="448"/>
      <c r="D12" s="448"/>
      <c r="E12" s="448"/>
      <c r="F12" s="448"/>
      <c r="G12" s="448"/>
      <c r="I12" s="69"/>
      <c r="J12" s="69"/>
      <c r="K12" s="69"/>
    </row>
    <row r="13" spans="2:11" ht="36" customHeight="1">
      <c r="B13" s="445" t="s">
        <v>88</v>
      </c>
      <c r="C13" s="445"/>
      <c r="D13" s="445" t="s">
        <v>89</v>
      </c>
      <c r="E13" s="445"/>
      <c r="F13" s="446" t="s">
        <v>90</v>
      </c>
      <c r="G13" s="446"/>
    </row>
    <row r="14" spans="2:11" ht="15" customHeight="1">
      <c r="B14" s="449" t="s">
        <v>91</v>
      </c>
      <c r="C14" s="449"/>
      <c r="D14" s="450" t="s">
        <v>92</v>
      </c>
      <c r="E14" s="450"/>
      <c r="F14" s="451">
        <v>1</v>
      </c>
      <c r="G14" s="451"/>
    </row>
    <row r="15" spans="2:11" ht="18">
      <c r="B15" s="59"/>
      <c r="C15" s="4"/>
      <c r="D15" s="4"/>
      <c r="E15" s="4"/>
      <c r="F15" s="4"/>
    </row>
    <row r="16" spans="2:11">
      <c r="B16" s="452" t="s">
        <v>93</v>
      </c>
      <c r="C16" s="452"/>
      <c r="D16" s="452"/>
      <c r="E16" s="452"/>
      <c r="F16" s="452"/>
      <c r="G16" s="452"/>
    </row>
    <row r="17" spans="2:7">
      <c r="B17" s="5">
        <v>1</v>
      </c>
      <c r="C17" s="447" t="s">
        <v>94</v>
      </c>
      <c r="D17" s="447"/>
      <c r="E17" s="447"/>
      <c r="F17" s="447"/>
      <c r="G17" s="6" t="str">
        <f>B14</f>
        <v>Manutenção Predial</v>
      </c>
    </row>
    <row r="18" spans="2:7">
      <c r="B18" s="51">
        <v>2</v>
      </c>
      <c r="C18" s="375" t="s">
        <v>95</v>
      </c>
      <c r="D18" s="375"/>
      <c r="E18" s="375"/>
      <c r="F18" s="375"/>
      <c r="G18" s="125">
        <v>1922.74</v>
      </c>
    </row>
    <row r="19" spans="2:7" s="77" customFormat="1">
      <c r="B19" s="135">
        <v>3</v>
      </c>
      <c r="C19" s="444" t="s">
        <v>96</v>
      </c>
      <c r="D19" s="444"/>
      <c r="E19" s="444"/>
      <c r="F19" s="444"/>
      <c r="G19" s="136" t="s">
        <v>212</v>
      </c>
    </row>
    <row r="20" spans="2:7">
      <c r="B20" s="51">
        <v>4</v>
      </c>
      <c r="C20" s="377" t="s">
        <v>97</v>
      </c>
      <c r="D20" s="378"/>
      <c r="E20" s="378"/>
      <c r="F20" s="379"/>
      <c r="G20" s="126" t="s">
        <v>86</v>
      </c>
    </row>
    <row r="21" spans="2:7">
      <c r="B21" s="51">
        <v>5</v>
      </c>
      <c r="C21" s="375" t="s">
        <v>98</v>
      </c>
      <c r="D21" s="375"/>
      <c r="E21" s="375"/>
      <c r="F21" s="375"/>
      <c r="G21" s="127">
        <v>44440</v>
      </c>
    </row>
    <row r="22" spans="2:7">
      <c r="C22" s="3"/>
      <c r="D22" s="436"/>
      <c r="E22" s="436"/>
      <c r="F22" s="436"/>
      <c r="G22" s="3"/>
    </row>
    <row r="23" spans="2:7">
      <c r="B23" s="99">
        <v>1</v>
      </c>
      <c r="C23" s="433" t="s">
        <v>99</v>
      </c>
      <c r="D23" s="434"/>
      <c r="E23" s="435"/>
      <c r="F23" s="99" t="s">
        <v>100</v>
      </c>
      <c r="G23" s="99" t="s">
        <v>101</v>
      </c>
    </row>
    <row r="24" spans="2:7">
      <c r="B24" s="8" t="s">
        <v>52</v>
      </c>
      <c r="C24" s="375" t="s">
        <v>102</v>
      </c>
      <c r="D24" s="375"/>
      <c r="E24" s="375"/>
      <c r="F24" s="8">
        <v>100</v>
      </c>
      <c r="G24" s="9">
        <f>G18</f>
        <v>1922.74</v>
      </c>
    </row>
    <row r="25" spans="2:7">
      <c r="B25" s="8" t="s">
        <v>53</v>
      </c>
      <c r="C25" s="375" t="s">
        <v>103</v>
      </c>
      <c r="D25" s="375"/>
      <c r="E25" s="375"/>
      <c r="F25" s="10">
        <v>0</v>
      </c>
      <c r="G25" s="11">
        <v>0</v>
      </c>
    </row>
    <row r="26" spans="2:7">
      <c r="B26" s="8" t="s">
        <v>54</v>
      </c>
      <c r="C26" s="375" t="s">
        <v>104</v>
      </c>
      <c r="D26" s="375"/>
      <c r="E26" s="375"/>
      <c r="F26" s="10"/>
      <c r="G26" s="11">
        <f>G24*F26</f>
        <v>0</v>
      </c>
    </row>
    <row r="27" spans="2:7">
      <c r="B27" s="8" t="s">
        <v>55</v>
      </c>
      <c r="C27" s="375" t="s">
        <v>105</v>
      </c>
      <c r="D27" s="375"/>
      <c r="E27" s="375"/>
      <c r="F27" s="10"/>
      <c r="G27" s="11">
        <f>G26*F27</f>
        <v>0</v>
      </c>
    </row>
    <row r="28" spans="2:7">
      <c r="B28" s="8" t="s">
        <v>106</v>
      </c>
      <c r="C28" s="375" t="s">
        <v>107</v>
      </c>
      <c r="D28" s="375"/>
      <c r="E28" s="375"/>
      <c r="F28" s="10"/>
      <c r="G28" s="11">
        <f>G27*F28</f>
        <v>0</v>
      </c>
    </row>
    <row r="29" spans="2:7">
      <c r="B29" s="8" t="s">
        <v>108</v>
      </c>
      <c r="C29" s="375" t="s">
        <v>109</v>
      </c>
      <c r="D29" s="375"/>
      <c r="E29" s="375"/>
      <c r="F29" s="10">
        <v>0</v>
      </c>
      <c r="G29" s="11">
        <f>G28*F29</f>
        <v>0</v>
      </c>
    </row>
    <row r="30" spans="2:7">
      <c r="B30" s="12" t="s">
        <v>110</v>
      </c>
      <c r="C30" s="437" t="s">
        <v>111</v>
      </c>
      <c r="D30" s="437"/>
      <c r="E30" s="437"/>
      <c r="F30" s="13">
        <v>0</v>
      </c>
      <c r="G30" s="14">
        <f>G24*F30</f>
        <v>0</v>
      </c>
    </row>
    <row r="31" spans="2:7">
      <c r="B31" s="15"/>
      <c r="C31" s="421" t="s">
        <v>112</v>
      </c>
      <c r="D31" s="421"/>
      <c r="E31" s="421"/>
      <c r="F31" s="15"/>
      <c r="G31" s="16">
        <f>SUM(G24,G25,G26,G27,G28,G29,G30)</f>
        <v>1922.74</v>
      </c>
    </row>
    <row r="32" spans="2:7" ht="15" customHeight="1">
      <c r="C32" s="17"/>
      <c r="D32" s="17"/>
      <c r="E32" s="17"/>
      <c r="F32" s="3"/>
      <c r="G32" s="18"/>
    </row>
    <row r="33" spans="2:14" ht="15" customHeight="1">
      <c r="B33" s="422" t="s">
        <v>113</v>
      </c>
      <c r="C33" s="423"/>
      <c r="D33" s="423"/>
      <c r="E33" s="423"/>
      <c r="F33" s="423"/>
      <c r="G33" s="424"/>
      <c r="N33" s="69"/>
    </row>
    <row r="34" spans="2:14">
      <c r="B34" s="17"/>
      <c r="C34" s="3"/>
      <c r="D34" s="3"/>
      <c r="E34" s="3"/>
      <c r="F34" s="3"/>
      <c r="G34" s="3"/>
      <c r="N34" s="69"/>
    </row>
    <row r="35" spans="2:14" ht="15" customHeight="1">
      <c r="B35" s="425" t="s">
        <v>114</v>
      </c>
      <c r="C35" s="425"/>
      <c r="D35" s="425"/>
      <c r="E35" s="425"/>
      <c r="F35" s="101" t="s">
        <v>100</v>
      </c>
      <c r="G35" s="101" t="s">
        <v>115</v>
      </c>
      <c r="N35" s="69"/>
    </row>
    <row r="36" spans="2:14">
      <c r="B36" s="8" t="s">
        <v>52</v>
      </c>
      <c r="C36" s="399" t="s">
        <v>116</v>
      </c>
      <c r="D36" s="399"/>
      <c r="E36" s="399"/>
      <c r="F36" s="19">
        <v>8.3299999999999999E-2</v>
      </c>
      <c r="G36" s="20">
        <f>F36*G31</f>
        <v>160.164242</v>
      </c>
      <c r="N36" s="69"/>
    </row>
    <row r="37" spans="2:14">
      <c r="B37" s="8" t="s">
        <v>53</v>
      </c>
      <c r="C37" s="399" t="s">
        <v>117</v>
      </c>
      <c r="D37" s="399"/>
      <c r="E37" s="399"/>
      <c r="F37" s="19">
        <f>(1/12)+((1/3)/12)</f>
        <v>0.1111111111111111</v>
      </c>
      <c r="G37" s="20">
        <f>F37*G31</f>
        <v>213.63777777777776</v>
      </c>
      <c r="N37" s="69"/>
    </row>
    <row r="38" spans="2:14" ht="15.75">
      <c r="B38" s="420" t="s">
        <v>118</v>
      </c>
      <c r="C38" s="420"/>
      <c r="D38" s="420"/>
      <c r="E38" s="420"/>
      <c r="F38" s="130">
        <f>SUM(F36:F37)</f>
        <v>0.19441111111111109</v>
      </c>
      <c r="G38" s="184">
        <f>SUM(G36:G37)</f>
        <v>373.80201977777779</v>
      </c>
      <c r="N38" s="69"/>
    </row>
    <row r="39" spans="2:14" ht="15.75">
      <c r="B39" s="22"/>
      <c r="C39" s="22"/>
      <c r="D39" s="22"/>
      <c r="E39" s="22"/>
      <c r="F39" s="23"/>
      <c r="G39" s="24"/>
      <c r="N39" s="69"/>
    </row>
    <row r="40" spans="2:14">
      <c r="B40" s="425" t="s">
        <v>119</v>
      </c>
      <c r="C40" s="425"/>
      <c r="D40" s="425"/>
      <c r="E40" s="425"/>
      <c r="F40" s="101" t="s">
        <v>100</v>
      </c>
      <c r="G40" s="101" t="s">
        <v>115</v>
      </c>
      <c r="N40" s="69"/>
    </row>
    <row r="41" spans="2:14">
      <c r="B41" s="8" t="s">
        <v>52</v>
      </c>
      <c r="C41" s="375" t="s">
        <v>120</v>
      </c>
      <c r="D41" s="375"/>
      <c r="E41" s="375"/>
      <c r="F41" s="19">
        <v>0.2</v>
      </c>
      <c r="G41" s="25">
        <f>($G$31+$G$38)*F41</f>
        <v>459.30840395555555</v>
      </c>
      <c r="N41" s="69"/>
    </row>
    <row r="42" spans="2:14">
      <c r="B42" s="8" t="s">
        <v>53</v>
      </c>
      <c r="C42" s="375" t="s">
        <v>121</v>
      </c>
      <c r="D42" s="375"/>
      <c r="E42" s="375"/>
      <c r="F42" s="19">
        <v>2.5000000000000001E-2</v>
      </c>
      <c r="G42" s="25">
        <f t="shared" ref="G42:G48" si="0">($G$31+$G$38)*F42</f>
        <v>57.413550494444443</v>
      </c>
      <c r="N42" s="69"/>
    </row>
    <row r="43" spans="2:14">
      <c r="B43" s="8" t="s">
        <v>54</v>
      </c>
      <c r="C43" s="375" t="s">
        <v>122</v>
      </c>
      <c r="D43" s="375"/>
      <c r="E43" s="375"/>
      <c r="F43" s="70">
        <v>0.03</v>
      </c>
      <c r="G43" s="25">
        <f t="shared" si="0"/>
        <v>68.896260593333324</v>
      </c>
      <c r="N43" s="69"/>
    </row>
    <row r="44" spans="2:14">
      <c r="B44" s="8" t="s">
        <v>55</v>
      </c>
      <c r="C44" s="375" t="s">
        <v>123</v>
      </c>
      <c r="D44" s="375"/>
      <c r="E44" s="375"/>
      <c r="F44" s="19">
        <v>1.4999999999999999E-2</v>
      </c>
      <c r="G44" s="25">
        <f t="shared" si="0"/>
        <v>34.448130296666662</v>
      </c>
      <c r="N44" s="69"/>
    </row>
    <row r="45" spans="2:14">
      <c r="B45" s="8" t="s">
        <v>56</v>
      </c>
      <c r="C45" s="375" t="s">
        <v>124</v>
      </c>
      <c r="D45" s="375"/>
      <c r="E45" s="375"/>
      <c r="F45" s="19">
        <v>0.01</v>
      </c>
      <c r="G45" s="25">
        <f t="shared" si="0"/>
        <v>22.965420197777775</v>
      </c>
      <c r="N45" s="69"/>
    </row>
    <row r="46" spans="2:14">
      <c r="B46" s="8" t="s">
        <v>108</v>
      </c>
      <c r="C46" s="375" t="s">
        <v>125</v>
      </c>
      <c r="D46" s="375"/>
      <c r="E46" s="375"/>
      <c r="F46" s="19">
        <v>6.0000000000000001E-3</v>
      </c>
      <c r="G46" s="25">
        <f t="shared" si="0"/>
        <v>13.779252118666665</v>
      </c>
      <c r="N46" s="69"/>
    </row>
    <row r="47" spans="2:14">
      <c r="B47" s="8" t="s">
        <v>110</v>
      </c>
      <c r="C47" s="375" t="s">
        <v>126</v>
      </c>
      <c r="D47" s="375"/>
      <c r="E47" s="375"/>
      <c r="F47" s="19">
        <v>2E-3</v>
      </c>
      <c r="G47" s="25">
        <f t="shared" si="0"/>
        <v>4.5930840395555554</v>
      </c>
      <c r="N47" s="69"/>
    </row>
    <row r="48" spans="2:14">
      <c r="B48" s="8" t="s">
        <v>127</v>
      </c>
      <c r="C48" s="375" t="s">
        <v>128</v>
      </c>
      <c r="D48" s="375"/>
      <c r="E48" s="375"/>
      <c r="F48" s="19">
        <v>0.08</v>
      </c>
      <c r="G48" s="25">
        <f t="shared" si="0"/>
        <v>183.7233615822222</v>
      </c>
      <c r="N48" s="69"/>
    </row>
    <row r="49" spans="2:14" ht="15.75">
      <c r="B49" s="420" t="s">
        <v>129</v>
      </c>
      <c r="C49" s="420"/>
      <c r="D49" s="420"/>
      <c r="E49" s="420"/>
      <c r="F49" s="128">
        <f>SUM(F41:F48)</f>
        <v>0.36800000000000005</v>
      </c>
      <c r="G49" s="129">
        <f>SUM(G41:G48)</f>
        <v>845.12746327822231</v>
      </c>
      <c r="N49" s="69"/>
    </row>
    <row r="50" spans="2:14">
      <c r="B50" s="26"/>
      <c r="C50" s="27"/>
      <c r="D50" s="28"/>
      <c r="E50" s="28"/>
      <c r="F50" s="28"/>
      <c r="G50" s="29"/>
      <c r="N50" s="69"/>
    </row>
    <row r="51" spans="2:14" ht="15.75">
      <c r="B51" s="406" t="s">
        <v>130</v>
      </c>
      <c r="C51" s="407"/>
      <c r="D51" s="407"/>
      <c r="E51" s="407"/>
      <c r="F51" s="408"/>
      <c r="G51" s="100" t="s">
        <v>101</v>
      </c>
      <c r="N51" s="69"/>
    </row>
    <row r="52" spans="2:14">
      <c r="B52" s="8" t="s">
        <v>52</v>
      </c>
      <c r="C52" s="375" t="s">
        <v>131</v>
      </c>
      <c r="D52" s="375"/>
      <c r="E52" s="375"/>
      <c r="F52" s="375"/>
      <c r="G52" s="25">
        <f>TRANSPORTE!F13</f>
        <v>241.03559999999999</v>
      </c>
      <c r="H52" s="31"/>
      <c r="I52" s="69"/>
      <c r="J52" s="69"/>
      <c r="K52" s="69"/>
      <c r="L52" s="69"/>
      <c r="M52" s="69"/>
      <c r="N52" s="69"/>
    </row>
    <row r="53" spans="2:14">
      <c r="B53" s="56" t="s">
        <v>53</v>
      </c>
      <c r="C53" s="409" t="s">
        <v>132</v>
      </c>
      <c r="D53" s="409"/>
      <c r="E53" s="409"/>
      <c r="F53" s="409"/>
      <c r="G53" s="72">
        <v>300</v>
      </c>
      <c r="H53" s="71"/>
      <c r="I53" s="69"/>
      <c r="J53" s="69"/>
      <c r="K53" s="69"/>
      <c r="L53" s="69"/>
      <c r="M53" s="69"/>
      <c r="N53" s="69"/>
    </row>
    <row r="54" spans="2:14">
      <c r="B54" s="8" t="s">
        <v>54</v>
      </c>
      <c r="C54" s="375" t="s">
        <v>133</v>
      </c>
      <c r="D54" s="375"/>
      <c r="E54" s="375"/>
      <c r="F54" s="375"/>
      <c r="G54" s="20">
        <f>'CAFÉ DA MANHÃ'!F9</f>
        <v>26.995000000000001</v>
      </c>
      <c r="I54" s="69"/>
      <c r="J54" s="69"/>
      <c r="K54" s="69"/>
      <c r="L54" s="69"/>
      <c r="M54" s="69"/>
      <c r="N54" s="69"/>
    </row>
    <row r="55" spans="2:14">
      <c r="B55" s="8" t="s">
        <v>55</v>
      </c>
      <c r="C55" s="454" t="s">
        <v>134</v>
      </c>
      <c r="D55" s="455"/>
      <c r="E55" s="455"/>
      <c r="F55" s="456"/>
      <c r="G55" s="20">
        <v>4</v>
      </c>
      <c r="I55" s="69"/>
      <c r="J55" s="69"/>
      <c r="K55" s="69"/>
      <c r="L55" s="69"/>
      <c r="M55" s="69"/>
    </row>
    <row r="56" spans="2:14">
      <c r="B56" s="8" t="s">
        <v>108</v>
      </c>
      <c r="C56" s="375" t="s">
        <v>135</v>
      </c>
      <c r="D56" s="375"/>
      <c r="E56" s="375"/>
      <c r="F56" s="375"/>
      <c r="G56" s="20">
        <v>0</v>
      </c>
    </row>
    <row r="57" spans="2:14">
      <c r="B57" s="8"/>
      <c r="C57" s="426" t="s">
        <v>136</v>
      </c>
      <c r="D57" s="426"/>
      <c r="E57" s="426"/>
      <c r="F57" s="426"/>
      <c r="G57" s="131">
        <f>SUM(G52:G56)</f>
        <v>572.03059999999994</v>
      </c>
    </row>
    <row r="58" spans="2:14">
      <c r="B58" s="86"/>
      <c r="C58" s="61"/>
      <c r="D58" s="61"/>
      <c r="E58" s="61"/>
      <c r="F58" s="61"/>
      <c r="G58" s="62"/>
    </row>
    <row r="59" spans="2:14" ht="15.75">
      <c r="B59" s="102">
        <v>2</v>
      </c>
      <c r="C59" s="396" t="s">
        <v>137</v>
      </c>
      <c r="D59" s="396"/>
      <c r="E59" s="396"/>
      <c r="F59" s="396"/>
      <c r="G59" s="103" t="s">
        <v>101</v>
      </c>
    </row>
    <row r="60" spans="2:14" ht="15.75">
      <c r="B60" s="74"/>
      <c r="C60" s="410"/>
      <c r="D60" s="410"/>
      <c r="E60" s="410"/>
      <c r="F60" s="410"/>
      <c r="G60" s="73" t="s">
        <v>138</v>
      </c>
    </row>
    <row r="61" spans="2:14" ht="15.75">
      <c r="B61" s="74" t="s">
        <v>23</v>
      </c>
      <c r="C61" s="410" t="s">
        <v>139</v>
      </c>
      <c r="D61" s="410"/>
      <c r="E61" s="410"/>
      <c r="F61" s="410"/>
      <c r="G61" s="75">
        <f>G38</f>
        <v>373.80201977777779</v>
      </c>
    </row>
    <row r="62" spans="2:14" ht="15.75">
      <c r="B62" s="74" t="s">
        <v>25</v>
      </c>
      <c r="C62" s="410" t="s">
        <v>140</v>
      </c>
      <c r="D62" s="410"/>
      <c r="E62" s="410"/>
      <c r="F62" s="410"/>
      <c r="G62" s="75">
        <f>G49</f>
        <v>845.12746327822231</v>
      </c>
    </row>
    <row r="63" spans="2:14" ht="15.75">
      <c r="B63" s="74" t="s">
        <v>141</v>
      </c>
      <c r="C63" s="410" t="s">
        <v>142</v>
      </c>
      <c r="D63" s="410"/>
      <c r="E63" s="410"/>
      <c r="F63" s="410"/>
      <c r="G63" s="75">
        <f>G57</f>
        <v>572.03059999999994</v>
      </c>
    </row>
    <row r="64" spans="2:14" ht="15.75">
      <c r="B64" s="411" t="s">
        <v>20</v>
      </c>
      <c r="C64" s="411"/>
      <c r="D64" s="411"/>
      <c r="E64" s="411"/>
      <c r="F64" s="411"/>
      <c r="G64" s="104">
        <f>SUM(G61:G63)</f>
        <v>1790.9600830560003</v>
      </c>
    </row>
    <row r="65" spans="2:13" ht="26.25" customHeight="1">
      <c r="B65" s="63"/>
      <c r="C65" s="63"/>
      <c r="D65" s="64"/>
    </row>
    <row r="66" spans="2:13" s="77" customFormat="1">
      <c r="B66" s="412" t="s">
        <v>143</v>
      </c>
      <c r="C66" s="413"/>
      <c r="D66" s="413"/>
      <c r="E66" s="413"/>
      <c r="F66" s="413"/>
      <c r="G66" s="414"/>
    </row>
    <row r="67" spans="2:13" s="77" customFormat="1">
      <c r="B67" s="415" t="s">
        <v>144</v>
      </c>
      <c r="C67" s="415"/>
      <c r="D67" s="415"/>
      <c r="E67" s="415"/>
      <c r="F67" s="105" t="s">
        <v>100</v>
      </c>
      <c r="G67" s="105" t="s">
        <v>115</v>
      </c>
      <c r="I67" s="79"/>
    </row>
    <row r="68" spans="2:13" s="77" customFormat="1" ht="31.5" customHeight="1">
      <c r="B68" s="82" t="s">
        <v>52</v>
      </c>
      <c r="C68" s="416" t="s">
        <v>145</v>
      </c>
      <c r="D68" s="416"/>
      <c r="E68" s="416"/>
      <c r="F68" s="80">
        <v>4.5999999999999999E-3</v>
      </c>
      <c r="G68" s="81">
        <f>ROUND(F68*$G$31,2)</f>
        <v>8.84</v>
      </c>
      <c r="I68"/>
      <c r="J68"/>
      <c r="K68"/>
      <c r="L68"/>
      <c r="M68"/>
    </row>
    <row r="69" spans="2:13" s="77" customFormat="1" ht="33" customHeight="1">
      <c r="B69" s="82" t="s">
        <v>53</v>
      </c>
      <c r="C69" s="416" t="s">
        <v>146</v>
      </c>
      <c r="D69" s="416"/>
      <c r="E69" s="416"/>
      <c r="F69" s="80">
        <v>8.9999999999999998E-4</v>
      </c>
      <c r="G69" s="81">
        <f t="shared" ref="G69:G73" si="1">ROUND(F69*$G$31,2)</f>
        <v>1.73</v>
      </c>
      <c r="H69" s="78"/>
      <c r="I69"/>
      <c r="J69"/>
      <c r="K69"/>
      <c r="L69"/>
      <c r="M69"/>
    </row>
    <row r="70" spans="2:13" s="77" customFormat="1">
      <c r="B70" s="82" t="s">
        <v>54</v>
      </c>
      <c r="C70" s="416" t="s">
        <v>147</v>
      </c>
      <c r="D70" s="453"/>
      <c r="E70" s="453"/>
      <c r="F70" s="80">
        <v>2.2200000000000001E-2</v>
      </c>
      <c r="G70" s="81">
        <f t="shared" si="1"/>
        <v>42.68</v>
      </c>
      <c r="I70"/>
      <c r="J70"/>
      <c r="K70"/>
      <c r="L70"/>
      <c r="M70"/>
    </row>
    <row r="71" spans="2:13" s="77" customFormat="1" ht="48" customHeight="1">
      <c r="B71" s="82" t="s">
        <v>55</v>
      </c>
      <c r="C71" s="416" t="s">
        <v>148</v>
      </c>
      <c r="D71" s="416"/>
      <c r="E71" s="416"/>
      <c r="F71" s="80">
        <v>1.9400000000000001E-2</v>
      </c>
      <c r="G71" s="81">
        <f t="shared" si="1"/>
        <v>37.299999999999997</v>
      </c>
      <c r="I71"/>
      <c r="J71"/>
      <c r="K71"/>
      <c r="L71"/>
      <c r="M71"/>
    </row>
    <row r="72" spans="2:13" s="77" customFormat="1" ht="35.25" customHeight="1">
      <c r="B72" s="82" t="s">
        <v>56</v>
      </c>
      <c r="C72" s="416" t="s">
        <v>149</v>
      </c>
      <c r="D72" s="416"/>
      <c r="E72" s="416"/>
      <c r="F72" s="80">
        <f>ROUND(F49*F71,4)</f>
        <v>7.1000000000000004E-3</v>
      </c>
      <c r="G72" s="81">
        <f t="shared" si="1"/>
        <v>13.65</v>
      </c>
      <c r="H72" s="78"/>
      <c r="I72"/>
      <c r="J72"/>
      <c r="K72"/>
      <c r="L72"/>
      <c r="M72"/>
    </row>
    <row r="73" spans="2:13" s="77" customFormat="1" ht="33.75" customHeight="1">
      <c r="B73" s="82" t="s">
        <v>108</v>
      </c>
      <c r="C73" s="416" t="s">
        <v>150</v>
      </c>
      <c r="D73" s="453"/>
      <c r="E73" s="453"/>
      <c r="F73" s="80">
        <v>3.2000000000000001E-2</v>
      </c>
      <c r="G73" s="81">
        <f t="shared" si="1"/>
        <v>61.53</v>
      </c>
      <c r="I73"/>
      <c r="J73"/>
      <c r="K73"/>
      <c r="L73"/>
      <c r="M73"/>
    </row>
    <row r="74" spans="2:13" s="77" customFormat="1" ht="15.75">
      <c r="B74" s="417" t="s">
        <v>151</v>
      </c>
      <c r="C74" s="417"/>
      <c r="D74" s="417"/>
      <c r="E74" s="417"/>
      <c r="F74" s="106">
        <f>SUM(F68:F73)</f>
        <v>8.6199999999999999E-2</v>
      </c>
      <c r="G74" s="107">
        <f>SUM(G68:G73)</f>
        <v>165.73000000000002</v>
      </c>
      <c r="I74"/>
      <c r="J74"/>
      <c r="K74"/>
      <c r="L74"/>
      <c r="M74"/>
    </row>
    <row r="75" spans="2:13" ht="26.25" customHeight="1">
      <c r="B75" s="22"/>
      <c r="C75" s="22"/>
      <c r="D75" s="22"/>
      <c r="E75" s="22"/>
      <c r="F75" s="23"/>
      <c r="G75" s="18"/>
    </row>
    <row r="76" spans="2:13" ht="15.75">
      <c r="B76" s="418" t="s">
        <v>152</v>
      </c>
      <c r="C76" s="418"/>
      <c r="D76" s="418"/>
      <c r="E76" s="418"/>
      <c r="F76" s="418"/>
      <c r="G76" s="418"/>
    </row>
    <row r="77" spans="2:13">
      <c r="B77" s="419" t="s">
        <v>153</v>
      </c>
      <c r="C77" s="419"/>
      <c r="D77" s="419"/>
      <c r="E77" s="419"/>
      <c r="F77" s="5" t="s">
        <v>100</v>
      </c>
      <c r="G77" s="5" t="s">
        <v>115</v>
      </c>
    </row>
    <row r="78" spans="2:13">
      <c r="B78" s="32" t="s">
        <v>52</v>
      </c>
      <c r="C78" s="399" t="s">
        <v>154</v>
      </c>
      <c r="D78" s="399"/>
      <c r="E78" s="399"/>
      <c r="F78" s="33">
        <v>8.3299999999999999E-2</v>
      </c>
      <c r="G78" s="34">
        <f>G$31*F78</f>
        <v>160.164242</v>
      </c>
      <c r="I78" s="21"/>
      <c r="J78" s="21"/>
    </row>
    <row r="79" spans="2:13">
      <c r="B79" s="32" t="s">
        <v>53</v>
      </c>
      <c r="C79" s="377" t="s">
        <v>155</v>
      </c>
      <c r="D79" s="377"/>
      <c r="E79" s="35"/>
      <c r="F79" s="36">
        <v>1.7500000000000002E-2</v>
      </c>
      <c r="G79" s="34">
        <f t="shared" ref="G79:G83" si="2">G$31*F79</f>
        <v>33.647950000000002</v>
      </c>
      <c r="J79" s="21"/>
      <c r="K79" s="21"/>
    </row>
    <row r="80" spans="2:13">
      <c r="B80" s="32" t="s">
        <v>54</v>
      </c>
      <c r="C80" s="377" t="s">
        <v>156</v>
      </c>
      <c r="D80" s="377"/>
      <c r="E80" s="35"/>
      <c r="F80" s="36">
        <v>5.0000000000000001E-4</v>
      </c>
      <c r="G80" s="34">
        <f t="shared" si="2"/>
        <v>0.96137000000000006</v>
      </c>
      <c r="J80" s="21"/>
    </row>
    <row r="81" spans="2:10">
      <c r="B81" s="32" t="s">
        <v>55</v>
      </c>
      <c r="C81" s="377" t="s">
        <v>157</v>
      </c>
      <c r="D81" s="377"/>
      <c r="E81" s="35"/>
      <c r="F81" s="36">
        <v>4.0000000000000002E-4</v>
      </c>
      <c r="G81" s="34">
        <f t="shared" si="2"/>
        <v>0.769096</v>
      </c>
      <c r="J81" s="21"/>
    </row>
    <row r="82" spans="2:10">
      <c r="B82" s="32" t="s">
        <v>56</v>
      </c>
      <c r="C82" s="377" t="s">
        <v>158</v>
      </c>
      <c r="D82" s="377"/>
      <c r="E82" s="35"/>
      <c r="F82" s="36">
        <v>4.0000000000000002E-4</v>
      </c>
      <c r="G82" s="34">
        <f t="shared" si="2"/>
        <v>0.769096</v>
      </c>
      <c r="J82" s="21"/>
    </row>
    <row r="83" spans="2:10">
      <c r="B83" s="32" t="s">
        <v>108</v>
      </c>
      <c r="C83" s="377" t="s">
        <v>159</v>
      </c>
      <c r="D83" s="377"/>
      <c r="E83" s="35"/>
      <c r="F83" s="36">
        <v>0</v>
      </c>
      <c r="G83" s="34">
        <f t="shared" si="2"/>
        <v>0</v>
      </c>
    </row>
    <row r="84" spans="2:10" ht="15.75">
      <c r="B84" s="420" t="s">
        <v>160</v>
      </c>
      <c r="C84" s="420"/>
      <c r="D84" s="420"/>
      <c r="E84" s="420"/>
      <c r="F84" s="108">
        <f>SUM(F78:F83)</f>
        <v>0.1021</v>
      </c>
      <c r="G84" s="109">
        <f>SUM(G78:G83)</f>
        <v>196.31175399999998</v>
      </c>
      <c r="J84" s="21"/>
    </row>
    <row r="85" spans="2:10" ht="15.75">
      <c r="B85" s="65"/>
      <c r="C85" s="65"/>
      <c r="D85" s="65"/>
      <c r="E85" s="65"/>
      <c r="F85" s="66"/>
      <c r="G85" s="67"/>
      <c r="J85" s="21"/>
    </row>
    <row r="86" spans="2:10">
      <c r="J86" s="21"/>
    </row>
    <row r="87" spans="2:10" ht="15.75">
      <c r="B87" s="103" t="s">
        <v>161</v>
      </c>
      <c r="C87" s="396" t="s">
        <v>162</v>
      </c>
      <c r="D87" s="396"/>
      <c r="E87" s="396"/>
      <c r="F87" s="396"/>
      <c r="G87" s="110" t="s">
        <v>101</v>
      </c>
      <c r="J87" s="21"/>
    </row>
    <row r="88" spans="2:10" ht="15.75">
      <c r="B88" s="74"/>
      <c r="C88" s="410"/>
      <c r="D88" s="410"/>
      <c r="E88" s="410"/>
      <c r="F88" s="410"/>
      <c r="G88" s="83" t="s">
        <v>138</v>
      </c>
      <c r="J88" s="21"/>
    </row>
    <row r="89" spans="2:10" ht="15.75">
      <c r="B89" s="73" t="s">
        <v>52</v>
      </c>
      <c r="C89" s="410" t="s">
        <v>163</v>
      </c>
      <c r="D89" s="410"/>
      <c r="E89" s="410"/>
      <c r="F89" s="410"/>
      <c r="G89" s="84">
        <v>0</v>
      </c>
      <c r="J89" s="21"/>
    </row>
    <row r="90" spans="2:10" ht="15.75">
      <c r="B90" s="393" t="s">
        <v>20</v>
      </c>
      <c r="C90" s="394"/>
      <c r="D90" s="394"/>
      <c r="E90" s="394"/>
      <c r="F90" s="395"/>
      <c r="G90" s="84">
        <v>0</v>
      </c>
      <c r="J90" s="21"/>
    </row>
    <row r="91" spans="2:10">
      <c r="J91" s="21"/>
    </row>
    <row r="92" spans="2:10" ht="15.75">
      <c r="B92" s="103">
        <v>4</v>
      </c>
      <c r="C92" s="396" t="s">
        <v>164</v>
      </c>
      <c r="D92" s="396"/>
      <c r="E92" s="396"/>
      <c r="F92" s="396"/>
      <c r="G92" s="110" t="s">
        <v>101</v>
      </c>
      <c r="J92" s="21"/>
    </row>
    <row r="93" spans="2:10" ht="15.75">
      <c r="B93" s="74"/>
      <c r="C93" s="410"/>
      <c r="D93" s="410"/>
      <c r="E93" s="410"/>
      <c r="F93" s="410"/>
      <c r="G93" s="83" t="s">
        <v>138</v>
      </c>
      <c r="J93" s="21"/>
    </row>
    <row r="94" spans="2:10" ht="15.75">
      <c r="B94" s="74" t="s">
        <v>41</v>
      </c>
      <c r="C94" s="410" t="s">
        <v>165</v>
      </c>
      <c r="D94" s="410"/>
      <c r="E94" s="410"/>
      <c r="F94" s="410"/>
      <c r="G94" s="75">
        <f>G84</f>
        <v>196.31175399999998</v>
      </c>
      <c r="J94" s="21"/>
    </row>
    <row r="95" spans="2:10" ht="15.75">
      <c r="B95" s="74" t="s">
        <v>161</v>
      </c>
      <c r="C95" s="410" t="s">
        <v>162</v>
      </c>
      <c r="D95" s="410"/>
      <c r="E95" s="410"/>
      <c r="F95" s="410"/>
      <c r="G95" s="84">
        <v>0</v>
      </c>
      <c r="J95" s="21"/>
    </row>
    <row r="96" spans="2:10" s="37" customFormat="1" ht="15.75">
      <c r="B96" s="393" t="s">
        <v>20</v>
      </c>
      <c r="C96" s="394"/>
      <c r="D96" s="394"/>
      <c r="E96" s="394"/>
      <c r="F96" s="395"/>
      <c r="G96" s="76">
        <f>SUM(G94:G95)</f>
        <v>196.31175399999998</v>
      </c>
    </row>
    <row r="97" spans="2:7" s="37" customFormat="1" ht="15.75">
      <c r="B97" s="68"/>
      <c r="C97" s="68"/>
      <c r="D97" s="68"/>
      <c r="E97" s="68"/>
      <c r="F97" s="68"/>
      <c r="G97" s="88"/>
    </row>
    <row r="98" spans="2:7" s="37" customFormat="1" ht="12.75">
      <c r="B98" s="397" t="s">
        <v>166</v>
      </c>
      <c r="C98" s="397"/>
      <c r="D98" s="397"/>
      <c r="E98" s="397"/>
      <c r="F98" s="397"/>
      <c r="G98" s="397"/>
    </row>
    <row r="99" spans="2:7" ht="15.75">
      <c r="B99" s="398" t="s">
        <v>167</v>
      </c>
      <c r="C99" s="398"/>
      <c r="D99" s="398"/>
      <c r="E99" s="398"/>
      <c r="F99" s="398"/>
      <c r="G99" s="90" t="s">
        <v>101</v>
      </c>
    </row>
    <row r="100" spans="2:7">
      <c r="B100" s="85" t="s">
        <v>52</v>
      </c>
      <c r="C100" s="430" t="s">
        <v>168</v>
      </c>
      <c r="D100" s="430"/>
      <c r="E100" s="430"/>
      <c r="F100" s="430"/>
      <c r="G100" s="91">
        <f>UNIFORME!E8</f>
        <v>34.266666666666666</v>
      </c>
    </row>
    <row r="101" spans="2:7">
      <c r="B101" s="26" t="s">
        <v>53</v>
      </c>
      <c r="C101" s="427" t="s">
        <v>169</v>
      </c>
      <c r="D101" s="428"/>
      <c r="E101" s="428"/>
      <c r="F101" s="429"/>
      <c r="G101" s="89">
        <v>0</v>
      </c>
    </row>
    <row r="102" spans="2:7">
      <c r="B102" s="32" t="s">
        <v>54</v>
      </c>
      <c r="C102" s="377" t="s">
        <v>170</v>
      </c>
      <c r="D102" s="378"/>
      <c r="E102" s="378"/>
      <c r="F102" s="379"/>
      <c r="G102" s="20">
        <f>EPI!E10</f>
        <v>6.9050000000000002</v>
      </c>
    </row>
    <row r="103" spans="2:7">
      <c r="B103" s="38" t="s">
        <v>55</v>
      </c>
      <c r="C103" s="399" t="s">
        <v>135</v>
      </c>
      <c r="D103" s="399"/>
      <c r="E103" s="399"/>
      <c r="F103" s="399"/>
      <c r="G103" s="20"/>
    </row>
    <row r="104" spans="2:7" ht="15.75" customHeight="1">
      <c r="B104" s="400" t="s">
        <v>171</v>
      </c>
      <c r="C104" s="401"/>
      <c r="D104" s="401"/>
      <c r="E104" s="401"/>
      <c r="F104" s="402"/>
      <c r="G104" s="111">
        <f>G100+G101+G102+G103</f>
        <v>41.171666666666667</v>
      </c>
    </row>
    <row r="106" spans="2:7" ht="18">
      <c r="B106" s="382" t="s">
        <v>172</v>
      </c>
      <c r="C106" s="383"/>
      <c r="D106" s="383"/>
      <c r="E106" s="383"/>
      <c r="F106" s="383"/>
      <c r="G106" s="384"/>
    </row>
    <row r="107" spans="2:7" ht="18">
      <c r="D107" s="39"/>
      <c r="E107" s="39"/>
      <c r="F107" s="39"/>
    </row>
    <row r="108" spans="2:7" ht="15.75">
      <c r="B108" s="30"/>
      <c r="C108" s="400" t="s">
        <v>173</v>
      </c>
      <c r="D108" s="401"/>
      <c r="E108" s="401"/>
      <c r="F108" s="402"/>
      <c r="G108" s="30" t="s">
        <v>101</v>
      </c>
    </row>
    <row r="109" spans="2:7">
      <c r="B109" s="8">
        <v>1</v>
      </c>
      <c r="C109" s="375" t="s">
        <v>174</v>
      </c>
      <c r="D109" s="375"/>
      <c r="E109" s="375"/>
      <c r="F109" s="375"/>
      <c r="G109" s="40">
        <f>G31</f>
        <v>1922.74</v>
      </c>
    </row>
    <row r="110" spans="2:7">
      <c r="B110" s="8">
        <v>2</v>
      </c>
      <c r="C110" s="375" t="s">
        <v>175</v>
      </c>
      <c r="D110" s="375"/>
      <c r="E110" s="375"/>
      <c r="F110" s="375"/>
      <c r="G110" s="40">
        <f>G38+G49+G57</f>
        <v>1790.9600830560003</v>
      </c>
    </row>
    <row r="111" spans="2:7">
      <c r="B111" s="8">
        <v>3</v>
      </c>
      <c r="C111" s="375" t="s">
        <v>176</v>
      </c>
      <c r="D111" s="375"/>
      <c r="E111" s="375"/>
      <c r="F111" s="375"/>
      <c r="G111" s="40">
        <f>G74</f>
        <v>165.73000000000002</v>
      </c>
    </row>
    <row r="112" spans="2:7">
      <c r="B112" s="8">
        <v>4</v>
      </c>
      <c r="C112" s="375" t="s">
        <v>177</v>
      </c>
      <c r="D112" s="375"/>
      <c r="E112" s="375"/>
      <c r="F112" s="375"/>
      <c r="G112" s="40">
        <f>G84</f>
        <v>196.31175399999998</v>
      </c>
    </row>
    <row r="113" spans="2:11">
      <c r="B113" s="8">
        <v>5</v>
      </c>
      <c r="C113" s="375" t="s">
        <v>178</v>
      </c>
      <c r="D113" s="375"/>
      <c r="E113" s="375"/>
      <c r="F113" s="375"/>
      <c r="G113" s="40">
        <f>G104</f>
        <v>41.171666666666667</v>
      </c>
    </row>
    <row r="114" spans="2:11">
      <c r="B114" s="8">
        <v>6</v>
      </c>
      <c r="C114" s="375" t="s">
        <v>159</v>
      </c>
      <c r="D114" s="375"/>
      <c r="E114" s="375"/>
      <c r="F114" s="375"/>
      <c r="G114" s="25"/>
    </row>
    <row r="115" spans="2:11" ht="15.75">
      <c r="B115" s="420" t="s">
        <v>20</v>
      </c>
      <c r="C115" s="420"/>
      <c r="D115" s="420"/>
      <c r="E115" s="420"/>
      <c r="F115" s="420"/>
      <c r="G115" s="41">
        <f>SUM(G109:G114)</f>
        <v>4116.913503722667</v>
      </c>
    </row>
    <row r="116" spans="2:11" ht="15.75">
      <c r="B116" s="22"/>
      <c r="C116" s="22"/>
      <c r="D116" s="22"/>
      <c r="E116" s="22"/>
      <c r="F116" s="22"/>
      <c r="G116" s="42"/>
    </row>
    <row r="117" spans="2:11">
      <c r="B117" s="403" t="s">
        <v>179</v>
      </c>
      <c r="C117" s="404"/>
      <c r="D117" s="404"/>
      <c r="E117" s="404"/>
      <c r="F117" s="404"/>
      <c r="G117" s="405"/>
    </row>
    <row r="118" spans="2:11" ht="15.75">
      <c r="B118" s="43">
        <v>6</v>
      </c>
      <c r="C118" s="44" t="s">
        <v>180</v>
      </c>
      <c r="D118" s="45"/>
      <c r="E118" s="46"/>
      <c r="F118" s="47" t="s">
        <v>100</v>
      </c>
      <c r="G118" s="6" t="s">
        <v>115</v>
      </c>
    </row>
    <row r="119" spans="2:11" ht="15.75">
      <c r="B119" s="8" t="s">
        <v>52</v>
      </c>
      <c r="C119" s="375" t="s">
        <v>181</v>
      </c>
      <c r="D119" s="375"/>
      <c r="E119" s="375"/>
      <c r="F119" s="132">
        <v>0.1</v>
      </c>
      <c r="G119" s="48">
        <f>G115*F119</f>
        <v>411.6913503722667</v>
      </c>
      <c r="J119" s="92">
        <f>SUM(F122:F124)</f>
        <v>8.6499999999999994E-2</v>
      </c>
      <c r="K119" s="93"/>
    </row>
    <row r="120" spans="2:11" ht="15.75">
      <c r="B120" s="8" t="s">
        <v>53</v>
      </c>
      <c r="C120" s="377" t="s">
        <v>182</v>
      </c>
      <c r="D120" s="378"/>
      <c r="E120" s="379"/>
      <c r="F120" s="132">
        <v>0.1</v>
      </c>
      <c r="G120" s="48">
        <f>(G119+G115)*F120</f>
        <v>452.86048540949344</v>
      </c>
      <c r="J120" s="94">
        <f>G136</f>
        <v>4116.913503722667</v>
      </c>
      <c r="K120" s="95"/>
    </row>
    <row r="121" spans="2:11" ht="15.75">
      <c r="B121" s="8" t="s">
        <v>54</v>
      </c>
      <c r="C121" s="375" t="s">
        <v>183</v>
      </c>
      <c r="D121" s="375"/>
      <c r="E121" s="375"/>
      <c r="F121" s="49"/>
      <c r="G121" s="50">
        <v>0</v>
      </c>
      <c r="J121" s="96">
        <f>G119+G120</f>
        <v>864.55183578176013</v>
      </c>
      <c r="K121" s="97"/>
    </row>
    <row r="122" spans="2:11" ht="15.75">
      <c r="B122" s="8"/>
      <c r="C122" s="375" t="s">
        <v>184</v>
      </c>
      <c r="D122" s="375"/>
      <c r="E122" s="375"/>
      <c r="F122" s="19">
        <v>6.4999999999999997E-3</v>
      </c>
      <c r="G122" s="50">
        <f>F122*I123</f>
        <v>35.445566181476501</v>
      </c>
      <c r="I122" s="50"/>
      <c r="J122" s="96">
        <f>SUM(J120:J121)</f>
        <v>4981.465339504427</v>
      </c>
      <c r="K122" s="98"/>
    </row>
    <row r="123" spans="2:11" ht="15.75">
      <c r="B123" s="8"/>
      <c r="C123" s="375" t="s">
        <v>185</v>
      </c>
      <c r="D123" s="375"/>
      <c r="E123" s="375"/>
      <c r="F123" s="19">
        <v>0.03</v>
      </c>
      <c r="G123" s="50">
        <f>F123*I123</f>
        <v>163.59492083758386</v>
      </c>
      <c r="I123" s="50">
        <f>(G115+G119+G120)/0.9135</f>
        <v>5453.1640279194617</v>
      </c>
      <c r="J123" s="96">
        <f>J122/(1-J119)</f>
        <v>5453.1640279194608</v>
      </c>
      <c r="K123" s="98"/>
    </row>
    <row r="124" spans="2:11" ht="15.75">
      <c r="B124" s="8"/>
      <c r="C124" s="375" t="s">
        <v>186</v>
      </c>
      <c r="D124" s="375"/>
      <c r="E124" s="375"/>
      <c r="F124" s="19">
        <v>0.05</v>
      </c>
      <c r="G124" s="50">
        <f>F124*I123</f>
        <v>272.65820139597309</v>
      </c>
      <c r="J124" s="98"/>
      <c r="K124" s="98"/>
    </row>
    <row r="125" spans="2:11" ht="15.75">
      <c r="B125" s="8"/>
      <c r="C125" s="390" t="s">
        <v>187</v>
      </c>
      <c r="D125" s="391"/>
      <c r="E125" s="392"/>
      <c r="F125" s="19">
        <v>0</v>
      </c>
      <c r="G125" s="50">
        <f>F125*I123</f>
        <v>0</v>
      </c>
      <c r="J125" s="96">
        <f>SUM(H123:H125)</f>
        <v>0</v>
      </c>
      <c r="K125" s="96"/>
    </row>
    <row r="126" spans="2:11">
      <c r="B126" s="8"/>
      <c r="C126" s="426" t="s">
        <v>188</v>
      </c>
      <c r="D126" s="426"/>
      <c r="E126" s="426"/>
      <c r="F126" s="52">
        <f>SUM(F119:F125)</f>
        <v>0.28650000000000003</v>
      </c>
      <c r="G126" s="53">
        <f>SUM(G119:G125)</f>
        <v>1336.2505241967935</v>
      </c>
    </row>
    <row r="128" spans="2:11" ht="18">
      <c r="B128" s="382" t="s">
        <v>189</v>
      </c>
      <c r="C128" s="383"/>
      <c r="D128" s="383"/>
      <c r="E128" s="383"/>
      <c r="F128" s="383"/>
      <c r="G128" s="384"/>
    </row>
    <row r="130" spans="2:7">
      <c r="B130" s="112"/>
      <c r="C130" s="387" t="s">
        <v>190</v>
      </c>
      <c r="D130" s="388"/>
      <c r="E130" s="388"/>
      <c r="F130" s="389"/>
      <c r="G130" s="112" t="s">
        <v>115</v>
      </c>
    </row>
    <row r="131" spans="2:7">
      <c r="B131" s="8" t="s">
        <v>52</v>
      </c>
      <c r="C131" s="375" t="s">
        <v>191</v>
      </c>
      <c r="D131" s="375"/>
      <c r="E131" s="375"/>
      <c r="F131" s="375"/>
      <c r="G131" s="7">
        <f>G109</f>
        <v>1922.74</v>
      </c>
    </row>
    <row r="132" spans="2:7">
      <c r="B132" s="8" t="s">
        <v>53</v>
      </c>
      <c r="C132" s="375" t="s">
        <v>113</v>
      </c>
      <c r="D132" s="375"/>
      <c r="E132" s="375"/>
      <c r="F132" s="375"/>
      <c r="G132" s="7">
        <f>G110</f>
        <v>1790.9600830560003</v>
      </c>
    </row>
    <row r="133" spans="2:7">
      <c r="B133" s="8" t="s">
        <v>54</v>
      </c>
      <c r="C133" s="375" t="s">
        <v>143</v>
      </c>
      <c r="D133" s="375"/>
      <c r="E133" s="375"/>
      <c r="F133" s="375"/>
      <c r="G133" s="7">
        <f>G111</f>
        <v>165.73000000000002</v>
      </c>
    </row>
    <row r="134" spans="2:7">
      <c r="B134" s="8" t="s">
        <v>55</v>
      </c>
      <c r="C134" s="375" t="s">
        <v>192</v>
      </c>
      <c r="D134" s="375"/>
      <c r="E134" s="375"/>
      <c r="F134" s="375"/>
      <c r="G134" s="7">
        <f>G112</f>
        <v>196.31175399999998</v>
      </c>
    </row>
    <row r="135" spans="2:7">
      <c r="B135" s="8" t="s">
        <v>56</v>
      </c>
      <c r="C135" s="377" t="s">
        <v>178</v>
      </c>
      <c r="D135" s="378"/>
      <c r="E135" s="378"/>
      <c r="F135" s="379"/>
      <c r="G135" s="7">
        <f>G113</f>
        <v>41.171666666666667</v>
      </c>
    </row>
    <row r="136" spans="2:7">
      <c r="B136" s="380" t="s">
        <v>193</v>
      </c>
      <c r="C136" s="380"/>
      <c r="D136" s="380"/>
      <c r="E136" s="380"/>
      <c r="F136" s="380"/>
      <c r="G136" s="7">
        <f>SUM(G131:G135)</f>
        <v>4116.913503722667</v>
      </c>
    </row>
    <row r="137" spans="2:7">
      <c r="B137" s="8" t="s">
        <v>108</v>
      </c>
      <c r="C137" s="375" t="s">
        <v>194</v>
      </c>
      <c r="D137" s="375"/>
      <c r="E137" s="375"/>
      <c r="F137" s="375"/>
      <c r="G137" s="7">
        <f>G126</f>
        <v>1336.2505241967935</v>
      </c>
    </row>
    <row r="138" spans="2:7">
      <c r="B138" s="381" t="s">
        <v>195</v>
      </c>
      <c r="C138" s="381"/>
      <c r="D138" s="381"/>
      <c r="E138" s="381"/>
      <c r="F138" s="381"/>
      <c r="G138" s="54">
        <f>ROUNDDOWN(G136+G137,2)</f>
        <v>5453.16</v>
      </c>
    </row>
    <row r="139" spans="2:7">
      <c r="F139" s="3"/>
      <c r="G139" s="3"/>
    </row>
    <row r="140" spans="2:7" ht="18">
      <c r="B140" s="382" t="s">
        <v>196</v>
      </c>
      <c r="C140" s="383"/>
      <c r="D140" s="383"/>
      <c r="E140" s="383"/>
      <c r="F140" s="383"/>
      <c r="G140" s="384"/>
    </row>
    <row r="141" spans="2:7">
      <c r="F141" s="3"/>
      <c r="G141" s="3"/>
    </row>
    <row r="142" spans="2:7">
      <c r="B142" s="12" t="s">
        <v>197</v>
      </c>
      <c r="C142" s="12" t="s">
        <v>198</v>
      </c>
      <c r="D142" s="12" t="s">
        <v>199</v>
      </c>
      <c r="E142" s="12" t="s">
        <v>200</v>
      </c>
      <c r="F142" s="12" t="s">
        <v>201</v>
      </c>
      <c r="G142" s="12" t="s">
        <v>202</v>
      </c>
    </row>
    <row r="143" spans="2:7">
      <c r="B143" s="87"/>
      <c r="C143" s="6" t="s">
        <v>203</v>
      </c>
      <c r="D143" s="6" t="s">
        <v>204</v>
      </c>
      <c r="E143" s="6" t="s">
        <v>205</v>
      </c>
      <c r="F143" s="6" t="s">
        <v>206</v>
      </c>
      <c r="G143" s="6" t="s">
        <v>207</v>
      </c>
    </row>
    <row r="144" spans="2:7">
      <c r="B144" s="113" t="str">
        <f>G19</f>
        <v>PEDEIRO</v>
      </c>
      <c r="C144" s="55">
        <f>G138</f>
        <v>5453.16</v>
      </c>
      <c r="D144" s="56">
        <f>F14</f>
        <v>1</v>
      </c>
      <c r="E144" s="57">
        <f>C144</f>
        <v>5453.16</v>
      </c>
      <c r="F144" s="133">
        <v>1</v>
      </c>
      <c r="G144" s="57">
        <f>E144*F144</f>
        <v>5453.16</v>
      </c>
    </row>
    <row r="145" spans="2:7">
      <c r="B145" s="6"/>
      <c r="C145" s="49"/>
      <c r="D145" s="49"/>
      <c r="E145" s="49"/>
      <c r="F145" s="8"/>
      <c r="G145" s="8"/>
    </row>
    <row r="146" spans="2:7">
      <c r="B146" s="8"/>
      <c r="C146" s="49"/>
      <c r="D146" s="49"/>
      <c r="E146" s="49"/>
      <c r="F146" s="8"/>
      <c r="G146" s="8"/>
    </row>
    <row r="147" spans="2:7">
      <c r="B147" s="8"/>
      <c r="C147" s="49"/>
      <c r="D147" s="49"/>
      <c r="E147" s="49"/>
      <c r="F147" s="8"/>
      <c r="G147" s="8"/>
    </row>
    <row r="148" spans="2:7">
      <c r="B148" s="8"/>
      <c r="C148" s="49"/>
      <c r="D148" s="49"/>
      <c r="E148" s="49"/>
      <c r="F148" s="8"/>
      <c r="G148" s="8"/>
    </row>
    <row r="149" spans="2:7" ht="18">
      <c r="C149" s="59"/>
      <c r="D149" s="59"/>
      <c r="E149" s="59"/>
      <c r="F149" s="59"/>
      <c r="G149" s="59"/>
    </row>
    <row r="150" spans="2:7" ht="18">
      <c r="B150" s="382" t="s">
        <v>208</v>
      </c>
      <c r="C150" s="383"/>
      <c r="D150" s="383"/>
      <c r="E150" s="383"/>
      <c r="F150" s="383"/>
      <c r="G150" s="384"/>
    </row>
    <row r="151" spans="2:7" ht="18">
      <c r="B151" s="59"/>
      <c r="C151" s="59"/>
      <c r="D151" s="59"/>
      <c r="E151" s="59"/>
      <c r="F151" s="59"/>
      <c r="G151" s="59"/>
    </row>
    <row r="152" spans="2:7" ht="18">
      <c r="B152" s="60"/>
      <c r="C152" s="385" t="s">
        <v>209</v>
      </c>
      <c r="D152" s="385"/>
      <c r="E152" s="385"/>
      <c r="F152" s="385"/>
      <c r="G152" s="385"/>
    </row>
    <row r="153" spans="2:7">
      <c r="B153" s="8"/>
      <c r="C153" s="386" t="s">
        <v>50</v>
      </c>
      <c r="D153" s="386"/>
      <c r="E153" s="386"/>
      <c r="F153" s="386"/>
      <c r="G153" s="51" t="s">
        <v>115</v>
      </c>
    </row>
    <row r="154" spans="2:7">
      <c r="B154" s="8" t="s">
        <v>52</v>
      </c>
      <c r="C154" s="375" t="s">
        <v>210</v>
      </c>
      <c r="D154" s="375"/>
      <c r="E154" s="375"/>
      <c r="F154" s="375"/>
      <c r="G154" s="25">
        <f>C144</f>
        <v>5453.16</v>
      </c>
    </row>
    <row r="155" spans="2:7">
      <c r="B155" s="58" t="s">
        <v>53</v>
      </c>
      <c r="C155" s="376" t="s">
        <v>211</v>
      </c>
      <c r="D155" s="376"/>
      <c r="E155" s="376"/>
      <c r="F155" s="376"/>
      <c r="G155" s="215">
        <f>G154/21</f>
        <v>259.6742857142857</v>
      </c>
    </row>
  </sheetData>
  <mergeCells count="132">
    <mergeCell ref="C152:G152"/>
    <mergeCell ref="C153:F153"/>
    <mergeCell ref="C154:F154"/>
    <mergeCell ref="C155:F155"/>
    <mergeCell ref="C135:F135"/>
    <mergeCell ref="B136:F136"/>
    <mergeCell ref="C137:F137"/>
    <mergeCell ref="B138:F138"/>
    <mergeCell ref="B140:G140"/>
    <mergeCell ref="B150:G150"/>
    <mergeCell ref="B128:G128"/>
    <mergeCell ref="C130:F130"/>
    <mergeCell ref="C131:F131"/>
    <mergeCell ref="C132:F132"/>
    <mergeCell ref="C133:F133"/>
    <mergeCell ref="C134:F134"/>
    <mergeCell ref="C121:E121"/>
    <mergeCell ref="C122:E122"/>
    <mergeCell ref="C123:E123"/>
    <mergeCell ref="C124:E124"/>
    <mergeCell ref="C125:E125"/>
    <mergeCell ref="C126:E126"/>
    <mergeCell ref="C113:F113"/>
    <mergeCell ref="C114:F114"/>
    <mergeCell ref="B115:F115"/>
    <mergeCell ref="B117:G117"/>
    <mergeCell ref="C119:E119"/>
    <mergeCell ref="C120:E120"/>
    <mergeCell ref="B106:G106"/>
    <mergeCell ref="C108:F108"/>
    <mergeCell ref="C109:F109"/>
    <mergeCell ref="C110:F110"/>
    <mergeCell ref="C111:F111"/>
    <mergeCell ref="C112:F112"/>
    <mergeCell ref="B99:F99"/>
    <mergeCell ref="C100:F100"/>
    <mergeCell ref="C101:F101"/>
    <mergeCell ref="C102:F102"/>
    <mergeCell ref="C103:F103"/>
    <mergeCell ref="B104:F104"/>
    <mergeCell ref="C92:F92"/>
    <mergeCell ref="C93:F93"/>
    <mergeCell ref="C94:F94"/>
    <mergeCell ref="C95:F95"/>
    <mergeCell ref="B96:F96"/>
    <mergeCell ref="B98:G98"/>
    <mergeCell ref="C83:D83"/>
    <mergeCell ref="B84:E84"/>
    <mergeCell ref="C87:F87"/>
    <mergeCell ref="C88:F88"/>
    <mergeCell ref="C89:F89"/>
    <mergeCell ref="B90:F90"/>
    <mergeCell ref="B77:E77"/>
    <mergeCell ref="C78:E78"/>
    <mergeCell ref="C79:D79"/>
    <mergeCell ref="C80:D80"/>
    <mergeCell ref="C81:D81"/>
    <mergeCell ref="C82:D82"/>
    <mergeCell ref="C70:E70"/>
    <mergeCell ref="C71:E71"/>
    <mergeCell ref="C72:E72"/>
    <mergeCell ref="C73:E73"/>
    <mergeCell ref="B74:E74"/>
    <mergeCell ref="B76:G76"/>
    <mergeCell ref="C63:F63"/>
    <mergeCell ref="B64:F64"/>
    <mergeCell ref="B66:G66"/>
    <mergeCell ref="B67:E67"/>
    <mergeCell ref="C68:E68"/>
    <mergeCell ref="C69:E69"/>
    <mergeCell ref="C56:F56"/>
    <mergeCell ref="C57:F57"/>
    <mergeCell ref="C59:F59"/>
    <mergeCell ref="C60:F60"/>
    <mergeCell ref="C61:F61"/>
    <mergeCell ref="C62:F62"/>
    <mergeCell ref="B49:E49"/>
    <mergeCell ref="B51:F51"/>
    <mergeCell ref="C52:F52"/>
    <mergeCell ref="C53:F53"/>
    <mergeCell ref="C54:F54"/>
    <mergeCell ref="C55:F55"/>
    <mergeCell ref="C43:E43"/>
    <mergeCell ref="C44:E44"/>
    <mergeCell ref="C45:E45"/>
    <mergeCell ref="C46:E46"/>
    <mergeCell ref="C47:E47"/>
    <mergeCell ref="C48:E48"/>
    <mergeCell ref="C36:E36"/>
    <mergeCell ref="C37:E37"/>
    <mergeCell ref="B38:E38"/>
    <mergeCell ref="B40:E40"/>
    <mergeCell ref="C41:E41"/>
    <mergeCell ref="C42:E42"/>
    <mergeCell ref="C28:E28"/>
    <mergeCell ref="C29:E29"/>
    <mergeCell ref="C30:E30"/>
    <mergeCell ref="C31:E31"/>
    <mergeCell ref="B33:G33"/>
    <mergeCell ref="B35:E35"/>
    <mergeCell ref="D22:F22"/>
    <mergeCell ref="C23:E23"/>
    <mergeCell ref="C24:E24"/>
    <mergeCell ref="C25:E25"/>
    <mergeCell ref="C26:E26"/>
    <mergeCell ref="C27:E27"/>
    <mergeCell ref="B16:G16"/>
    <mergeCell ref="C17:F17"/>
    <mergeCell ref="C18:F18"/>
    <mergeCell ref="C19:F19"/>
    <mergeCell ref="C20:F20"/>
    <mergeCell ref="C21:F21"/>
    <mergeCell ref="B12:G12"/>
    <mergeCell ref="B13:C13"/>
    <mergeCell ref="D13:E13"/>
    <mergeCell ref="F13:G13"/>
    <mergeCell ref="B14:C14"/>
    <mergeCell ref="D14:E14"/>
    <mergeCell ref="F14:G14"/>
    <mergeCell ref="C8:E8"/>
    <mergeCell ref="F8:G8"/>
    <mergeCell ref="C9:E9"/>
    <mergeCell ref="F9:G9"/>
    <mergeCell ref="C10:E10"/>
    <mergeCell ref="F10:G10"/>
    <mergeCell ref="C1:D1"/>
    <mergeCell ref="C2:D2"/>
    <mergeCell ref="B4:G4"/>
    <mergeCell ref="C6:E6"/>
    <mergeCell ref="F6:G6"/>
    <mergeCell ref="C7:E7"/>
    <mergeCell ref="F7:G7"/>
  </mergeCells>
  <pageMargins left="0.511811024" right="0.511811024" top="0.78740157499999996" bottom="0.78740157499999996" header="0.31496062000000002" footer="0.31496062000000002"/>
  <pageSetup paperSize="0" orientation="portrait" horizontalDpi="203" verticalDpi="20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N155"/>
  <sheetViews>
    <sheetView showGridLines="0" topLeftCell="A127" workbookViewId="0">
      <selection activeCell="F65" sqref="F65"/>
    </sheetView>
  </sheetViews>
  <sheetFormatPr defaultRowHeight="15"/>
  <cols>
    <col min="1" max="1" width="2.7109375" customWidth="1"/>
    <col min="2" max="2" width="15" style="3" customWidth="1"/>
    <col min="3" max="3" width="13.42578125" customWidth="1"/>
    <col min="4" max="4" width="30.7109375" customWidth="1"/>
    <col min="5" max="5" width="15.7109375" customWidth="1"/>
    <col min="6" max="6" width="14.42578125" customWidth="1"/>
    <col min="7" max="7" width="19.140625" bestFit="1" customWidth="1"/>
    <col min="8" max="8" width="8.5703125" customWidth="1"/>
    <col min="9" max="9" width="14" customWidth="1"/>
    <col min="10" max="10" width="10.5703125" bestFit="1" customWidth="1"/>
    <col min="11" max="11" width="45.85546875" customWidth="1"/>
    <col min="12" max="12" width="10.5703125" bestFit="1" customWidth="1"/>
    <col min="13" max="13" width="9.5703125" bestFit="1" customWidth="1"/>
  </cols>
  <sheetData>
    <row r="1" spans="2:11">
      <c r="B1" s="134" t="s">
        <v>75</v>
      </c>
      <c r="C1" s="438"/>
      <c r="D1" s="439"/>
      <c r="E1" s="2"/>
      <c r="F1" s="2"/>
    </row>
    <row r="2" spans="2:11">
      <c r="B2" s="134" t="s">
        <v>76</v>
      </c>
      <c r="C2" s="440"/>
      <c r="D2" s="439"/>
      <c r="E2" s="2"/>
      <c r="F2" s="2"/>
    </row>
    <row r="3" spans="2:11">
      <c r="C3" s="2"/>
      <c r="D3" s="2"/>
      <c r="E3" s="2"/>
      <c r="F3" s="2"/>
    </row>
    <row r="4" spans="2:11">
      <c r="B4" s="441" t="s">
        <v>77</v>
      </c>
      <c r="C4" s="441"/>
      <c r="D4" s="441"/>
      <c r="E4" s="441"/>
      <c r="F4" s="441"/>
      <c r="G4" s="441"/>
    </row>
    <row r="5" spans="2:11">
      <c r="C5" s="2"/>
    </row>
    <row r="6" spans="2:11" ht="15" customHeight="1">
      <c r="B6" s="85" t="s">
        <v>52</v>
      </c>
      <c r="C6" s="430" t="s">
        <v>78</v>
      </c>
      <c r="D6" s="430"/>
      <c r="E6" s="430"/>
      <c r="F6" s="442" t="s">
        <v>79</v>
      </c>
      <c r="G6" s="432"/>
      <c r="I6" s="69"/>
      <c r="J6" s="69"/>
      <c r="K6" s="69"/>
    </row>
    <row r="7" spans="2:11">
      <c r="B7" s="85" t="s">
        <v>53</v>
      </c>
      <c r="C7" s="430" t="s">
        <v>80</v>
      </c>
      <c r="D7" s="430"/>
      <c r="E7" s="430"/>
      <c r="F7" s="443" t="s">
        <v>81</v>
      </c>
      <c r="G7" s="439"/>
      <c r="I7" s="69"/>
      <c r="J7" s="69"/>
      <c r="K7" s="69"/>
    </row>
    <row r="8" spans="2:11">
      <c r="B8" s="85" t="s">
        <v>54</v>
      </c>
      <c r="C8" s="430" t="s">
        <v>82</v>
      </c>
      <c r="D8" s="430"/>
      <c r="E8" s="430"/>
      <c r="F8" s="431" t="s">
        <v>83</v>
      </c>
      <c r="G8" s="432"/>
      <c r="I8" s="69"/>
      <c r="J8" s="69"/>
      <c r="K8" s="69"/>
    </row>
    <row r="9" spans="2:11">
      <c r="B9" s="85" t="s">
        <v>55</v>
      </c>
      <c r="C9" s="430" t="s">
        <v>84</v>
      </c>
      <c r="D9" s="430"/>
      <c r="E9" s="430"/>
      <c r="F9" s="431">
        <v>12</v>
      </c>
      <c r="G9" s="432"/>
      <c r="I9" s="69"/>
      <c r="J9" s="69"/>
      <c r="K9" s="69"/>
    </row>
    <row r="10" spans="2:11">
      <c r="B10" s="85" t="s">
        <v>56</v>
      </c>
      <c r="C10" s="430" t="s">
        <v>85</v>
      </c>
      <c r="D10" s="430"/>
      <c r="E10" s="430"/>
      <c r="F10" s="443" t="s">
        <v>86</v>
      </c>
      <c r="G10" s="439"/>
      <c r="I10" s="69"/>
      <c r="J10" s="69"/>
      <c r="K10" s="69"/>
    </row>
    <row r="11" spans="2:11">
      <c r="C11" s="2"/>
      <c r="D11" s="2"/>
      <c r="E11" s="2"/>
      <c r="F11" s="2"/>
      <c r="G11" s="3"/>
      <c r="I11" s="69"/>
      <c r="J11" s="69"/>
      <c r="K11" s="69"/>
    </row>
    <row r="12" spans="2:11">
      <c r="B12" s="448" t="s">
        <v>87</v>
      </c>
      <c r="C12" s="448"/>
      <c r="D12" s="448"/>
      <c r="E12" s="448"/>
      <c r="F12" s="448"/>
      <c r="G12" s="448"/>
      <c r="I12" s="69"/>
      <c r="J12" s="69"/>
      <c r="K12" s="69"/>
    </row>
    <row r="13" spans="2:11" ht="36" customHeight="1">
      <c r="B13" s="445" t="s">
        <v>88</v>
      </c>
      <c r="C13" s="445"/>
      <c r="D13" s="445" t="s">
        <v>89</v>
      </c>
      <c r="E13" s="445"/>
      <c r="F13" s="446" t="s">
        <v>90</v>
      </c>
      <c r="G13" s="446"/>
    </row>
    <row r="14" spans="2:11" ht="15" customHeight="1">
      <c r="B14" s="449" t="s">
        <v>91</v>
      </c>
      <c r="C14" s="449"/>
      <c r="D14" s="450" t="s">
        <v>92</v>
      </c>
      <c r="E14" s="450"/>
      <c r="F14" s="451">
        <v>1</v>
      </c>
      <c r="G14" s="451"/>
    </row>
    <row r="15" spans="2:11" ht="18">
      <c r="B15" s="59"/>
      <c r="C15" s="4"/>
      <c r="D15" s="4"/>
      <c r="E15" s="4"/>
      <c r="F15" s="4"/>
    </row>
    <row r="16" spans="2:11">
      <c r="B16" s="452" t="s">
        <v>93</v>
      </c>
      <c r="C16" s="452"/>
      <c r="D16" s="452"/>
      <c r="E16" s="452"/>
      <c r="F16" s="452"/>
      <c r="G16" s="452"/>
    </row>
    <row r="17" spans="2:7">
      <c r="B17" s="5">
        <v>1</v>
      </c>
      <c r="C17" s="447" t="s">
        <v>94</v>
      </c>
      <c r="D17" s="447"/>
      <c r="E17" s="447"/>
      <c r="F17" s="447"/>
      <c r="G17" s="6" t="str">
        <f>B14</f>
        <v>Manutenção Predial</v>
      </c>
    </row>
    <row r="18" spans="2:7">
      <c r="B18" s="51">
        <v>2</v>
      </c>
      <c r="C18" s="375" t="s">
        <v>95</v>
      </c>
      <c r="D18" s="375"/>
      <c r="E18" s="375"/>
      <c r="F18" s="375"/>
      <c r="G18" s="125">
        <v>1949.77</v>
      </c>
    </row>
    <row r="19" spans="2:7" s="77" customFormat="1" ht="30">
      <c r="B19" s="135">
        <v>3</v>
      </c>
      <c r="C19" s="444" t="s">
        <v>96</v>
      </c>
      <c r="D19" s="444"/>
      <c r="E19" s="444"/>
      <c r="F19" s="444"/>
      <c r="G19" s="136" t="s">
        <v>19</v>
      </c>
    </row>
    <row r="20" spans="2:7">
      <c r="B20" s="51">
        <v>4</v>
      </c>
      <c r="C20" s="377" t="s">
        <v>97</v>
      </c>
      <c r="D20" s="378"/>
      <c r="E20" s="378"/>
      <c r="F20" s="379"/>
      <c r="G20" s="126" t="s">
        <v>86</v>
      </c>
    </row>
    <row r="21" spans="2:7">
      <c r="B21" s="51">
        <v>5</v>
      </c>
      <c r="C21" s="375" t="s">
        <v>98</v>
      </c>
      <c r="D21" s="375"/>
      <c r="E21" s="375"/>
      <c r="F21" s="375"/>
      <c r="G21" s="127">
        <v>44440</v>
      </c>
    </row>
    <row r="22" spans="2:7">
      <c r="C22" s="3"/>
      <c r="D22" s="436"/>
      <c r="E22" s="436"/>
      <c r="F22" s="436"/>
      <c r="G22" s="3"/>
    </row>
    <row r="23" spans="2:7">
      <c r="B23" s="99">
        <v>1</v>
      </c>
      <c r="C23" s="433" t="s">
        <v>99</v>
      </c>
      <c r="D23" s="434"/>
      <c r="E23" s="435"/>
      <c r="F23" s="99" t="s">
        <v>100</v>
      </c>
      <c r="G23" s="99" t="s">
        <v>101</v>
      </c>
    </row>
    <row r="24" spans="2:7">
      <c r="B24" s="8" t="s">
        <v>52</v>
      </c>
      <c r="C24" s="375" t="s">
        <v>102</v>
      </c>
      <c r="D24" s="375"/>
      <c r="E24" s="375"/>
      <c r="F24" s="8">
        <v>100</v>
      </c>
      <c r="G24" s="9">
        <f>G18</f>
        <v>1949.77</v>
      </c>
    </row>
    <row r="25" spans="2:7">
      <c r="B25" s="8" t="s">
        <v>53</v>
      </c>
      <c r="C25" s="375" t="s">
        <v>103</v>
      </c>
      <c r="D25" s="375"/>
      <c r="E25" s="375"/>
      <c r="F25" s="10">
        <v>0</v>
      </c>
      <c r="G25" s="11">
        <v>0</v>
      </c>
    </row>
    <row r="26" spans="2:7">
      <c r="B26" s="8" t="s">
        <v>54</v>
      </c>
      <c r="C26" s="375" t="s">
        <v>104</v>
      </c>
      <c r="D26" s="375"/>
      <c r="E26" s="375"/>
      <c r="F26" s="10"/>
      <c r="G26" s="11">
        <f>G24*F26</f>
        <v>0</v>
      </c>
    </row>
    <row r="27" spans="2:7">
      <c r="B27" s="8" t="s">
        <v>55</v>
      </c>
      <c r="C27" s="375" t="s">
        <v>105</v>
      </c>
      <c r="D27" s="375"/>
      <c r="E27" s="375"/>
      <c r="F27" s="10"/>
      <c r="G27" s="11">
        <f>G26*F27</f>
        <v>0</v>
      </c>
    </row>
    <row r="28" spans="2:7">
      <c r="B28" s="8" t="s">
        <v>106</v>
      </c>
      <c r="C28" s="375" t="s">
        <v>107</v>
      </c>
      <c r="D28" s="375"/>
      <c r="E28" s="375"/>
      <c r="F28" s="10"/>
      <c r="G28" s="11">
        <f>G27*F28</f>
        <v>0</v>
      </c>
    </row>
    <row r="29" spans="2:7">
      <c r="B29" s="8" t="s">
        <v>108</v>
      </c>
      <c r="C29" s="375" t="s">
        <v>109</v>
      </c>
      <c r="D29" s="375"/>
      <c r="E29" s="375"/>
      <c r="F29" s="10">
        <v>0</v>
      </c>
      <c r="G29" s="11">
        <f>G28*F29</f>
        <v>0</v>
      </c>
    </row>
    <row r="30" spans="2:7">
      <c r="B30" s="12" t="s">
        <v>110</v>
      </c>
      <c r="C30" s="437" t="s">
        <v>111</v>
      </c>
      <c r="D30" s="437"/>
      <c r="E30" s="437"/>
      <c r="F30" s="13">
        <v>0</v>
      </c>
      <c r="G30" s="14">
        <f>G24*F30</f>
        <v>0</v>
      </c>
    </row>
    <row r="31" spans="2:7">
      <c r="B31" s="15"/>
      <c r="C31" s="421" t="s">
        <v>112</v>
      </c>
      <c r="D31" s="421"/>
      <c r="E31" s="421"/>
      <c r="F31" s="15"/>
      <c r="G31" s="16">
        <f>SUM(G24,G25,G26,G27,G28,G29,G30)</f>
        <v>1949.77</v>
      </c>
    </row>
    <row r="32" spans="2:7" ht="15" customHeight="1">
      <c r="C32" s="17"/>
      <c r="D32" s="17"/>
      <c r="E32" s="17"/>
      <c r="F32" s="3"/>
      <c r="G32" s="18"/>
    </row>
    <row r="33" spans="2:14" ht="15" customHeight="1">
      <c r="B33" s="422" t="s">
        <v>113</v>
      </c>
      <c r="C33" s="423"/>
      <c r="D33" s="423"/>
      <c r="E33" s="423"/>
      <c r="F33" s="423"/>
      <c r="G33" s="424"/>
      <c r="N33" s="69"/>
    </row>
    <row r="34" spans="2:14">
      <c r="B34" s="17"/>
      <c r="C34" s="3"/>
      <c r="D34" s="3"/>
      <c r="E34" s="3"/>
      <c r="F34" s="3"/>
      <c r="G34" s="3"/>
      <c r="N34" s="69"/>
    </row>
    <row r="35" spans="2:14" ht="15" customHeight="1">
      <c r="B35" s="425" t="s">
        <v>114</v>
      </c>
      <c r="C35" s="425"/>
      <c r="D35" s="425"/>
      <c r="E35" s="425"/>
      <c r="F35" s="101" t="s">
        <v>100</v>
      </c>
      <c r="G35" s="101" t="s">
        <v>115</v>
      </c>
      <c r="N35" s="69"/>
    </row>
    <row r="36" spans="2:14">
      <c r="B36" s="8" t="s">
        <v>52</v>
      </c>
      <c r="C36" s="399" t="s">
        <v>116</v>
      </c>
      <c r="D36" s="399"/>
      <c r="E36" s="399"/>
      <c r="F36" s="19">
        <v>8.3299999999999999E-2</v>
      </c>
      <c r="G36" s="20">
        <f>F36*G31</f>
        <v>162.415841</v>
      </c>
      <c r="N36" s="69"/>
    </row>
    <row r="37" spans="2:14">
      <c r="B37" s="8" t="s">
        <v>53</v>
      </c>
      <c r="C37" s="399" t="s">
        <v>117</v>
      </c>
      <c r="D37" s="399"/>
      <c r="E37" s="399"/>
      <c r="F37" s="19">
        <f>(1/12)+((1/3)/12)</f>
        <v>0.1111111111111111</v>
      </c>
      <c r="G37" s="20">
        <f>F37*G31</f>
        <v>216.64111111111109</v>
      </c>
      <c r="N37" s="69"/>
    </row>
    <row r="38" spans="2:14" ht="15.75">
      <c r="B38" s="420" t="s">
        <v>118</v>
      </c>
      <c r="C38" s="420"/>
      <c r="D38" s="420"/>
      <c r="E38" s="420"/>
      <c r="F38" s="130">
        <f>SUM(F36:F37)</f>
        <v>0.19441111111111109</v>
      </c>
      <c r="G38" s="184">
        <f>SUM(G36:G37)</f>
        <v>379.05695211111106</v>
      </c>
      <c r="N38" s="69"/>
    </row>
    <row r="39" spans="2:14" ht="15.75">
      <c r="B39" s="22"/>
      <c r="C39" s="22"/>
      <c r="D39" s="22"/>
      <c r="E39" s="22"/>
      <c r="F39" s="23"/>
      <c r="G39" s="24"/>
      <c r="N39" s="69"/>
    </row>
    <row r="40" spans="2:14">
      <c r="B40" s="425" t="s">
        <v>119</v>
      </c>
      <c r="C40" s="425"/>
      <c r="D40" s="425"/>
      <c r="E40" s="425"/>
      <c r="F40" s="101" t="s">
        <v>100</v>
      </c>
      <c r="G40" s="101" t="s">
        <v>115</v>
      </c>
      <c r="N40" s="69"/>
    </row>
    <row r="41" spans="2:14">
      <c r="B41" s="8" t="s">
        <v>52</v>
      </c>
      <c r="C41" s="375" t="s">
        <v>120</v>
      </c>
      <c r="D41" s="375"/>
      <c r="E41" s="375"/>
      <c r="F41" s="19">
        <v>0.2</v>
      </c>
      <c r="G41" s="25">
        <f>($G$31+$G$38)*F41</f>
        <v>465.76539042222225</v>
      </c>
      <c r="N41" s="69"/>
    </row>
    <row r="42" spans="2:14">
      <c r="B42" s="8" t="s">
        <v>53</v>
      </c>
      <c r="C42" s="375" t="s">
        <v>121</v>
      </c>
      <c r="D42" s="375"/>
      <c r="E42" s="375"/>
      <c r="F42" s="19">
        <v>2.5000000000000001E-2</v>
      </c>
      <c r="G42" s="25">
        <f t="shared" ref="G42:G48" si="0">($G$31+$G$38)*F42</f>
        <v>58.220673802777782</v>
      </c>
      <c r="N42" s="69"/>
    </row>
    <row r="43" spans="2:14">
      <c r="B43" s="8" t="s">
        <v>54</v>
      </c>
      <c r="C43" s="375" t="s">
        <v>122</v>
      </c>
      <c r="D43" s="375"/>
      <c r="E43" s="375"/>
      <c r="F43" s="70">
        <v>0.03</v>
      </c>
      <c r="G43" s="25">
        <f t="shared" si="0"/>
        <v>69.864808563333327</v>
      </c>
      <c r="N43" s="69"/>
    </row>
    <row r="44" spans="2:14">
      <c r="B44" s="8" t="s">
        <v>55</v>
      </c>
      <c r="C44" s="375" t="s">
        <v>123</v>
      </c>
      <c r="D44" s="375"/>
      <c r="E44" s="375"/>
      <c r="F44" s="19">
        <v>1.4999999999999999E-2</v>
      </c>
      <c r="G44" s="25">
        <f t="shared" si="0"/>
        <v>34.932404281666663</v>
      </c>
      <c r="N44" s="69"/>
    </row>
    <row r="45" spans="2:14">
      <c r="B45" s="8" t="s">
        <v>56</v>
      </c>
      <c r="C45" s="375" t="s">
        <v>124</v>
      </c>
      <c r="D45" s="375"/>
      <c r="E45" s="375"/>
      <c r="F45" s="19">
        <v>0.01</v>
      </c>
      <c r="G45" s="25">
        <f t="shared" si="0"/>
        <v>23.288269521111111</v>
      </c>
      <c r="N45" s="69"/>
    </row>
    <row r="46" spans="2:14">
      <c r="B46" s="8" t="s">
        <v>108</v>
      </c>
      <c r="C46" s="375" t="s">
        <v>125</v>
      </c>
      <c r="D46" s="375"/>
      <c r="E46" s="375"/>
      <c r="F46" s="19">
        <v>6.0000000000000001E-3</v>
      </c>
      <c r="G46" s="25">
        <f t="shared" si="0"/>
        <v>13.972961712666667</v>
      </c>
      <c r="N46" s="69"/>
    </row>
    <row r="47" spans="2:14">
      <c r="B47" s="8" t="s">
        <v>110</v>
      </c>
      <c r="C47" s="375" t="s">
        <v>126</v>
      </c>
      <c r="D47" s="375"/>
      <c r="E47" s="375"/>
      <c r="F47" s="19">
        <v>2E-3</v>
      </c>
      <c r="G47" s="25">
        <f t="shared" si="0"/>
        <v>4.6576539042222223</v>
      </c>
      <c r="N47" s="69"/>
    </row>
    <row r="48" spans="2:14">
      <c r="B48" s="8" t="s">
        <v>127</v>
      </c>
      <c r="C48" s="375" t="s">
        <v>128</v>
      </c>
      <c r="D48" s="375"/>
      <c r="E48" s="375"/>
      <c r="F48" s="19">
        <v>0.08</v>
      </c>
      <c r="G48" s="25">
        <f t="shared" si="0"/>
        <v>186.30615616888889</v>
      </c>
      <c r="N48" s="69"/>
    </row>
    <row r="49" spans="2:14" ht="15.75">
      <c r="B49" s="420" t="s">
        <v>129</v>
      </c>
      <c r="C49" s="420"/>
      <c r="D49" s="420"/>
      <c r="E49" s="420"/>
      <c r="F49" s="128">
        <f>SUM(F41:F48)</f>
        <v>0.36800000000000005</v>
      </c>
      <c r="G49" s="129">
        <f>SUM(G41:G48)</f>
        <v>857.00831837688906</v>
      </c>
      <c r="N49" s="69"/>
    </row>
    <row r="50" spans="2:14">
      <c r="B50" s="26"/>
      <c r="C50" s="27"/>
      <c r="D50" s="28"/>
      <c r="E50" s="28"/>
      <c r="F50" s="28"/>
      <c r="G50" s="29"/>
      <c r="N50" s="69"/>
    </row>
    <row r="51" spans="2:14" ht="15.75">
      <c r="B51" s="406" t="s">
        <v>130</v>
      </c>
      <c r="C51" s="407"/>
      <c r="D51" s="407"/>
      <c r="E51" s="407"/>
      <c r="F51" s="408"/>
      <c r="G51" s="100" t="s">
        <v>101</v>
      </c>
      <c r="N51" s="69"/>
    </row>
    <row r="52" spans="2:14">
      <c r="B52" s="8" t="s">
        <v>52</v>
      </c>
      <c r="C52" s="375" t="s">
        <v>131</v>
      </c>
      <c r="D52" s="375"/>
      <c r="E52" s="375"/>
      <c r="F52" s="375"/>
      <c r="G52" s="25">
        <f>TRANSPORTE!F14</f>
        <v>239.41379999999998</v>
      </c>
      <c r="H52" s="31"/>
      <c r="I52" s="69"/>
      <c r="J52" s="69"/>
      <c r="K52" s="69"/>
      <c r="L52" s="69"/>
      <c r="M52" s="69"/>
      <c r="N52" s="69"/>
    </row>
    <row r="53" spans="2:14">
      <c r="B53" s="56" t="s">
        <v>53</v>
      </c>
      <c r="C53" s="409" t="s">
        <v>132</v>
      </c>
      <c r="D53" s="409"/>
      <c r="E53" s="409"/>
      <c r="F53" s="409"/>
      <c r="G53" s="72">
        <v>300</v>
      </c>
      <c r="H53" s="71"/>
      <c r="I53" s="69"/>
      <c r="J53" s="69"/>
      <c r="K53" s="69"/>
      <c r="L53" s="69"/>
      <c r="M53" s="69"/>
      <c r="N53" s="69"/>
    </row>
    <row r="54" spans="2:14">
      <c r="B54" s="8" t="s">
        <v>54</v>
      </c>
      <c r="C54" s="375" t="s">
        <v>133</v>
      </c>
      <c r="D54" s="375"/>
      <c r="E54" s="375"/>
      <c r="F54" s="375"/>
      <c r="G54" s="20">
        <f>'CAFÉ DA MANHÃ'!F9</f>
        <v>26.995000000000001</v>
      </c>
      <c r="I54" s="69"/>
      <c r="J54" s="69"/>
      <c r="K54" s="69"/>
      <c r="L54" s="69"/>
      <c r="M54" s="69"/>
      <c r="N54" s="69"/>
    </row>
    <row r="55" spans="2:14">
      <c r="B55" s="8" t="s">
        <v>55</v>
      </c>
      <c r="C55" s="454" t="s">
        <v>134</v>
      </c>
      <c r="D55" s="455"/>
      <c r="E55" s="455"/>
      <c r="F55" s="456"/>
      <c r="G55" s="20">
        <v>4</v>
      </c>
      <c r="I55" s="69"/>
      <c r="J55" s="69"/>
      <c r="K55" s="69"/>
      <c r="L55" s="69"/>
      <c r="M55" s="69"/>
    </row>
    <row r="56" spans="2:14">
      <c r="B56" s="8" t="s">
        <v>108</v>
      </c>
      <c r="C56" s="375" t="s">
        <v>135</v>
      </c>
      <c r="D56" s="375"/>
      <c r="E56" s="375"/>
      <c r="F56" s="375"/>
      <c r="G56" s="20">
        <v>0</v>
      </c>
    </row>
    <row r="57" spans="2:14">
      <c r="B57" s="8"/>
      <c r="C57" s="426" t="s">
        <v>136</v>
      </c>
      <c r="D57" s="426"/>
      <c r="E57" s="426"/>
      <c r="F57" s="426"/>
      <c r="G57" s="131">
        <f>SUM(G52:G56)</f>
        <v>570.40880000000004</v>
      </c>
    </row>
    <row r="58" spans="2:14">
      <c r="B58" s="86"/>
      <c r="C58" s="61"/>
      <c r="D58" s="61"/>
      <c r="E58" s="61"/>
      <c r="F58" s="61"/>
      <c r="G58" s="62"/>
    </row>
    <row r="59" spans="2:14" ht="15.75">
      <c r="B59" s="102">
        <v>2</v>
      </c>
      <c r="C59" s="396" t="s">
        <v>137</v>
      </c>
      <c r="D59" s="396"/>
      <c r="E59" s="396"/>
      <c r="F59" s="396"/>
      <c r="G59" s="103" t="s">
        <v>101</v>
      </c>
    </row>
    <row r="60" spans="2:14" ht="15.75">
      <c r="B60" s="74"/>
      <c r="C60" s="410"/>
      <c r="D60" s="410"/>
      <c r="E60" s="410"/>
      <c r="F60" s="410"/>
      <c r="G60" s="73" t="s">
        <v>138</v>
      </c>
    </row>
    <row r="61" spans="2:14" ht="15.75">
      <c r="B61" s="74" t="s">
        <v>23</v>
      </c>
      <c r="C61" s="410" t="s">
        <v>139</v>
      </c>
      <c r="D61" s="410"/>
      <c r="E61" s="410"/>
      <c r="F61" s="410"/>
      <c r="G61" s="75">
        <f>G38</f>
        <v>379.05695211111106</v>
      </c>
    </row>
    <row r="62" spans="2:14" ht="15.75">
      <c r="B62" s="74" t="s">
        <v>25</v>
      </c>
      <c r="C62" s="410" t="s">
        <v>140</v>
      </c>
      <c r="D62" s="410"/>
      <c r="E62" s="410"/>
      <c r="F62" s="410"/>
      <c r="G62" s="75">
        <f>G49</f>
        <v>857.00831837688906</v>
      </c>
    </row>
    <row r="63" spans="2:14" ht="15.75">
      <c r="B63" s="74" t="s">
        <v>141</v>
      </c>
      <c r="C63" s="410" t="s">
        <v>142</v>
      </c>
      <c r="D63" s="410"/>
      <c r="E63" s="410"/>
      <c r="F63" s="410"/>
      <c r="G63" s="75">
        <f>G57</f>
        <v>570.40880000000004</v>
      </c>
    </row>
    <row r="64" spans="2:14" ht="15.75">
      <c r="B64" s="411" t="s">
        <v>20</v>
      </c>
      <c r="C64" s="411"/>
      <c r="D64" s="411"/>
      <c r="E64" s="411"/>
      <c r="F64" s="411"/>
      <c r="G64" s="104">
        <f>SUM(G61:G63)</f>
        <v>1806.4740704880001</v>
      </c>
    </row>
    <row r="65" spans="2:13" ht="26.25" customHeight="1">
      <c r="B65" s="63"/>
      <c r="C65" s="63"/>
      <c r="D65" s="64"/>
    </row>
    <row r="66" spans="2:13" s="77" customFormat="1">
      <c r="B66" s="412" t="s">
        <v>143</v>
      </c>
      <c r="C66" s="413"/>
      <c r="D66" s="413"/>
      <c r="E66" s="413"/>
      <c r="F66" s="413"/>
      <c r="G66" s="414"/>
    </row>
    <row r="67" spans="2:13" s="77" customFormat="1">
      <c r="B67" s="415" t="s">
        <v>144</v>
      </c>
      <c r="C67" s="415"/>
      <c r="D67" s="415"/>
      <c r="E67" s="415"/>
      <c r="F67" s="105" t="s">
        <v>100</v>
      </c>
      <c r="G67" s="105" t="s">
        <v>115</v>
      </c>
      <c r="I67" s="79"/>
    </row>
    <row r="68" spans="2:13" s="77" customFormat="1" ht="31.5" customHeight="1">
      <c r="B68" s="82" t="s">
        <v>52</v>
      </c>
      <c r="C68" s="416" t="s">
        <v>145</v>
      </c>
      <c r="D68" s="416"/>
      <c r="E68" s="416"/>
      <c r="F68" s="80">
        <v>4.5999999999999999E-3</v>
      </c>
      <c r="G68" s="81">
        <f>ROUND(F68*$G$31,2)</f>
        <v>8.9700000000000006</v>
      </c>
      <c r="I68"/>
      <c r="J68"/>
      <c r="K68"/>
      <c r="L68"/>
      <c r="M68"/>
    </row>
    <row r="69" spans="2:13" s="77" customFormat="1" ht="33" customHeight="1">
      <c r="B69" s="82" t="s">
        <v>53</v>
      </c>
      <c r="C69" s="416" t="s">
        <v>146</v>
      </c>
      <c r="D69" s="416"/>
      <c r="E69" s="416"/>
      <c r="F69" s="80">
        <v>8.9999999999999998E-4</v>
      </c>
      <c r="G69" s="81">
        <f t="shared" ref="G69:G73" si="1">ROUND(F69*$G$31,2)</f>
        <v>1.75</v>
      </c>
      <c r="H69" s="78"/>
      <c r="I69"/>
      <c r="J69"/>
      <c r="K69"/>
      <c r="L69"/>
      <c r="M69"/>
    </row>
    <row r="70" spans="2:13" s="77" customFormat="1">
      <c r="B70" s="82" t="s">
        <v>54</v>
      </c>
      <c r="C70" s="416" t="s">
        <v>147</v>
      </c>
      <c r="D70" s="453"/>
      <c r="E70" s="453"/>
      <c r="F70" s="80">
        <v>2.2200000000000001E-2</v>
      </c>
      <c r="G70" s="81">
        <f t="shared" si="1"/>
        <v>43.28</v>
      </c>
      <c r="I70"/>
      <c r="J70"/>
      <c r="K70"/>
      <c r="L70"/>
      <c r="M70"/>
    </row>
    <row r="71" spans="2:13" s="77" customFormat="1" ht="48" customHeight="1">
      <c r="B71" s="82" t="s">
        <v>55</v>
      </c>
      <c r="C71" s="416" t="s">
        <v>148</v>
      </c>
      <c r="D71" s="416"/>
      <c r="E71" s="416"/>
      <c r="F71" s="80">
        <v>1.9400000000000001E-2</v>
      </c>
      <c r="G71" s="81">
        <f t="shared" si="1"/>
        <v>37.83</v>
      </c>
      <c r="I71"/>
      <c r="J71"/>
      <c r="K71"/>
      <c r="L71"/>
      <c r="M71"/>
    </row>
    <row r="72" spans="2:13" s="77" customFormat="1" ht="35.25" customHeight="1">
      <c r="B72" s="82" t="s">
        <v>56</v>
      </c>
      <c r="C72" s="416" t="s">
        <v>149</v>
      </c>
      <c r="D72" s="416"/>
      <c r="E72" s="416"/>
      <c r="F72" s="80">
        <f>ROUND(F49*F71,4)</f>
        <v>7.1000000000000004E-3</v>
      </c>
      <c r="G72" s="81">
        <f t="shared" si="1"/>
        <v>13.84</v>
      </c>
      <c r="H72" s="78"/>
      <c r="I72"/>
      <c r="J72"/>
      <c r="K72"/>
      <c r="L72"/>
      <c r="M72"/>
    </row>
    <row r="73" spans="2:13" s="77" customFormat="1" ht="33.75" customHeight="1">
      <c r="B73" s="82" t="s">
        <v>108</v>
      </c>
      <c r="C73" s="416" t="s">
        <v>150</v>
      </c>
      <c r="D73" s="453"/>
      <c r="E73" s="453"/>
      <c r="F73" s="80">
        <v>3.2000000000000001E-2</v>
      </c>
      <c r="G73" s="81">
        <f t="shared" si="1"/>
        <v>62.39</v>
      </c>
      <c r="I73"/>
      <c r="J73"/>
      <c r="K73"/>
      <c r="L73"/>
      <c r="M73"/>
    </row>
    <row r="74" spans="2:13" s="77" customFormat="1" ht="15.75">
      <c r="B74" s="417" t="s">
        <v>151</v>
      </c>
      <c r="C74" s="417"/>
      <c r="D74" s="417"/>
      <c r="E74" s="417"/>
      <c r="F74" s="106">
        <f>SUM(F68:F73)</f>
        <v>8.6199999999999999E-2</v>
      </c>
      <c r="G74" s="107">
        <f>SUM(G68:G73)</f>
        <v>168.06</v>
      </c>
      <c r="I74"/>
      <c r="J74"/>
      <c r="K74"/>
      <c r="L74"/>
      <c r="M74"/>
    </row>
    <row r="75" spans="2:13" ht="26.25" customHeight="1">
      <c r="B75" s="22"/>
      <c r="C75" s="22"/>
      <c r="D75" s="22"/>
      <c r="E75" s="22"/>
      <c r="F75" s="23"/>
      <c r="G75" s="18"/>
    </row>
    <row r="76" spans="2:13" ht="15.75">
      <c r="B76" s="418" t="s">
        <v>152</v>
      </c>
      <c r="C76" s="418"/>
      <c r="D76" s="418"/>
      <c r="E76" s="418"/>
      <c r="F76" s="418"/>
      <c r="G76" s="418"/>
    </row>
    <row r="77" spans="2:13">
      <c r="B77" s="419" t="s">
        <v>153</v>
      </c>
      <c r="C77" s="419"/>
      <c r="D77" s="419"/>
      <c r="E77" s="419"/>
      <c r="F77" s="5" t="s">
        <v>100</v>
      </c>
      <c r="G77" s="5" t="s">
        <v>115</v>
      </c>
    </row>
    <row r="78" spans="2:13">
      <c r="B78" s="32" t="s">
        <v>52</v>
      </c>
      <c r="C78" s="399" t="s">
        <v>154</v>
      </c>
      <c r="D78" s="399"/>
      <c r="E78" s="399"/>
      <c r="F78" s="33">
        <v>8.3299999999999999E-2</v>
      </c>
      <c r="G78" s="34">
        <f>G$31*F78</f>
        <v>162.415841</v>
      </c>
      <c r="I78" s="21"/>
      <c r="J78" s="21"/>
    </row>
    <row r="79" spans="2:13">
      <c r="B79" s="32" t="s">
        <v>53</v>
      </c>
      <c r="C79" s="377" t="s">
        <v>155</v>
      </c>
      <c r="D79" s="377"/>
      <c r="E79" s="35"/>
      <c r="F79" s="36">
        <v>1.7500000000000002E-2</v>
      </c>
      <c r="G79" s="34">
        <f t="shared" ref="G79:G83" si="2">G$31*F79</f>
        <v>34.120975000000001</v>
      </c>
      <c r="J79" s="21"/>
      <c r="K79" s="21"/>
    </row>
    <row r="80" spans="2:13">
      <c r="B80" s="32" t="s">
        <v>54</v>
      </c>
      <c r="C80" s="377" t="s">
        <v>156</v>
      </c>
      <c r="D80" s="377"/>
      <c r="E80" s="35"/>
      <c r="F80" s="36">
        <v>5.0000000000000001E-4</v>
      </c>
      <c r="G80" s="34">
        <f t="shared" si="2"/>
        <v>0.974885</v>
      </c>
      <c r="J80" s="21"/>
    </row>
    <row r="81" spans="2:10">
      <c r="B81" s="32" t="s">
        <v>55</v>
      </c>
      <c r="C81" s="377" t="s">
        <v>157</v>
      </c>
      <c r="D81" s="377"/>
      <c r="E81" s="35"/>
      <c r="F81" s="36">
        <v>4.0000000000000002E-4</v>
      </c>
      <c r="G81" s="34">
        <f t="shared" si="2"/>
        <v>0.77990800000000005</v>
      </c>
      <c r="J81" s="21"/>
    </row>
    <row r="82" spans="2:10">
      <c r="B82" s="32" t="s">
        <v>56</v>
      </c>
      <c r="C82" s="377" t="s">
        <v>158</v>
      </c>
      <c r="D82" s="377"/>
      <c r="E82" s="35"/>
      <c r="F82" s="36">
        <v>4.0000000000000002E-4</v>
      </c>
      <c r="G82" s="34">
        <f t="shared" si="2"/>
        <v>0.77990800000000005</v>
      </c>
      <c r="J82" s="21"/>
    </row>
    <row r="83" spans="2:10">
      <c r="B83" s="32" t="s">
        <v>108</v>
      </c>
      <c r="C83" s="377" t="s">
        <v>159</v>
      </c>
      <c r="D83" s="377"/>
      <c r="E83" s="35"/>
      <c r="F83" s="36">
        <v>0</v>
      </c>
      <c r="G83" s="34">
        <f t="shared" si="2"/>
        <v>0</v>
      </c>
    </row>
    <row r="84" spans="2:10" ht="15.75">
      <c r="B84" s="420" t="s">
        <v>160</v>
      </c>
      <c r="C84" s="420"/>
      <c r="D84" s="420"/>
      <c r="E84" s="420"/>
      <c r="F84" s="108">
        <f>SUM(F78:F83)</f>
        <v>0.1021</v>
      </c>
      <c r="G84" s="109">
        <f>SUM(G78:G83)</f>
        <v>199.071517</v>
      </c>
      <c r="J84" s="21"/>
    </row>
    <row r="85" spans="2:10" ht="15.75">
      <c r="B85" s="65"/>
      <c r="C85" s="65"/>
      <c r="D85" s="65"/>
      <c r="E85" s="65"/>
      <c r="F85" s="66"/>
      <c r="G85" s="67"/>
      <c r="J85" s="21"/>
    </row>
    <row r="86" spans="2:10">
      <c r="J86" s="21"/>
    </row>
    <row r="87" spans="2:10" ht="15.75">
      <c r="B87" s="103" t="s">
        <v>161</v>
      </c>
      <c r="C87" s="396" t="s">
        <v>162</v>
      </c>
      <c r="D87" s="396"/>
      <c r="E87" s="396"/>
      <c r="F87" s="396"/>
      <c r="G87" s="110" t="s">
        <v>101</v>
      </c>
      <c r="J87" s="21"/>
    </row>
    <row r="88" spans="2:10" ht="15.75">
      <c r="B88" s="74"/>
      <c r="C88" s="410"/>
      <c r="D88" s="410"/>
      <c r="E88" s="410"/>
      <c r="F88" s="410"/>
      <c r="G88" s="83" t="s">
        <v>138</v>
      </c>
      <c r="J88" s="21"/>
    </row>
    <row r="89" spans="2:10" ht="15.75">
      <c r="B89" s="73" t="s">
        <v>52</v>
      </c>
      <c r="C89" s="410" t="s">
        <v>163</v>
      </c>
      <c r="D89" s="410"/>
      <c r="E89" s="410"/>
      <c r="F89" s="410"/>
      <c r="G89" s="84">
        <v>0</v>
      </c>
      <c r="J89" s="21"/>
    </row>
    <row r="90" spans="2:10" ht="15.75">
      <c r="B90" s="393" t="s">
        <v>20</v>
      </c>
      <c r="C90" s="394"/>
      <c r="D90" s="394"/>
      <c r="E90" s="394"/>
      <c r="F90" s="395"/>
      <c r="G90" s="84">
        <v>0</v>
      </c>
      <c r="J90" s="21"/>
    </row>
    <row r="91" spans="2:10">
      <c r="J91" s="21"/>
    </row>
    <row r="92" spans="2:10" ht="15.75">
      <c r="B92" s="103">
        <v>4</v>
      </c>
      <c r="C92" s="396" t="s">
        <v>164</v>
      </c>
      <c r="D92" s="396"/>
      <c r="E92" s="396"/>
      <c r="F92" s="396"/>
      <c r="G92" s="110" t="s">
        <v>101</v>
      </c>
      <c r="J92" s="21"/>
    </row>
    <row r="93" spans="2:10" ht="15.75">
      <c r="B93" s="74"/>
      <c r="C93" s="410"/>
      <c r="D93" s="410"/>
      <c r="E93" s="410"/>
      <c r="F93" s="410"/>
      <c r="G93" s="83" t="s">
        <v>138</v>
      </c>
      <c r="J93" s="21"/>
    </row>
    <row r="94" spans="2:10" ht="15.75">
      <c r="B94" s="74" t="s">
        <v>41</v>
      </c>
      <c r="C94" s="410" t="s">
        <v>165</v>
      </c>
      <c r="D94" s="410"/>
      <c r="E94" s="410"/>
      <c r="F94" s="410"/>
      <c r="G94" s="75">
        <f>G84</f>
        <v>199.071517</v>
      </c>
      <c r="J94" s="21"/>
    </row>
    <row r="95" spans="2:10" ht="15.75">
      <c r="B95" s="74" t="s">
        <v>161</v>
      </c>
      <c r="C95" s="410" t="s">
        <v>162</v>
      </c>
      <c r="D95" s="410"/>
      <c r="E95" s="410"/>
      <c r="F95" s="410"/>
      <c r="G95" s="84">
        <v>0</v>
      </c>
      <c r="J95" s="21"/>
    </row>
    <row r="96" spans="2:10" s="37" customFormat="1" ht="15.75">
      <c r="B96" s="393" t="s">
        <v>20</v>
      </c>
      <c r="C96" s="394"/>
      <c r="D96" s="394"/>
      <c r="E96" s="394"/>
      <c r="F96" s="395"/>
      <c r="G96" s="76">
        <f>SUM(G94:G95)</f>
        <v>199.071517</v>
      </c>
    </row>
    <row r="97" spans="2:7" s="37" customFormat="1" ht="15.75">
      <c r="B97" s="68"/>
      <c r="C97" s="68"/>
      <c r="D97" s="68"/>
      <c r="E97" s="68"/>
      <c r="F97" s="68"/>
      <c r="G97" s="88"/>
    </row>
    <row r="98" spans="2:7" s="37" customFormat="1" ht="12.75">
      <c r="B98" s="397" t="s">
        <v>166</v>
      </c>
      <c r="C98" s="397"/>
      <c r="D98" s="397"/>
      <c r="E98" s="397"/>
      <c r="F98" s="397"/>
      <c r="G98" s="397"/>
    </row>
    <row r="99" spans="2:7" ht="15.75">
      <c r="B99" s="398" t="s">
        <v>167</v>
      </c>
      <c r="C99" s="398"/>
      <c r="D99" s="398"/>
      <c r="E99" s="398"/>
      <c r="F99" s="398"/>
      <c r="G99" s="90" t="s">
        <v>101</v>
      </c>
    </row>
    <row r="100" spans="2:7">
      <c r="B100" s="85" t="s">
        <v>52</v>
      </c>
      <c r="C100" s="430" t="s">
        <v>168</v>
      </c>
      <c r="D100" s="430"/>
      <c r="E100" s="430"/>
      <c r="F100" s="430"/>
      <c r="G100" s="91">
        <f>UNIFORME!E8</f>
        <v>34.266666666666666</v>
      </c>
    </row>
    <row r="101" spans="2:7">
      <c r="B101" s="26" t="s">
        <v>53</v>
      </c>
      <c r="C101" s="427" t="s">
        <v>169</v>
      </c>
      <c r="D101" s="428"/>
      <c r="E101" s="428"/>
      <c r="F101" s="429"/>
      <c r="G101" s="89">
        <v>0</v>
      </c>
    </row>
    <row r="102" spans="2:7">
      <c r="B102" s="32" t="s">
        <v>54</v>
      </c>
      <c r="C102" s="377" t="s">
        <v>170</v>
      </c>
      <c r="D102" s="378"/>
      <c r="E102" s="378"/>
      <c r="F102" s="379"/>
      <c r="G102" s="20">
        <f>EPI!E10</f>
        <v>6.9050000000000002</v>
      </c>
    </row>
    <row r="103" spans="2:7">
      <c r="B103" s="38" t="s">
        <v>55</v>
      </c>
      <c r="C103" s="399" t="s">
        <v>135</v>
      </c>
      <c r="D103" s="399"/>
      <c r="E103" s="399"/>
      <c r="F103" s="399"/>
      <c r="G103" s="20"/>
    </row>
    <row r="104" spans="2:7" ht="15.75" customHeight="1">
      <c r="B104" s="400" t="s">
        <v>171</v>
      </c>
      <c r="C104" s="401"/>
      <c r="D104" s="401"/>
      <c r="E104" s="401"/>
      <c r="F104" s="402"/>
      <c r="G104" s="111">
        <f>G100+G101+G102+G103</f>
        <v>41.171666666666667</v>
      </c>
    </row>
    <row r="106" spans="2:7" ht="18">
      <c r="B106" s="382" t="s">
        <v>172</v>
      </c>
      <c r="C106" s="383"/>
      <c r="D106" s="383"/>
      <c r="E106" s="383"/>
      <c r="F106" s="383"/>
      <c r="G106" s="384"/>
    </row>
    <row r="107" spans="2:7" ht="18">
      <c r="D107" s="39"/>
      <c r="E107" s="39"/>
      <c r="F107" s="39"/>
    </row>
    <row r="108" spans="2:7" ht="15.75">
      <c r="B108" s="30"/>
      <c r="C108" s="400" t="s">
        <v>173</v>
      </c>
      <c r="D108" s="401"/>
      <c r="E108" s="401"/>
      <c r="F108" s="402"/>
      <c r="G108" s="30" t="s">
        <v>101</v>
      </c>
    </row>
    <row r="109" spans="2:7">
      <c r="B109" s="8">
        <v>1</v>
      </c>
      <c r="C109" s="375" t="s">
        <v>174</v>
      </c>
      <c r="D109" s="375"/>
      <c r="E109" s="375"/>
      <c r="F109" s="375"/>
      <c r="G109" s="40">
        <f>G31</f>
        <v>1949.77</v>
      </c>
    </row>
    <row r="110" spans="2:7">
      <c r="B110" s="8">
        <v>2</v>
      </c>
      <c r="C110" s="375" t="s">
        <v>175</v>
      </c>
      <c r="D110" s="375"/>
      <c r="E110" s="375"/>
      <c r="F110" s="375"/>
      <c r="G110" s="40">
        <f>G38+G49+G57</f>
        <v>1806.4740704880001</v>
      </c>
    </row>
    <row r="111" spans="2:7">
      <c r="B111" s="8">
        <v>3</v>
      </c>
      <c r="C111" s="375" t="s">
        <v>176</v>
      </c>
      <c r="D111" s="375"/>
      <c r="E111" s="375"/>
      <c r="F111" s="375"/>
      <c r="G111" s="40">
        <f>G74</f>
        <v>168.06</v>
      </c>
    </row>
    <row r="112" spans="2:7">
      <c r="B112" s="8">
        <v>4</v>
      </c>
      <c r="C112" s="375" t="s">
        <v>177</v>
      </c>
      <c r="D112" s="375"/>
      <c r="E112" s="375"/>
      <c r="F112" s="375"/>
      <c r="G112" s="40">
        <f>G84</f>
        <v>199.071517</v>
      </c>
    </row>
    <row r="113" spans="2:11">
      <c r="B113" s="8">
        <v>5</v>
      </c>
      <c r="C113" s="375" t="s">
        <v>178</v>
      </c>
      <c r="D113" s="375"/>
      <c r="E113" s="375"/>
      <c r="F113" s="375"/>
      <c r="G113" s="40">
        <f>G104</f>
        <v>41.171666666666667</v>
      </c>
    </row>
    <row r="114" spans="2:11">
      <c r="B114" s="8">
        <v>6</v>
      </c>
      <c r="C114" s="375" t="s">
        <v>159</v>
      </c>
      <c r="D114" s="375"/>
      <c r="E114" s="375"/>
      <c r="F114" s="375"/>
      <c r="G114" s="25"/>
    </row>
    <row r="115" spans="2:11" ht="15.75">
      <c r="B115" s="420" t="s">
        <v>20</v>
      </c>
      <c r="C115" s="420"/>
      <c r="D115" s="420"/>
      <c r="E115" s="420"/>
      <c r="F115" s="420"/>
      <c r="G115" s="41">
        <f>SUM(G109:G114)</f>
        <v>4164.5472541546669</v>
      </c>
    </row>
    <row r="116" spans="2:11" ht="15.75">
      <c r="B116" s="22"/>
      <c r="C116" s="22"/>
      <c r="D116" s="22"/>
      <c r="E116" s="22"/>
      <c r="F116" s="22"/>
      <c r="G116" s="42"/>
    </row>
    <row r="117" spans="2:11">
      <c r="B117" s="403" t="s">
        <v>179</v>
      </c>
      <c r="C117" s="404"/>
      <c r="D117" s="404"/>
      <c r="E117" s="404"/>
      <c r="F117" s="404"/>
      <c r="G117" s="405"/>
    </row>
    <row r="118" spans="2:11" ht="15.75">
      <c r="B118" s="43">
        <v>6</v>
      </c>
      <c r="C118" s="44" t="s">
        <v>180</v>
      </c>
      <c r="D118" s="45"/>
      <c r="E118" s="46"/>
      <c r="F118" s="47" t="s">
        <v>100</v>
      </c>
      <c r="G118" s="6" t="s">
        <v>115</v>
      </c>
    </row>
    <row r="119" spans="2:11" ht="15.75">
      <c r="B119" s="8" t="s">
        <v>52</v>
      </c>
      <c r="C119" s="375" t="s">
        <v>181</v>
      </c>
      <c r="D119" s="375"/>
      <c r="E119" s="375"/>
      <c r="F119" s="132">
        <v>0.1</v>
      </c>
      <c r="G119" s="48">
        <f>G115*F119</f>
        <v>416.45472541546673</v>
      </c>
      <c r="J119" s="92">
        <f>SUM(F122:F124)</f>
        <v>8.6499999999999994E-2</v>
      </c>
      <c r="K119" s="93"/>
    </row>
    <row r="120" spans="2:11" ht="15.75">
      <c r="B120" s="8" t="s">
        <v>53</v>
      </c>
      <c r="C120" s="377" t="s">
        <v>182</v>
      </c>
      <c r="D120" s="378"/>
      <c r="E120" s="379"/>
      <c r="F120" s="132">
        <v>0.1</v>
      </c>
      <c r="G120" s="48">
        <f>(G119+G115)*F120</f>
        <v>458.10019795701339</v>
      </c>
      <c r="J120" s="94">
        <f>G136</f>
        <v>4164.5472541546669</v>
      </c>
      <c r="K120" s="95"/>
    </row>
    <row r="121" spans="2:11" ht="15.75">
      <c r="B121" s="8" t="s">
        <v>54</v>
      </c>
      <c r="C121" s="375" t="s">
        <v>183</v>
      </c>
      <c r="D121" s="375"/>
      <c r="E121" s="375"/>
      <c r="F121" s="49"/>
      <c r="G121" s="50">
        <v>0</v>
      </c>
      <c r="J121" s="96">
        <f>G119+G120</f>
        <v>874.55492337248006</v>
      </c>
      <c r="K121" s="97"/>
    </row>
    <row r="122" spans="2:11" ht="15.75">
      <c r="B122" s="8"/>
      <c r="C122" s="375" t="s">
        <v>184</v>
      </c>
      <c r="D122" s="375"/>
      <c r="E122" s="375"/>
      <c r="F122" s="19">
        <v>6.4999999999999997E-3</v>
      </c>
      <c r="G122" s="50">
        <f>F122*I123</f>
        <v>35.855680518802906</v>
      </c>
      <c r="I122" s="50"/>
      <c r="J122" s="96">
        <f>SUM(J120:J121)</f>
        <v>5039.1021775271474</v>
      </c>
      <c r="K122" s="98"/>
    </row>
    <row r="123" spans="2:11" ht="15.75">
      <c r="B123" s="8"/>
      <c r="C123" s="375" t="s">
        <v>185</v>
      </c>
      <c r="D123" s="375"/>
      <c r="E123" s="375"/>
      <c r="F123" s="19">
        <v>0.03</v>
      </c>
      <c r="G123" s="50">
        <f>F123*I123</f>
        <v>165.48775624062881</v>
      </c>
      <c r="I123" s="50">
        <f>(G115+G119+G120)/0.9135</f>
        <v>5516.2585413542938</v>
      </c>
      <c r="J123" s="96">
        <f>J122/(1-J119)</f>
        <v>5516.2585413542938</v>
      </c>
      <c r="K123" s="98"/>
    </row>
    <row r="124" spans="2:11" ht="15.75">
      <c r="B124" s="8"/>
      <c r="C124" s="375" t="s">
        <v>186</v>
      </c>
      <c r="D124" s="375"/>
      <c r="E124" s="375"/>
      <c r="F124" s="19">
        <v>0.05</v>
      </c>
      <c r="G124" s="50">
        <f>F124*I123</f>
        <v>275.81292706771472</v>
      </c>
      <c r="J124" s="98"/>
      <c r="K124" s="98"/>
    </row>
    <row r="125" spans="2:11" ht="15.75">
      <c r="B125" s="8"/>
      <c r="C125" s="390" t="s">
        <v>187</v>
      </c>
      <c r="D125" s="391"/>
      <c r="E125" s="392"/>
      <c r="F125" s="19">
        <v>0</v>
      </c>
      <c r="G125" s="50">
        <f>F125*I123</f>
        <v>0</v>
      </c>
      <c r="J125" s="96">
        <f>SUM(H123:H125)</f>
        <v>0</v>
      </c>
      <c r="K125" s="96"/>
    </row>
    <row r="126" spans="2:11">
      <c r="B126" s="8"/>
      <c r="C126" s="426" t="s">
        <v>188</v>
      </c>
      <c r="D126" s="426"/>
      <c r="E126" s="426"/>
      <c r="F126" s="52">
        <f>SUM(F119:F125)</f>
        <v>0.28650000000000003</v>
      </c>
      <c r="G126" s="53">
        <f>SUM(G119:G125)</f>
        <v>1351.7112871996267</v>
      </c>
    </row>
    <row r="128" spans="2:11" ht="18">
      <c r="B128" s="382" t="s">
        <v>189</v>
      </c>
      <c r="C128" s="383"/>
      <c r="D128" s="383"/>
      <c r="E128" s="383"/>
      <c r="F128" s="383"/>
      <c r="G128" s="384"/>
    </row>
    <row r="130" spans="2:7">
      <c r="B130" s="112"/>
      <c r="C130" s="387" t="s">
        <v>190</v>
      </c>
      <c r="D130" s="388"/>
      <c r="E130" s="388"/>
      <c r="F130" s="389"/>
      <c r="G130" s="112" t="s">
        <v>115</v>
      </c>
    </row>
    <row r="131" spans="2:7">
      <c r="B131" s="8" t="s">
        <v>52</v>
      </c>
      <c r="C131" s="375" t="s">
        <v>191</v>
      </c>
      <c r="D131" s="375"/>
      <c r="E131" s="375"/>
      <c r="F131" s="375"/>
      <c r="G131" s="7">
        <f>G109</f>
        <v>1949.77</v>
      </c>
    </row>
    <row r="132" spans="2:7">
      <c r="B132" s="8" t="s">
        <v>53</v>
      </c>
      <c r="C132" s="375" t="s">
        <v>113</v>
      </c>
      <c r="D132" s="375"/>
      <c r="E132" s="375"/>
      <c r="F132" s="375"/>
      <c r="G132" s="7">
        <f>G110</f>
        <v>1806.4740704880001</v>
      </c>
    </row>
    <row r="133" spans="2:7">
      <c r="B133" s="8" t="s">
        <v>54</v>
      </c>
      <c r="C133" s="375" t="s">
        <v>143</v>
      </c>
      <c r="D133" s="375"/>
      <c r="E133" s="375"/>
      <c r="F133" s="375"/>
      <c r="G133" s="7">
        <f>G111</f>
        <v>168.06</v>
      </c>
    </row>
    <row r="134" spans="2:7">
      <c r="B134" s="8" t="s">
        <v>55</v>
      </c>
      <c r="C134" s="375" t="s">
        <v>192</v>
      </c>
      <c r="D134" s="375"/>
      <c r="E134" s="375"/>
      <c r="F134" s="375"/>
      <c r="G134" s="7">
        <f>G112</f>
        <v>199.071517</v>
      </c>
    </row>
    <row r="135" spans="2:7">
      <c r="B135" s="8" t="s">
        <v>56</v>
      </c>
      <c r="C135" s="377" t="s">
        <v>178</v>
      </c>
      <c r="D135" s="378"/>
      <c r="E135" s="378"/>
      <c r="F135" s="379"/>
      <c r="G135" s="7">
        <f>G113</f>
        <v>41.171666666666667</v>
      </c>
    </row>
    <row r="136" spans="2:7">
      <c r="B136" s="380" t="s">
        <v>193</v>
      </c>
      <c r="C136" s="380"/>
      <c r="D136" s="380"/>
      <c r="E136" s="380"/>
      <c r="F136" s="380"/>
      <c r="G136" s="7">
        <f>SUM(G131:G135)</f>
        <v>4164.5472541546669</v>
      </c>
    </row>
    <row r="137" spans="2:7">
      <c r="B137" s="8" t="s">
        <v>108</v>
      </c>
      <c r="C137" s="375" t="s">
        <v>194</v>
      </c>
      <c r="D137" s="375"/>
      <c r="E137" s="375"/>
      <c r="F137" s="375"/>
      <c r="G137" s="7">
        <f>G126</f>
        <v>1351.7112871996267</v>
      </c>
    </row>
    <row r="138" spans="2:7">
      <c r="B138" s="381" t="s">
        <v>195</v>
      </c>
      <c r="C138" s="381"/>
      <c r="D138" s="381"/>
      <c r="E138" s="381"/>
      <c r="F138" s="381"/>
      <c r="G138" s="54">
        <f>ROUNDDOWN(G136+G137,2)</f>
        <v>5516.25</v>
      </c>
    </row>
    <row r="139" spans="2:7">
      <c r="F139" s="3"/>
      <c r="G139" s="3"/>
    </row>
    <row r="140" spans="2:7" ht="18">
      <c r="B140" s="382" t="s">
        <v>196</v>
      </c>
      <c r="C140" s="383"/>
      <c r="D140" s="383"/>
      <c r="E140" s="383"/>
      <c r="F140" s="383"/>
      <c r="G140" s="384"/>
    </row>
    <row r="141" spans="2:7">
      <c r="F141" s="3"/>
      <c r="G141" s="3"/>
    </row>
    <row r="142" spans="2:7">
      <c r="B142" s="12" t="s">
        <v>197</v>
      </c>
      <c r="C142" s="12" t="s">
        <v>198</v>
      </c>
      <c r="D142" s="12" t="s">
        <v>199</v>
      </c>
      <c r="E142" s="12" t="s">
        <v>200</v>
      </c>
      <c r="F142" s="12" t="s">
        <v>201</v>
      </c>
      <c r="G142" s="12" t="s">
        <v>202</v>
      </c>
    </row>
    <row r="143" spans="2:7">
      <c r="B143" s="87"/>
      <c r="C143" s="6" t="s">
        <v>203</v>
      </c>
      <c r="D143" s="6" t="s">
        <v>204</v>
      </c>
      <c r="E143" s="6" t="s">
        <v>205</v>
      </c>
      <c r="F143" s="6" t="s">
        <v>206</v>
      </c>
      <c r="G143" s="6" t="s">
        <v>207</v>
      </c>
    </row>
    <row r="144" spans="2:7" ht="30">
      <c r="B144" s="113" t="str">
        <f>G19</f>
        <v>MEC. DE REFRIGERAÇÃO</v>
      </c>
      <c r="C144" s="55">
        <f>G138</f>
        <v>5516.25</v>
      </c>
      <c r="D144" s="56">
        <f>F14</f>
        <v>1</v>
      </c>
      <c r="E144" s="57">
        <f>C144</f>
        <v>5516.25</v>
      </c>
      <c r="F144" s="133">
        <v>1</v>
      </c>
      <c r="G144" s="57">
        <f>E144*F144</f>
        <v>5516.25</v>
      </c>
    </row>
    <row r="145" spans="2:7">
      <c r="B145" s="6"/>
      <c r="C145" s="49"/>
      <c r="D145" s="49"/>
      <c r="E145" s="49"/>
      <c r="F145" s="8"/>
      <c r="G145" s="8"/>
    </row>
    <row r="146" spans="2:7">
      <c r="B146" s="8"/>
      <c r="C146" s="49"/>
      <c r="D146" s="49"/>
      <c r="E146" s="49"/>
      <c r="F146" s="8"/>
      <c r="G146" s="8"/>
    </row>
    <row r="147" spans="2:7">
      <c r="B147" s="8"/>
      <c r="C147" s="49"/>
      <c r="D147" s="49"/>
      <c r="E147" s="49"/>
      <c r="F147" s="8"/>
      <c r="G147" s="8"/>
    </row>
    <row r="148" spans="2:7">
      <c r="B148" s="8"/>
      <c r="C148" s="49"/>
      <c r="D148" s="49"/>
      <c r="E148" s="49"/>
      <c r="F148" s="8"/>
      <c r="G148" s="8"/>
    </row>
    <row r="149" spans="2:7" ht="18">
      <c r="C149" s="59"/>
      <c r="D149" s="59"/>
      <c r="E149" s="59"/>
      <c r="F149" s="59"/>
      <c r="G149" s="59"/>
    </row>
    <row r="150" spans="2:7" ht="18">
      <c r="B150" s="382" t="s">
        <v>208</v>
      </c>
      <c r="C150" s="383"/>
      <c r="D150" s="383"/>
      <c r="E150" s="383"/>
      <c r="F150" s="383"/>
      <c r="G150" s="384"/>
    </row>
    <row r="151" spans="2:7" ht="18">
      <c r="B151" s="59"/>
      <c r="C151" s="59"/>
      <c r="D151" s="59"/>
      <c r="E151" s="59"/>
      <c r="F151" s="59"/>
      <c r="G151" s="59"/>
    </row>
    <row r="152" spans="2:7" ht="18">
      <c r="B152" s="60"/>
      <c r="C152" s="385" t="s">
        <v>209</v>
      </c>
      <c r="D152" s="385"/>
      <c r="E152" s="385"/>
      <c r="F152" s="385"/>
      <c r="G152" s="385"/>
    </row>
    <row r="153" spans="2:7">
      <c r="B153" s="8"/>
      <c r="C153" s="386" t="s">
        <v>50</v>
      </c>
      <c r="D153" s="386"/>
      <c r="E153" s="386"/>
      <c r="F153" s="386"/>
      <c r="G153" s="51" t="s">
        <v>115</v>
      </c>
    </row>
    <row r="154" spans="2:7">
      <c r="B154" s="8" t="s">
        <v>52</v>
      </c>
      <c r="C154" s="375" t="s">
        <v>210</v>
      </c>
      <c r="D154" s="375"/>
      <c r="E154" s="375"/>
      <c r="F154" s="375"/>
      <c r="G154" s="25">
        <f>C144</f>
        <v>5516.25</v>
      </c>
    </row>
    <row r="155" spans="2:7">
      <c r="B155" s="58" t="s">
        <v>53</v>
      </c>
      <c r="C155" s="376" t="s">
        <v>211</v>
      </c>
      <c r="D155" s="376"/>
      <c r="E155" s="376"/>
      <c r="F155" s="376"/>
      <c r="G155" s="215">
        <f>G154/21</f>
        <v>262.67857142857144</v>
      </c>
    </row>
  </sheetData>
  <mergeCells count="132">
    <mergeCell ref="C152:G152"/>
    <mergeCell ref="C153:F153"/>
    <mergeCell ref="C154:F154"/>
    <mergeCell ref="C155:F155"/>
    <mergeCell ref="C135:F135"/>
    <mergeCell ref="B136:F136"/>
    <mergeCell ref="C137:F137"/>
    <mergeCell ref="B138:F138"/>
    <mergeCell ref="B140:G140"/>
    <mergeCell ref="B150:G150"/>
    <mergeCell ref="B128:G128"/>
    <mergeCell ref="C130:F130"/>
    <mergeCell ref="C131:F131"/>
    <mergeCell ref="C132:F132"/>
    <mergeCell ref="C133:F133"/>
    <mergeCell ref="C134:F134"/>
    <mergeCell ref="C121:E121"/>
    <mergeCell ref="C122:E122"/>
    <mergeCell ref="C123:E123"/>
    <mergeCell ref="C124:E124"/>
    <mergeCell ref="C125:E125"/>
    <mergeCell ref="C126:E126"/>
    <mergeCell ref="C113:F113"/>
    <mergeCell ref="C114:F114"/>
    <mergeCell ref="B115:F115"/>
    <mergeCell ref="B117:G117"/>
    <mergeCell ref="C119:E119"/>
    <mergeCell ref="C120:E120"/>
    <mergeCell ref="B106:G106"/>
    <mergeCell ref="C108:F108"/>
    <mergeCell ref="C109:F109"/>
    <mergeCell ref="C110:F110"/>
    <mergeCell ref="C111:F111"/>
    <mergeCell ref="C112:F112"/>
    <mergeCell ref="B99:F99"/>
    <mergeCell ref="C100:F100"/>
    <mergeCell ref="C101:F101"/>
    <mergeCell ref="C102:F102"/>
    <mergeCell ref="C103:F103"/>
    <mergeCell ref="B104:F104"/>
    <mergeCell ref="C92:F92"/>
    <mergeCell ref="C93:F93"/>
    <mergeCell ref="C94:F94"/>
    <mergeCell ref="C95:F95"/>
    <mergeCell ref="B96:F96"/>
    <mergeCell ref="B98:G98"/>
    <mergeCell ref="C83:D83"/>
    <mergeCell ref="B84:E84"/>
    <mergeCell ref="C87:F87"/>
    <mergeCell ref="C88:F88"/>
    <mergeCell ref="C89:F89"/>
    <mergeCell ref="B90:F90"/>
    <mergeCell ref="B77:E77"/>
    <mergeCell ref="C78:E78"/>
    <mergeCell ref="C79:D79"/>
    <mergeCell ref="C80:D80"/>
    <mergeCell ref="C81:D81"/>
    <mergeCell ref="C82:D82"/>
    <mergeCell ref="C70:E70"/>
    <mergeCell ref="C71:E71"/>
    <mergeCell ref="C72:E72"/>
    <mergeCell ref="C73:E73"/>
    <mergeCell ref="B74:E74"/>
    <mergeCell ref="B76:G76"/>
    <mergeCell ref="C63:F63"/>
    <mergeCell ref="B64:F64"/>
    <mergeCell ref="B66:G66"/>
    <mergeCell ref="B67:E67"/>
    <mergeCell ref="C68:E68"/>
    <mergeCell ref="C69:E69"/>
    <mergeCell ref="C56:F56"/>
    <mergeCell ref="C57:F57"/>
    <mergeCell ref="C59:F59"/>
    <mergeCell ref="C60:F60"/>
    <mergeCell ref="C61:F61"/>
    <mergeCell ref="C62:F62"/>
    <mergeCell ref="B49:E49"/>
    <mergeCell ref="B51:F51"/>
    <mergeCell ref="C52:F52"/>
    <mergeCell ref="C53:F53"/>
    <mergeCell ref="C54:F54"/>
    <mergeCell ref="C55:F55"/>
    <mergeCell ref="C43:E43"/>
    <mergeCell ref="C44:E44"/>
    <mergeCell ref="C45:E45"/>
    <mergeCell ref="C46:E46"/>
    <mergeCell ref="C47:E47"/>
    <mergeCell ref="C48:E48"/>
    <mergeCell ref="C36:E36"/>
    <mergeCell ref="C37:E37"/>
    <mergeCell ref="B38:E38"/>
    <mergeCell ref="B40:E40"/>
    <mergeCell ref="C41:E41"/>
    <mergeCell ref="C42:E42"/>
    <mergeCell ref="C28:E28"/>
    <mergeCell ref="C29:E29"/>
    <mergeCell ref="C30:E30"/>
    <mergeCell ref="C31:E31"/>
    <mergeCell ref="B33:G33"/>
    <mergeCell ref="B35:E35"/>
    <mergeCell ref="D22:F22"/>
    <mergeCell ref="C23:E23"/>
    <mergeCell ref="C24:E24"/>
    <mergeCell ref="C25:E25"/>
    <mergeCell ref="C26:E26"/>
    <mergeCell ref="C27:E27"/>
    <mergeCell ref="B16:G16"/>
    <mergeCell ref="C17:F17"/>
    <mergeCell ref="C18:F18"/>
    <mergeCell ref="C19:F19"/>
    <mergeCell ref="C20:F20"/>
    <mergeCell ref="C21:F21"/>
    <mergeCell ref="B12:G12"/>
    <mergeCell ref="B13:C13"/>
    <mergeCell ref="D13:E13"/>
    <mergeCell ref="F13:G13"/>
    <mergeCell ref="B14:C14"/>
    <mergeCell ref="D14:E14"/>
    <mergeCell ref="F14:G14"/>
    <mergeCell ref="C8:E8"/>
    <mergeCell ref="F8:G8"/>
    <mergeCell ref="C9:E9"/>
    <mergeCell ref="F9:G9"/>
    <mergeCell ref="C10:E10"/>
    <mergeCell ref="F10:G10"/>
    <mergeCell ref="C1:D1"/>
    <mergeCell ref="C2:D2"/>
    <mergeCell ref="B4:G4"/>
    <mergeCell ref="C6:E6"/>
    <mergeCell ref="F6:G6"/>
    <mergeCell ref="C7:E7"/>
    <mergeCell ref="F7:G7"/>
  </mergeCells>
  <pageMargins left="0.511811024" right="0.511811024" top="0.78740157499999996" bottom="0.78740157499999996" header="0.31496062000000002" footer="0.31496062000000002"/>
  <pageSetup paperSize="0" orientation="portrait" horizontalDpi="203" verticalDpi="20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N155"/>
  <sheetViews>
    <sheetView showGridLines="0" topLeftCell="A139" workbookViewId="0">
      <selection activeCell="H99" sqref="H99"/>
    </sheetView>
  </sheetViews>
  <sheetFormatPr defaultRowHeight="15"/>
  <cols>
    <col min="1" max="1" width="2.7109375" customWidth="1"/>
    <col min="2" max="2" width="15" style="3" customWidth="1"/>
    <col min="3" max="3" width="13.42578125" customWidth="1"/>
    <col min="4" max="4" width="30.7109375" customWidth="1"/>
    <col min="5" max="5" width="15.7109375" customWidth="1"/>
    <col min="6" max="6" width="14.42578125" customWidth="1"/>
    <col min="7" max="7" width="19.140625" bestFit="1" customWidth="1"/>
    <col min="8" max="8" width="8.5703125" customWidth="1"/>
    <col min="9" max="9" width="14" customWidth="1"/>
    <col min="10" max="10" width="10.5703125" bestFit="1" customWidth="1"/>
    <col min="11" max="11" width="45.85546875" customWidth="1"/>
    <col min="12" max="12" width="10.5703125" bestFit="1" customWidth="1"/>
    <col min="13" max="13" width="9.5703125" bestFit="1" customWidth="1"/>
  </cols>
  <sheetData>
    <row r="1" spans="2:11">
      <c r="B1" s="134" t="s">
        <v>75</v>
      </c>
      <c r="C1" s="438"/>
      <c r="D1" s="439"/>
      <c r="E1" s="2"/>
      <c r="F1" s="2"/>
    </row>
    <row r="2" spans="2:11">
      <c r="B2" s="134" t="s">
        <v>76</v>
      </c>
      <c r="C2" s="440"/>
      <c r="D2" s="439"/>
      <c r="E2" s="2"/>
      <c r="F2" s="2"/>
    </row>
    <row r="3" spans="2:11">
      <c r="C3" s="2"/>
      <c r="D3" s="2"/>
      <c r="E3" s="2"/>
      <c r="F3" s="2"/>
    </row>
    <row r="4" spans="2:11">
      <c r="B4" s="441" t="s">
        <v>77</v>
      </c>
      <c r="C4" s="441"/>
      <c r="D4" s="441"/>
      <c r="E4" s="441"/>
      <c r="F4" s="441"/>
      <c r="G4" s="441"/>
    </row>
    <row r="5" spans="2:11">
      <c r="C5" s="2"/>
    </row>
    <row r="6" spans="2:11" ht="15" customHeight="1">
      <c r="B6" s="85" t="s">
        <v>52</v>
      </c>
      <c r="C6" s="430" t="s">
        <v>78</v>
      </c>
      <c r="D6" s="430"/>
      <c r="E6" s="430"/>
      <c r="F6" s="442" t="s">
        <v>79</v>
      </c>
      <c r="G6" s="432"/>
      <c r="I6" s="69"/>
      <c r="J6" s="69"/>
      <c r="K6" s="69"/>
    </row>
    <row r="7" spans="2:11">
      <c r="B7" s="85" t="s">
        <v>53</v>
      </c>
      <c r="C7" s="430" t="s">
        <v>80</v>
      </c>
      <c r="D7" s="430"/>
      <c r="E7" s="430"/>
      <c r="F7" s="443" t="s">
        <v>81</v>
      </c>
      <c r="G7" s="439"/>
      <c r="I7" s="69"/>
      <c r="J7" s="69"/>
      <c r="K7" s="69"/>
    </row>
    <row r="8" spans="2:11">
      <c r="B8" s="85" t="s">
        <v>54</v>
      </c>
      <c r="C8" s="430" t="s">
        <v>82</v>
      </c>
      <c r="D8" s="430"/>
      <c r="E8" s="430"/>
      <c r="F8" s="431" t="s">
        <v>213</v>
      </c>
      <c r="G8" s="432"/>
      <c r="I8" s="69"/>
      <c r="J8" s="69"/>
      <c r="K8" s="69"/>
    </row>
    <row r="9" spans="2:11">
      <c r="B9" s="85" t="s">
        <v>55</v>
      </c>
      <c r="C9" s="430" t="s">
        <v>84</v>
      </c>
      <c r="D9" s="430"/>
      <c r="E9" s="430"/>
      <c r="F9" s="431">
        <v>12</v>
      </c>
      <c r="G9" s="432"/>
      <c r="I9" s="69"/>
      <c r="J9" s="69"/>
      <c r="K9" s="69"/>
    </row>
    <row r="10" spans="2:11">
      <c r="B10" s="85" t="s">
        <v>56</v>
      </c>
      <c r="C10" s="430" t="s">
        <v>85</v>
      </c>
      <c r="D10" s="430"/>
      <c r="E10" s="430"/>
      <c r="F10" s="443" t="s">
        <v>86</v>
      </c>
      <c r="G10" s="439"/>
      <c r="I10" s="69"/>
      <c r="J10" s="69"/>
      <c r="K10" s="69"/>
    </row>
    <row r="11" spans="2:11">
      <c r="C11" s="2"/>
      <c r="D11" s="2"/>
      <c r="E11" s="2"/>
      <c r="F11" s="2"/>
      <c r="G11" s="3"/>
      <c r="I11" s="69"/>
      <c r="J11" s="69"/>
      <c r="K11" s="69"/>
    </row>
    <row r="12" spans="2:11">
      <c r="B12" s="448" t="s">
        <v>87</v>
      </c>
      <c r="C12" s="448"/>
      <c r="D12" s="448"/>
      <c r="E12" s="448"/>
      <c r="F12" s="448"/>
      <c r="G12" s="448"/>
      <c r="I12" s="69"/>
      <c r="J12" s="69"/>
      <c r="K12" s="69"/>
    </row>
    <row r="13" spans="2:11" ht="36" customHeight="1">
      <c r="B13" s="445" t="s">
        <v>88</v>
      </c>
      <c r="C13" s="445"/>
      <c r="D13" s="445" t="s">
        <v>89</v>
      </c>
      <c r="E13" s="445"/>
      <c r="F13" s="446" t="s">
        <v>90</v>
      </c>
      <c r="G13" s="446"/>
    </row>
    <row r="14" spans="2:11" ht="15" customHeight="1">
      <c r="B14" s="449" t="s">
        <v>91</v>
      </c>
      <c r="C14" s="449"/>
      <c r="D14" s="450" t="s">
        <v>92</v>
      </c>
      <c r="E14" s="450"/>
      <c r="F14" s="451">
        <v>1</v>
      </c>
      <c r="G14" s="451"/>
    </row>
    <row r="15" spans="2:11" ht="18">
      <c r="B15" s="59"/>
      <c r="C15" s="4"/>
      <c r="D15" s="4"/>
      <c r="E15" s="4"/>
      <c r="F15" s="4"/>
    </row>
    <row r="16" spans="2:11">
      <c r="B16" s="452" t="s">
        <v>93</v>
      </c>
      <c r="C16" s="452"/>
      <c r="D16" s="452"/>
      <c r="E16" s="452"/>
      <c r="F16" s="452"/>
      <c r="G16" s="452"/>
    </row>
    <row r="17" spans="2:7">
      <c r="B17" s="5">
        <v>1</v>
      </c>
      <c r="C17" s="447" t="s">
        <v>94</v>
      </c>
      <c r="D17" s="447"/>
      <c r="E17" s="447"/>
      <c r="F17" s="447"/>
      <c r="G17" s="6" t="str">
        <f>B14</f>
        <v>Manutenção Predial</v>
      </c>
    </row>
    <row r="18" spans="2:7">
      <c r="B18" s="51">
        <v>2</v>
      </c>
      <c r="C18" s="375" t="s">
        <v>214</v>
      </c>
      <c r="D18" s="375"/>
      <c r="E18" s="375"/>
      <c r="F18" s="375"/>
      <c r="G18" s="125">
        <v>7272</v>
      </c>
    </row>
    <row r="19" spans="2:7" s="77" customFormat="1">
      <c r="B19" s="135">
        <v>3</v>
      </c>
      <c r="C19" s="444" t="s">
        <v>96</v>
      </c>
      <c r="D19" s="444"/>
      <c r="E19" s="444"/>
      <c r="F19" s="444"/>
      <c r="G19" s="136" t="s">
        <v>24</v>
      </c>
    </row>
    <row r="20" spans="2:7">
      <c r="B20" s="51">
        <v>4</v>
      </c>
      <c r="C20" s="377" t="s">
        <v>97</v>
      </c>
      <c r="D20" s="378"/>
      <c r="E20" s="378"/>
      <c r="F20" s="379"/>
      <c r="G20" s="126" t="s">
        <v>86</v>
      </c>
    </row>
    <row r="21" spans="2:7">
      <c r="B21" s="51">
        <v>5</v>
      </c>
      <c r="C21" s="375" t="s">
        <v>98</v>
      </c>
      <c r="D21" s="375"/>
      <c r="E21" s="375"/>
      <c r="F21" s="375"/>
      <c r="G21" s="112">
        <v>2022</v>
      </c>
    </row>
    <row r="22" spans="2:7">
      <c r="C22" s="3"/>
      <c r="D22" s="436"/>
      <c r="E22" s="436"/>
      <c r="F22" s="436"/>
      <c r="G22" s="3"/>
    </row>
    <row r="23" spans="2:7">
      <c r="B23" s="99">
        <v>1</v>
      </c>
      <c r="C23" s="433" t="s">
        <v>99</v>
      </c>
      <c r="D23" s="434"/>
      <c r="E23" s="435"/>
      <c r="F23" s="99" t="s">
        <v>100</v>
      </c>
      <c r="G23" s="99" t="s">
        <v>101</v>
      </c>
    </row>
    <row r="24" spans="2:7">
      <c r="B24" s="8" t="s">
        <v>52</v>
      </c>
      <c r="C24" s="375" t="s">
        <v>102</v>
      </c>
      <c r="D24" s="375"/>
      <c r="E24" s="375"/>
      <c r="F24" s="8">
        <v>100</v>
      </c>
      <c r="G24" s="9">
        <f>G18</f>
        <v>7272</v>
      </c>
    </row>
    <row r="25" spans="2:7">
      <c r="B25" s="8" t="s">
        <v>53</v>
      </c>
      <c r="C25" s="375" t="s">
        <v>103</v>
      </c>
      <c r="D25" s="375"/>
      <c r="E25" s="375"/>
      <c r="F25" s="10">
        <v>0</v>
      </c>
      <c r="G25" s="11">
        <v>0</v>
      </c>
    </row>
    <row r="26" spans="2:7">
      <c r="B26" s="8" t="s">
        <v>54</v>
      </c>
      <c r="C26" s="375" t="s">
        <v>104</v>
      </c>
      <c r="D26" s="375"/>
      <c r="E26" s="375"/>
      <c r="F26" s="10"/>
      <c r="G26" s="11">
        <f>G24*F26</f>
        <v>0</v>
      </c>
    </row>
    <row r="27" spans="2:7">
      <c r="B27" s="8" t="s">
        <v>55</v>
      </c>
      <c r="C27" s="375" t="s">
        <v>105</v>
      </c>
      <c r="D27" s="375"/>
      <c r="E27" s="375"/>
      <c r="F27" s="10"/>
      <c r="G27" s="11">
        <f>G26*F27</f>
        <v>0</v>
      </c>
    </row>
    <row r="28" spans="2:7">
      <c r="B28" s="8" t="s">
        <v>106</v>
      </c>
      <c r="C28" s="375" t="s">
        <v>107</v>
      </c>
      <c r="D28" s="375"/>
      <c r="E28" s="375"/>
      <c r="F28" s="10"/>
      <c r="G28" s="11">
        <f>G27*F28</f>
        <v>0</v>
      </c>
    </row>
    <row r="29" spans="2:7">
      <c r="B29" s="8" t="s">
        <v>108</v>
      </c>
      <c r="C29" s="375" t="s">
        <v>109</v>
      </c>
      <c r="D29" s="375"/>
      <c r="E29" s="375"/>
      <c r="F29" s="10">
        <v>0</v>
      </c>
      <c r="G29" s="11">
        <f>G28*F29</f>
        <v>0</v>
      </c>
    </row>
    <row r="30" spans="2:7">
      <c r="B30" s="12" t="s">
        <v>110</v>
      </c>
      <c r="C30" s="437" t="s">
        <v>111</v>
      </c>
      <c r="D30" s="437"/>
      <c r="E30" s="437"/>
      <c r="F30" s="13">
        <v>0</v>
      </c>
      <c r="G30" s="14">
        <f>G24*F30</f>
        <v>0</v>
      </c>
    </row>
    <row r="31" spans="2:7">
      <c r="B31" s="15"/>
      <c r="C31" s="421" t="s">
        <v>112</v>
      </c>
      <c r="D31" s="421"/>
      <c r="E31" s="421"/>
      <c r="F31" s="15"/>
      <c r="G31" s="16">
        <f>SUM(G24,G25,G26,G27,G28,G29,G30)</f>
        <v>7272</v>
      </c>
    </row>
    <row r="32" spans="2:7" ht="15" customHeight="1">
      <c r="C32" s="17"/>
      <c r="D32" s="17"/>
      <c r="E32" s="17"/>
      <c r="F32" s="3"/>
      <c r="G32" s="18"/>
    </row>
    <row r="33" spans="2:14" ht="15" customHeight="1">
      <c r="B33" s="422" t="s">
        <v>113</v>
      </c>
      <c r="C33" s="423"/>
      <c r="D33" s="423"/>
      <c r="E33" s="423"/>
      <c r="F33" s="423"/>
      <c r="G33" s="424"/>
      <c r="N33" s="69"/>
    </row>
    <row r="34" spans="2:14">
      <c r="B34" s="17"/>
      <c r="C34" s="3"/>
      <c r="D34" s="3"/>
      <c r="E34" s="3"/>
      <c r="F34" s="3"/>
      <c r="G34" s="3"/>
      <c r="N34" s="69"/>
    </row>
    <row r="35" spans="2:14" ht="15" customHeight="1">
      <c r="B35" s="425" t="s">
        <v>114</v>
      </c>
      <c r="C35" s="425"/>
      <c r="D35" s="425"/>
      <c r="E35" s="425"/>
      <c r="F35" s="101" t="s">
        <v>100</v>
      </c>
      <c r="G35" s="101" t="s">
        <v>115</v>
      </c>
      <c r="N35" s="69"/>
    </row>
    <row r="36" spans="2:14">
      <c r="B36" s="8" t="s">
        <v>52</v>
      </c>
      <c r="C36" s="399" t="s">
        <v>116</v>
      </c>
      <c r="D36" s="399"/>
      <c r="E36" s="399"/>
      <c r="F36" s="19">
        <v>8.3299999999999999E-2</v>
      </c>
      <c r="G36" s="20">
        <f>F36*G31</f>
        <v>605.75760000000002</v>
      </c>
      <c r="N36" s="69"/>
    </row>
    <row r="37" spans="2:14">
      <c r="B37" s="8" t="s">
        <v>53</v>
      </c>
      <c r="C37" s="399" t="s">
        <v>117</v>
      </c>
      <c r="D37" s="399"/>
      <c r="E37" s="399"/>
      <c r="F37" s="19">
        <f>(1/12)+((1/3)/12)</f>
        <v>0.1111111111111111</v>
      </c>
      <c r="G37" s="20">
        <f>F37*G31</f>
        <v>808</v>
      </c>
      <c r="N37" s="69"/>
    </row>
    <row r="38" spans="2:14" ht="15.75">
      <c r="B38" s="420" t="s">
        <v>118</v>
      </c>
      <c r="C38" s="420"/>
      <c r="D38" s="420"/>
      <c r="E38" s="420"/>
      <c r="F38" s="130">
        <f>SUM(F36:F37)</f>
        <v>0.19441111111111109</v>
      </c>
      <c r="G38" s="184">
        <f>SUM(G36:G37)</f>
        <v>1413.7575999999999</v>
      </c>
      <c r="N38" s="69"/>
    </row>
    <row r="39" spans="2:14" ht="15.75">
      <c r="B39" s="22"/>
      <c r="C39" s="22"/>
      <c r="D39" s="22"/>
      <c r="E39" s="22"/>
      <c r="F39" s="23"/>
      <c r="G39" s="24"/>
      <c r="N39" s="69"/>
    </row>
    <row r="40" spans="2:14">
      <c r="B40" s="425" t="s">
        <v>119</v>
      </c>
      <c r="C40" s="425"/>
      <c r="D40" s="425"/>
      <c r="E40" s="425"/>
      <c r="F40" s="101" t="s">
        <v>100</v>
      </c>
      <c r="G40" s="101" t="s">
        <v>115</v>
      </c>
      <c r="N40" s="69"/>
    </row>
    <row r="41" spans="2:14">
      <c r="B41" s="8" t="s">
        <v>52</v>
      </c>
      <c r="C41" s="375" t="s">
        <v>120</v>
      </c>
      <c r="D41" s="375"/>
      <c r="E41" s="375"/>
      <c r="F41" s="19">
        <v>0.2</v>
      </c>
      <c r="G41" s="25">
        <f>($G$31+$G$38)*F41</f>
        <v>1737.1515200000003</v>
      </c>
      <c r="N41" s="69"/>
    </row>
    <row r="42" spans="2:14">
      <c r="B42" s="8" t="s">
        <v>53</v>
      </c>
      <c r="C42" s="375" t="s">
        <v>121</v>
      </c>
      <c r="D42" s="375"/>
      <c r="E42" s="375"/>
      <c r="F42" s="19">
        <v>2.5000000000000001E-2</v>
      </c>
      <c r="G42" s="25">
        <f t="shared" ref="G42:G48" si="0">($G$31+$G$38)*F42</f>
        <v>217.14394000000004</v>
      </c>
      <c r="N42" s="69"/>
    </row>
    <row r="43" spans="2:14">
      <c r="B43" s="8" t="s">
        <v>54</v>
      </c>
      <c r="C43" s="375" t="s">
        <v>122</v>
      </c>
      <c r="D43" s="375"/>
      <c r="E43" s="375"/>
      <c r="F43" s="70">
        <v>0.03</v>
      </c>
      <c r="G43" s="25">
        <f t="shared" si="0"/>
        <v>260.57272800000004</v>
      </c>
      <c r="N43" s="69"/>
    </row>
    <row r="44" spans="2:14">
      <c r="B44" s="8" t="s">
        <v>55</v>
      </c>
      <c r="C44" s="375" t="s">
        <v>123</v>
      </c>
      <c r="D44" s="375"/>
      <c r="E44" s="375"/>
      <c r="F44" s="19">
        <v>1.4999999999999999E-2</v>
      </c>
      <c r="G44" s="25">
        <f t="shared" si="0"/>
        <v>130.28636400000002</v>
      </c>
      <c r="N44" s="69"/>
    </row>
    <row r="45" spans="2:14">
      <c r="B45" s="8" t="s">
        <v>56</v>
      </c>
      <c r="C45" s="375" t="s">
        <v>124</v>
      </c>
      <c r="D45" s="375"/>
      <c r="E45" s="375"/>
      <c r="F45" s="19">
        <v>0.01</v>
      </c>
      <c r="G45" s="25">
        <f t="shared" si="0"/>
        <v>86.857576000000009</v>
      </c>
      <c r="N45" s="69"/>
    </row>
    <row r="46" spans="2:14">
      <c r="B46" s="8" t="s">
        <v>108</v>
      </c>
      <c r="C46" s="375" t="s">
        <v>125</v>
      </c>
      <c r="D46" s="375"/>
      <c r="E46" s="375"/>
      <c r="F46" s="19">
        <v>6.0000000000000001E-3</v>
      </c>
      <c r="G46" s="25">
        <f t="shared" si="0"/>
        <v>52.114545600000007</v>
      </c>
      <c r="N46" s="69"/>
    </row>
    <row r="47" spans="2:14">
      <c r="B47" s="8" t="s">
        <v>110</v>
      </c>
      <c r="C47" s="375" t="s">
        <v>126</v>
      </c>
      <c r="D47" s="375"/>
      <c r="E47" s="375"/>
      <c r="F47" s="19">
        <v>2E-3</v>
      </c>
      <c r="G47" s="25">
        <f t="shared" si="0"/>
        <v>17.371515200000001</v>
      </c>
      <c r="N47" s="69"/>
    </row>
    <row r="48" spans="2:14">
      <c r="B48" s="8" t="s">
        <v>127</v>
      </c>
      <c r="C48" s="375" t="s">
        <v>128</v>
      </c>
      <c r="D48" s="375"/>
      <c r="E48" s="375"/>
      <c r="F48" s="19">
        <v>0.08</v>
      </c>
      <c r="G48" s="25">
        <f t="shared" si="0"/>
        <v>694.86060800000007</v>
      </c>
      <c r="N48" s="69"/>
    </row>
    <row r="49" spans="2:14" ht="15.75">
      <c r="B49" s="420" t="s">
        <v>129</v>
      </c>
      <c r="C49" s="420"/>
      <c r="D49" s="420"/>
      <c r="E49" s="420"/>
      <c r="F49" s="128">
        <f>SUM(F41:F48)</f>
        <v>0.36800000000000005</v>
      </c>
      <c r="G49" s="129">
        <f>SUM(G41:G48)</f>
        <v>3196.3587968000002</v>
      </c>
      <c r="N49" s="69"/>
    </row>
    <row r="50" spans="2:14">
      <c r="B50" s="26"/>
      <c r="C50" s="27"/>
      <c r="D50" s="28"/>
      <c r="E50" s="28"/>
      <c r="F50" s="28"/>
      <c r="G50" s="29"/>
      <c r="N50" s="69"/>
    </row>
    <row r="51" spans="2:14" ht="15.75">
      <c r="B51" s="406" t="s">
        <v>130</v>
      </c>
      <c r="C51" s="407"/>
      <c r="D51" s="407"/>
      <c r="E51" s="407"/>
      <c r="F51" s="408"/>
      <c r="G51" s="100" t="s">
        <v>101</v>
      </c>
      <c r="N51" s="69"/>
    </row>
    <row r="52" spans="2:14">
      <c r="B52" s="8" t="s">
        <v>52</v>
      </c>
      <c r="C52" s="375" t="s">
        <v>131</v>
      </c>
      <c r="D52" s="375"/>
      <c r="E52" s="375"/>
      <c r="F52" s="375"/>
      <c r="G52" s="25">
        <v>0</v>
      </c>
      <c r="H52" s="31"/>
      <c r="I52" s="69"/>
      <c r="J52" s="69"/>
      <c r="K52" s="69"/>
      <c r="L52" s="69"/>
      <c r="M52" s="69"/>
      <c r="N52" s="69"/>
    </row>
    <row r="53" spans="2:14">
      <c r="B53" s="56" t="s">
        <v>53</v>
      </c>
      <c r="C53" s="409" t="s">
        <v>132</v>
      </c>
      <c r="D53" s="409"/>
      <c r="E53" s="409"/>
      <c r="F53" s="409"/>
      <c r="G53" s="72">
        <v>550</v>
      </c>
      <c r="H53" s="71"/>
      <c r="I53" s="69"/>
      <c r="J53" s="69"/>
      <c r="K53" s="69"/>
      <c r="L53" s="69"/>
      <c r="M53" s="69"/>
      <c r="N53" s="69"/>
    </row>
    <row r="54" spans="2:14">
      <c r="B54" s="8" t="s">
        <v>54</v>
      </c>
      <c r="C54" s="375" t="s">
        <v>133</v>
      </c>
      <c r="D54" s="375"/>
      <c r="E54" s="375"/>
      <c r="F54" s="375"/>
      <c r="G54" s="20">
        <v>0</v>
      </c>
      <c r="I54" s="69"/>
      <c r="J54" s="69"/>
      <c r="K54" s="69"/>
      <c r="L54" s="69"/>
      <c r="M54" s="69"/>
      <c r="N54" s="69"/>
    </row>
    <row r="55" spans="2:14">
      <c r="B55" s="8" t="s">
        <v>55</v>
      </c>
      <c r="C55" s="454" t="s">
        <v>134</v>
      </c>
      <c r="D55" s="455"/>
      <c r="E55" s="455"/>
      <c r="F55" s="456"/>
      <c r="G55" s="20">
        <v>4</v>
      </c>
      <c r="I55" s="69"/>
      <c r="J55" s="69"/>
      <c r="K55" s="69"/>
      <c r="L55" s="69"/>
      <c r="M55" s="69"/>
    </row>
    <row r="56" spans="2:14">
      <c r="B56" s="8" t="s">
        <v>108</v>
      </c>
      <c r="C56" s="375" t="s">
        <v>135</v>
      </c>
      <c r="D56" s="375"/>
      <c r="E56" s="375"/>
      <c r="F56" s="375"/>
      <c r="G56" s="20">
        <v>0</v>
      </c>
    </row>
    <row r="57" spans="2:14">
      <c r="B57" s="8"/>
      <c r="C57" s="426" t="s">
        <v>136</v>
      </c>
      <c r="D57" s="426"/>
      <c r="E57" s="426"/>
      <c r="F57" s="426"/>
      <c r="G57" s="131">
        <f>SUM(G52:G56)</f>
        <v>554</v>
      </c>
    </row>
    <row r="58" spans="2:14">
      <c r="B58" s="86"/>
      <c r="C58" s="61"/>
      <c r="D58" s="61"/>
      <c r="E58" s="61"/>
      <c r="F58" s="61"/>
      <c r="G58" s="62"/>
    </row>
    <row r="59" spans="2:14" ht="15.75">
      <c r="B59" s="102">
        <v>2</v>
      </c>
      <c r="C59" s="396" t="s">
        <v>137</v>
      </c>
      <c r="D59" s="396"/>
      <c r="E59" s="396"/>
      <c r="F59" s="396"/>
      <c r="G59" s="103" t="s">
        <v>101</v>
      </c>
    </row>
    <row r="60" spans="2:14" ht="15.75">
      <c r="B60" s="74"/>
      <c r="C60" s="410"/>
      <c r="D60" s="410"/>
      <c r="E60" s="410"/>
      <c r="F60" s="410"/>
      <c r="G60" s="73" t="s">
        <v>138</v>
      </c>
    </row>
    <row r="61" spans="2:14" ht="15.75">
      <c r="B61" s="74" t="s">
        <v>23</v>
      </c>
      <c r="C61" s="410" t="s">
        <v>139</v>
      </c>
      <c r="D61" s="410"/>
      <c r="E61" s="410"/>
      <c r="F61" s="410"/>
      <c r="G61" s="75">
        <f>G38</f>
        <v>1413.7575999999999</v>
      </c>
    </row>
    <row r="62" spans="2:14" ht="15.75">
      <c r="B62" s="74" t="s">
        <v>25</v>
      </c>
      <c r="C62" s="410" t="s">
        <v>140</v>
      </c>
      <c r="D62" s="410"/>
      <c r="E62" s="410"/>
      <c r="F62" s="410"/>
      <c r="G62" s="75">
        <f>G49</f>
        <v>3196.3587968000002</v>
      </c>
    </row>
    <row r="63" spans="2:14" ht="15.75">
      <c r="B63" s="74" t="s">
        <v>141</v>
      </c>
      <c r="C63" s="410" t="s">
        <v>142</v>
      </c>
      <c r="D63" s="410"/>
      <c r="E63" s="410"/>
      <c r="F63" s="410"/>
      <c r="G63" s="75">
        <f>G57</f>
        <v>554</v>
      </c>
    </row>
    <row r="64" spans="2:14" ht="15.75">
      <c r="B64" s="411" t="s">
        <v>20</v>
      </c>
      <c r="C64" s="411"/>
      <c r="D64" s="411"/>
      <c r="E64" s="411"/>
      <c r="F64" s="411"/>
      <c r="G64" s="104">
        <f>SUM(G61:G63)</f>
        <v>5164.1163968000001</v>
      </c>
    </row>
    <row r="65" spans="2:13" ht="26.25" customHeight="1">
      <c r="B65" s="63"/>
      <c r="C65" s="63"/>
      <c r="D65" s="64"/>
    </row>
    <row r="66" spans="2:13" s="77" customFormat="1">
      <c r="B66" s="412" t="s">
        <v>143</v>
      </c>
      <c r="C66" s="413"/>
      <c r="D66" s="413"/>
      <c r="E66" s="413"/>
      <c r="F66" s="413"/>
      <c r="G66" s="414"/>
    </row>
    <row r="67" spans="2:13" s="77" customFormat="1">
      <c r="B67" s="415" t="s">
        <v>144</v>
      </c>
      <c r="C67" s="415"/>
      <c r="D67" s="415"/>
      <c r="E67" s="415"/>
      <c r="F67" s="105" t="s">
        <v>100</v>
      </c>
      <c r="G67" s="105" t="s">
        <v>115</v>
      </c>
      <c r="I67" s="79"/>
    </row>
    <row r="68" spans="2:13" s="77" customFormat="1" ht="31.5" customHeight="1">
      <c r="B68" s="82" t="s">
        <v>52</v>
      </c>
      <c r="C68" s="416" t="s">
        <v>145</v>
      </c>
      <c r="D68" s="416"/>
      <c r="E68" s="416"/>
      <c r="F68" s="80">
        <v>4.5999999999999999E-3</v>
      </c>
      <c r="G68" s="81">
        <f>ROUND(F68*$G$31,2)</f>
        <v>33.450000000000003</v>
      </c>
      <c r="I68"/>
      <c r="J68"/>
      <c r="K68"/>
      <c r="L68"/>
      <c r="M68"/>
    </row>
    <row r="69" spans="2:13" s="77" customFormat="1" ht="33" customHeight="1">
      <c r="B69" s="82" t="s">
        <v>53</v>
      </c>
      <c r="C69" s="416" t="s">
        <v>146</v>
      </c>
      <c r="D69" s="416"/>
      <c r="E69" s="416"/>
      <c r="F69" s="80">
        <v>8.9999999999999998E-4</v>
      </c>
      <c r="G69" s="81">
        <f t="shared" ref="G69:G73" si="1">ROUND(F69*$G$31,2)</f>
        <v>6.54</v>
      </c>
      <c r="H69" s="78"/>
      <c r="I69"/>
      <c r="J69"/>
      <c r="K69"/>
      <c r="L69"/>
      <c r="M69"/>
    </row>
    <row r="70" spans="2:13" s="77" customFormat="1">
      <c r="B70" s="82" t="s">
        <v>54</v>
      </c>
      <c r="C70" s="416" t="s">
        <v>147</v>
      </c>
      <c r="D70" s="453"/>
      <c r="E70" s="453"/>
      <c r="F70" s="80">
        <v>2.2200000000000001E-2</v>
      </c>
      <c r="G70" s="81">
        <f t="shared" si="1"/>
        <v>161.44</v>
      </c>
      <c r="I70"/>
      <c r="J70"/>
      <c r="K70"/>
      <c r="L70"/>
      <c r="M70"/>
    </row>
    <row r="71" spans="2:13" s="77" customFormat="1" ht="48" customHeight="1">
      <c r="B71" s="82" t="s">
        <v>55</v>
      </c>
      <c r="C71" s="416" t="s">
        <v>148</v>
      </c>
      <c r="D71" s="416"/>
      <c r="E71" s="416"/>
      <c r="F71" s="80">
        <v>1.9400000000000001E-2</v>
      </c>
      <c r="G71" s="81">
        <f t="shared" si="1"/>
        <v>141.08000000000001</v>
      </c>
      <c r="I71"/>
      <c r="J71"/>
      <c r="K71"/>
      <c r="L71"/>
      <c r="M71"/>
    </row>
    <row r="72" spans="2:13" s="77" customFormat="1" ht="35.25" customHeight="1">
      <c r="B72" s="82" t="s">
        <v>56</v>
      </c>
      <c r="C72" s="416" t="s">
        <v>149</v>
      </c>
      <c r="D72" s="416"/>
      <c r="E72" s="416"/>
      <c r="F72" s="80">
        <f>ROUND(F49*F71,4)</f>
        <v>7.1000000000000004E-3</v>
      </c>
      <c r="G72" s="81">
        <f t="shared" si="1"/>
        <v>51.63</v>
      </c>
      <c r="H72" s="78"/>
      <c r="I72"/>
      <c r="J72"/>
      <c r="K72"/>
      <c r="L72"/>
      <c r="M72"/>
    </row>
    <row r="73" spans="2:13" s="77" customFormat="1" ht="33.75" customHeight="1">
      <c r="B73" s="82" t="s">
        <v>108</v>
      </c>
      <c r="C73" s="416" t="s">
        <v>150</v>
      </c>
      <c r="D73" s="453"/>
      <c r="E73" s="453"/>
      <c r="F73" s="80">
        <v>3.2000000000000001E-2</v>
      </c>
      <c r="G73" s="81">
        <f t="shared" si="1"/>
        <v>232.7</v>
      </c>
      <c r="I73"/>
      <c r="J73"/>
      <c r="K73"/>
      <c r="L73"/>
      <c r="M73"/>
    </row>
    <row r="74" spans="2:13" s="77" customFormat="1" ht="15.75">
      <c r="B74" s="417" t="s">
        <v>151</v>
      </c>
      <c r="C74" s="417"/>
      <c r="D74" s="417"/>
      <c r="E74" s="417"/>
      <c r="F74" s="106">
        <f>SUM(F68:F73)</f>
        <v>8.6199999999999999E-2</v>
      </c>
      <c r="G74" s="107">
        <f>SUM(G68:G73)</f>
        <v>626.83999999999992</v>
      </c>
      <c r="I74"/>
      <c r="J74"/>
      <c r="K74"/>
      <c r="L74"/>
      <c r="M74"/>
    </row>
    <row r="75" spans="2:13" ht="26.25" customHeight="1">
      <c r="B75" s="22"/>
      <c r="C75" s="22"/>
      <c r="D75" s="22"/>
      <c r="E75" s="22"/>
      <c r="F75" s="23"/>
      <c r="G75" s="18"/>
    </row>
    <row r="76" spans="2:13" ht="15.75">
      <c r="B76" s="418" t="s">
        <v>152</v>
      </c>
      <c r="C76" s="418"/>
      <c r="D76" s="418"/>
      <c r="E76" s="418"/>
      <c r="F76" s="418"/>
      <c r="G76" s="418"/>
    </row>
    <row r="77" spans="2:13">
      <c r="B77" s="419" t="s">
        <v>153</v>
      </c>
      <c r="C77" s="419"/>
      <c r="D77" s="419"/>
      <c r="E77" s="419"/>
      <c r="F77" s="5" t="s">
        <v>100</v>
      </c>
      <c r="G77" s="5" t="s">
        <v>115</v>
      </c>
    </row>
    <row r="78" spans="2:13">
      <c r="B78" s="32" t="s">
        <v>52</v>
      </c>
      <c r="C78" s="399" t="s">
        <v>154</v>
      </c>
      <c r="D78" s="399"/>
      <c r="E78" s="399"/>
      <c r="F78" s="33">
        <v>8.3299999999999999E-2</v>
      </c>
      <c r="G78" s="34">
        <f>G$31*F78</f>
        <v>605.75760000000002</v>
      </c>
      <c r="I78" s="21"/>
      <c r="J78" s="21"/>
    </row>
    <row r="79" spans="2:13">
      <c r="B79" s="32" t="s">
        <v>53</v>
      </c>
      <c r="C79" s="377" t="s">
        <v>155</v>
      </c>
      <c r="D79" s="377"/>
      <c r="E79" s="35"/>
      <c r="F79" s="36">
        <v>1.7500000000000002E-2</v>
      </c>
      <c r="G79" s="34">
        <f t="shared" ref="G79:G83" si="2">G$31*F79</f>
        <v>127.26</v>
      </c>
      <c r="J79" s="21"/>
      <c r="K79" s="21"/>
    </row>
    <row r="80" spans="2:13">
      <c r="B80" s="32" t="s">
        <v>54</v>
      </c>
      <c r="C80" s="377" t="s">
        <v>156</v>
      </c>
      <c r="D80" s="377"/>
      <c r="E80" s="35"/>
      <c r="F80" s="36">
        <v>5.0000000000000001E-4</v>
      </c>
      <c r="G80" s="34">
        <f t="shared" si="2"/>
        <v>3.6360000000000001</v>
      </c>
      <c r="J80" s="21"/>
    </row>
    <row r="81" spans="2:10">
      <c r="B81" s="32" t="s">
        <v>55</v>
      </c>
      <c r="C81" s="377" t="s">
        <v>157</v>
      </c>
      <c r="D81" s="377"/>
      <c r="E81" s="35"/>
      <c r="F81" s="36">
        <v>4.0000000000000002E-4</v>
      </c>
      <c r="G81" s="34">
        <f t="shared" si="2"/>
        <v>2.9088000000000003</v>
      </c>
      <c r="J81" s="21"/>
    </row>
    <row r="82" spans="2:10">
      <c r="B82" s="32" t="s">
        <v>56</v>
      </c>
      <c r="C82" s="377" t="s">
        <v>158</v>
      </c>
      <c r="D82" s="377"/>
      <c r="E82" s="35"/>
      <c r="F82" s="36">
        <v>4.0000000000000002E-4</v>
      </c>
      <c r="G82" s="34">
        <f t="shared" si="2"/>
        <v>2.9088000000000003</v>
      </c>
      <c r="J82" s="21"/>
    </row>
    <row r="83" spans="2:10">
      <c r="B83" s="32" t="s">
        <v>108</v>
      </c>
      <c r="C83" s="377" t="s">
        <v>159</v>
      </c>
      <c r="D83" s="377"/>
      <c r="E83" s="35"/>
      <c r="F83" s="36">
        <v>0</v>
      </c>
      <c r="G83" s="34">
        <f t="shared" si="2"/>
        <v>0</v>
      </c>
    </row>
    <row r="84" spans="2:10" ht="15.75">
      <c r="B84" s="420" t="s">
        <v>160</v>
      </c>
      <c r="C84" s="420"/>
      <c r="D84" s="420"/>
      <c r="E84" s="420"/>
      <c r="F84" s="108">
        <f>SUM(F78:F83)</f>
        <v>0.1021</v>
      </c>
      <c r="G84" s="109">
        <f>SUM(G78:G83)</f>
        <v>742.47120000000007</v>
      </c>
      <c r="J84" s="21"/>
    </row>
    <row r="85" spans="2:10" ht="15.75">
      <c r="B85" s="65"/>
      <c r="C85" s="65"/>
      <c r="D85" s="65"/>
      <c r="E85" s="65"/>
      <c r="F85" s="66"/>
      <c r="G85" s="67"/>
      <c r="J85" s="21"/>
    </row>
    <row r="86" spans="2:10">
      <c r="J86" s="21"/>
    </row>
    <row r="87" spans="2:10" ht="15.75">
      <c r="B87" s="103" t="s">
        <v>161</v>
      </c>
      <c r="C87" s="396" t="s">
        <v>162</v>
      </c>
      <c r="D87" s="396"/>
      <c r="E87" s="396"/>
      <c r="F87" s="396"/>
      <c r="G87" s="110" t="s">
        <v>101</v>
      </c>
      <c r="J87" s="21"/>
    </row>
    <row r="88" spans="2:10" ht="15.75">
      <c r="B88" s="74"/>
      <c r="C88" s="410"/>
      <c r="D88" s="410"/>
      <c r="E88" s="410"/>
      <c r="F88" s="410"/>
      <c r="G88" s="83" t="s">
        <v>138</v>
      </c>
      <c r="J88" s="21"/>
    </row>
    <row r="89" spans="2:10" ht="15.75">
      <c r="B89" s="73" t="s">
        <v>52</v>
      </c>
      <c r="C89" s="410" t="s">
        <v>163</v>
      </c>
      <c r="D89" s="410"/>
      <c r="E89" s="410"/>
      <c r="F89" s="410"/>
      <c r="G89" s="84">
        <v>0</v>
      </c>
      <c r="J89" s="21"/>
    </row>
    <row r="90" spans="2:10" ht="15.75">
      <c r="B90" s="393" t="s">
        <v>20</v>
      </c>
      <c r="C90" s="394"/>
      <c r="D90" s="394"/>
      <c r="E90" s="394"/>
      <c r="F90" s="395"/>
      <c r="G90" s="84">
        <v>0</v>
      </c>
      <c r="J90" s="21"/>
    </row>
    <row r="91" spans="2:10">
      <c r="J91" s="21"/>
    </row>
    <row r="92" spans="2:10" ht="15.75">
      <c r="B92" s="103">
        <v>4</v>
      </c>
      <c r="C92" s="396" t="s">
        <v>164</v>
      </c>
      <c r="D92" s="396"/>
      <c r="E92" s="396"/>
      <c r="F92" s="396"/>
      <c r="G92" s="110" t="s">
        <v>101</v>
      </c>
      <c r="J92" s="21"/>
    </row>
    <row r="93" spans="2:10" ht="15.75">
      <c r="B93" s="74"/>
      <c r="C93" s="410"/>
      <c r="D93" s="410"/>
      <c r="E93" s="410"/>
      <c r="F93" s="410"/>
      <c r="G93" s="83" t="s">
        <v>138</v>
      </c>
      <c r="J93" s="21"/>
    </row>
    <row r="94" spans="2:10" ht="15.75">
      <c r="B94" s="74" t="s">
        <v>41</v>
      </c>
      <c r="C94" s="410" t="s">
        <v>165</v>
      </c>
      <c r="D94" s="410"/>
      <c r="E94" s="410"/>
      <c r="F94" s="410"/>
      <c r="G94" s="75">
        <f>G84</f>
        <v>742.47120000000007</v>
      </c>
      <c r="J94" s="21"/>
    </row>
    <row r="95" spans="2:10" ht="15.75">
      <c r="B95" s="74" t="s">
        <v>161</v>
      </c>
      <c r="C95" s="410" t="s">
        <v>162</v>
      </c>
      <c r="D95" s="410"/>
      <c r="E95" s="410"/>
      <c r="F95" s="410"/>
      <c r="G95" s="84">
        <v>0</v>
      </c>
      <c r="J95" s="21"/>
    </row>
    <row r="96" spans="2:10" s="37" customFormat="1" ht="15.75">
      <c r="B96" s="393" t="s">
        <v>20</v>
      </c>
      <c r="C96" s="394"/>
      <c r="D96" s="394"/>
      <c r="E96" s="394"/>
      <c r="F96" s="395"/>
      <c r="G96" s="76">
        <f>SUM(G94:G95)</f>
        <v>742.47120000000007</v>
      </c>
    </row>
    <row r="97" spans="2:7" s="37" customFormat="1" ht="15.75">
      <c r="B97" s="68"/>
      <c r="C97" s="68"/>
      <c r="D97" s="68"/>
      <c r="E97" s="68"/>
      <c r="F97" s="68"/>
      <c r="G97" s="88"/>
    </row>
    <row r="98" spans="2:7" s="37" customFormat="1" ht="12.75">
      <c r="B98" s="397" t="s">
        <v>166</v>
      </c>
      <c r="C98" s="397"/>
      <c r="D98" s="397"/>
      <c r="E98" s="397"/>
      <c r="F98" s="397"/>
      <c r="G98" s="397"/>
    </row>
    <row r="99" spans="2:7" ht="15.75">
      <c r="B99" s="398" t="s">
        <v>167</v>
      </c>
      <c r="C99" s="398"/>
      <c r="D99" s="398"/>
      <c r="E99" s="398"/>
      <c r="F99" s="398"/>
      <c r="G99" s="90" t="s">
        <v>101</v>
      </c>
    </row>
    <row r="100" spans="2:7">
      <c r="B100" s="85" t="s">
        <v>52</v>
      </c>
      <c r="C100" s="430" t="s">
        <v>168</v>
      </c>
      <c r="D100" s="430"/>
      <c r="E100" s="430"/>
      <c r="F100" s="430"/>
      <c r="G100" s="91">
        <v>0</v>
      </c>
    </row>
    <row r="101" spans="2:7">
      <c r="B101" s="26" t="s">
        <v>53</v>
      </c>
      <c r="C101" s="427" t="s">
        <v>169</v>
      </c>
      <c r="D101" s="428"/>
      <c r="E101" s="428"/>
      <c r="F101" s="429"/>
      <c r="G101" s="89">
        <v>0</v>
      </c>
    </row>
    <row r="102" spans="2:7">
      <c r="B102" s="32" t="s">
        <v>54</v>
      </c>
      <c r="C102" s="377" t="s">
        <v>170</v>
      </c>
      <c r="D102" s="378"/>
      <c r="E102" s="378"/>
      <c r="F102" s="379"/>
      <c r="G102" s="20">
        <v>0</v>
      </c>
    </row>
    <row r="103" spans="2:7">
      <c r="B103" s="38" t="s">
        <v>55</v>
      </c>
      <c r="C103" s="399" t="s">
        <v>135</v>
      </c>
      <c r="D103" s="399"/>
      <c r="E103" s="399"/>
      <c r="F103" s="399"/>
      <c r="G103" s="20"/>
    </row>
    <row r="104" spans="2:7" ht="15.75" customHeight="1">
      <c r="B104" s="400" t="s">
        <v>171</v>
      </c>
      <c r="C104" s="401"/>
      <c r="D104" s="401"/>
      <c r="E104" s="401"/>
      <c r="F104" s="402"/>
      <c r="G104" s="111">
        <f>G100+G101+G102+G103</f>
        <v>0</v>
      </c>
    </row>
    <row r="106" spans="2:7" ht="18">
      <c r="B106" s="382" t="s">
        <v>172</v>
      </c>
      <c r="C106" s="383"/>
      <c r="D106" s="383"/>
      <c r="E106" s="383"/>
      <c r="F106" s="383"/>
      <c r="G106" s="384"/>
    </row>
    <row r="107" spans="2:7" ht="18">
      <c r="D107" s="39"/>
      <c r="E107" s="39"/>
      <c r="F107" s="39"/>
    </row>
    <row r="108" spans="2:7" ht="15.75">
      <c r="B108" s="30"/>
      <c r="C108" s="400" t="s">
        <v>173</v>
      </c>
      <c r="D108" s="401"/>
      <c r="E108" s="401"/>
      <c r="F108" s="402"/>
      <c r="G108" s="30" t="s">
        <v>101</v>
      </c>
    </row>
    <row r="109" spans="2:7">
      <c r="B109" s="8">
        <v>1</v>
      </c>
      <c r="C109" s="375" t="s">
        <v>174</v>
      </c>
      <c r="D109" s="375"/>
      <c r="E109" s="375"/>
      <c r="F109" s="375"/>
      <c r="G109" s="40">
        <f>G31</f>
        <v>7272</v>
      </c>
    </row>
    <row r="110" spans="2:7">
      <c r="B110" s="8">
        <v>2</v>
      </c>
      <c r="C110" s="375" t="s">
        <v>175</v>
      </c>
      <c r="D110" s="375"/>
      <c r="E110" s="375"/>
      <c r="F110" s="375"/>
      <c r="G110" s="40">
        <f>G38+G49+G57</f>
        <v>5164.1163968000001</v>
      </c>
    </row>
    <row r="111" spans="2:7">
      <c r="B111" s="8">
        <v>3</v>
      </c>
      <c r="C111" s="375" t="s">
        <v>176</v>
      </c>
      <c r="D111" s="375"/>
      <c r="E111" s="375"/>
      <c r="F111" s="375"/>
      <c r="G111" s="40">
        <f>G74</f>
        <v>626.83999999999992</v>
      </c>
    </row>
    <row r="112" spans="2:7">
      <c r="B112" s="8">
        <v>4</v>
      </c>
      <c r="C112" s="375" t="s">
        <v>177</v>
      </c>
      <c r="D112" s="375"/>
      <c r="E112" s="375"/>
      <c r="F112" s="375"/>
      <c r="G112" s="40">
        <f>G84</f>
        <v>742.47120000000007</v>
      </c>
    </row>
    <row r="113" spans="2:11">
      <c r="B113" s="8">
        <v>5</v>
      </c>
      <c r="C113" s="375" t="s">
        <v>178</v>
      </c>
      <c r="D113" s="375"/>
      <c r="E113" s="375"/>
      <c r="F113" s="375"/>
      <c r="G113" s="40">
        <f>G104</f>
        <v>0</v>
      </c>
    </row>
    <row r="114" spans="2:11">
      <c r="B114" s="8">
        <v>6</v>
      </c>
      <c r="C114" s="375" t="s">
        <v>159</v>
      </c>
      <c r="D114" s="375"/>
      <c r="E114" s="375"/>
      <c r="F114" s="375"/>
      <c r="G114" s="25"/>
    </row>
    <row r="115" spans="2:11" ht="15.75">
      <c r="B115" s="420" t="s">
        <v>20</v>
      </c>
      <c r="C115" s="420"/>
      <c r="D115" s="420"/>
      <c r="E115" s="420"/>
      <c r="F115" s="420"/>
      <c r="G115" s="41">
        <f>SUM(G109:G114)</f>
        <v>13805.4275968</v>
      </c>
    </row>
    <row r="116" spans="2:11" ht="15.75">
      <c r="B116" s="22"/>
      <c r="C116" s="22"/>
      <c r="D116" s="22"/>
      <c r="E116" s="22"/>
      <c r="F116" s="22"/>
      <c r="G116" s="42"/>
    </row>
    <row r="117" spans="2:11">
      <c r="B117" s="403" t="s">
        <v>179</v>
      </c>
      <c r="C117" s="404"/>
      <c r="D117" s="404"/>
      <c r="E117" s="404"/>
      <c r="F117" s="404"/>
      <c r="G117" s="405"/>
    </row>
    <row r="118" spans="2:11" ht="15.75">
      <c r="B118" s="43">
        <v>6</v>
      </c>
      <c r="C118" s="44" t="s">
        <v>180</v>
      </c>
      <c r="D118" s="45"/>
      <c r="E118" s="46"/>
      <c r="F118" s="47" t="s">
        <v>100</v>
      </c>
      <c r="G118" s="6" t="s">
        <v>115</v>
      </c>
    </row>
    <row r="119" spans="2:11" ht="15.75">
      <c r="B119" s="8" t="s">
        <v>52</v>
      </c>
      <c r="C119" s="375" t="s">
        <v>181</v>
      </c>
      <c r="D119" s="375"/>
      <c r="E119" s="375"/>
      <c r="F119" s="132">
        <v>0.1</v>
      </c>
      <c r="G119" s="48">
        <f>G115*F119</f>
        <v>1380.54275968</v>
      </c>
      <c r="J119" s="92">
        <f>SUM(F122:F124)</f>
        <v>8.6499999999999994E-2</v>
      </c>
      <c r="K119" s="93"/>
    </row>
    <row r="120" spans="2:11" ht="15.75">
      <c r="B120" s="8" t="s">
        <v>53</v>
      </c>
      <c r="C120" s="377" t="s">
        <v>182</v>
      </c>
      <c r="D120" s="378"/>
      <c r="E120" s="379"/>
      <c r="F120" s="132">
        <v>0.1</v>
      </c>
      <c r="G120" s="48">
        <f>(G119+G115)*F120</f>
        <v>1518.5970356480002</v>
      </c>
      <c r="J120" s="94">
        <f>G136</f>
        <v>13805.4275968</v>
      </c>
      <c r="K120" s="95"/>
    </row>
    <row r="121" spans="2:11" ht="15.75">
      <c r="B121" s="8" t="s">
        <v>54</v>
      </c>
      <c r="C121" s="375" t="s">
        <v>183</v>
      </c>
      <c r="D121" s="375"/>
      <c r="E121" s="375"/>
      <c r="F121" s="49"/>
      <c r="G121" s="50">
        <v>0</v>
      </c>
      <c r="J121" s="96">
        <f>G119+G120</f>
        <v>2899.1397953280002</v>
      </c>
      <c r="K121" s="97"/>
    </row>
    <row r="122" spans="2:11" ht="15.75">
      <c r="B122" s="8"/>
      <c r="C122" s="375" t="s">
        <v>184</v>
      </c>
      <c r="D122" s="375"/>
      <c r="E122" s="375"/>
      <c r="F122" s="19">
        <v>6.4999999999999997E-3</v>
      </c>
      <c r="G122" s="50">
        <f>F122*I123</f>
        <v>118.86118013008429</v>
      </c>
      <c r="I122" s="50"/>
      <c r="J122" s="96">
        <f>SUM(J120:J121)</f>
        <v>16704.567392127999</v>
      </c>
      <c r="K122" s="98"/>
    </row>
    <row r="123" spans="2:11" ht="15.75">
      <c r="B123" s="8"/>
      <c r="C123" s="375" t="s">
        <v>185</v>
      </c>
      <c r="D123" s="375"/>
      <c r="E123" s="375"/>
      <c r="F123" s="19">
        <v>0.03</v>
      </c>
      <c r="G123" s="50">
        <f>F123*I123</f>
        <v>548.59006213885061</v>
      </c>
      <c r="I123" s="50">
        <f>(G115+G119+G120)/0.9135</f>
        <v>18286.335404628353</v>
      </c>
      <c r="J123" s="96">
        <f>J122/(1-J119)</f>
        <v>18286.335404628353</v>
      </c>
      <c r="K123" s="98"/>
    </row>
    <row r="124" spans="2:11" ht="15.75">
      <c r="B124" s="8"/>
      <c r="C124" s="375" t="s">
        <v>186</v>
      </c>
      <c r="D124" s="375"/>
      <c r="E124" s="375"/>
      <c r="F124" s="19">
        <v>0.05</v>
      </c>
      <c r="G124" s="50">
        <f>F124*I123</f>
        <v>914.31677023141765</v>
      </c>
      <c r="J124" s="98"/>
      <c r="K124" s="98"/>
    </row>
    <row r="125" spans="2:11" ht="15.75">
      <c r="B125" s="8"/>
      <c r="C125" s="390" t="s">
        <v>187</v>
      </c>
      <c r="D125" s="391"/>
      <c r="E125" s="392"/>
      <c r="F125" s="19">
        <v>0</v>
      </c>
      <c r="G125" s="50">
        <f>F125*I123</f>
        <v>0</v>
      </c>
      <c r="J125" s="96">
        <f>SUM(H123:H125)</f>
        <v>0</v>
      </c>
      <c r="K125" s="96"/>
    </row>
    <row r="126" spans="2:11">
      <c r="B126" s="8"/>
      <c r="C126" s="426" t="s">
        <v>188</v>
      </c>
      <c r="D126" s="426"/>
      <c r="E126" s="426"/>
      <c r="F126" s="52">
        <f>SUM(F119:F125)</f>
        <v>0.28650000000000003</v>
      </c>
      <c r="G126" s="53">
        <f>SUM(G119:G125)</f>
        <v>4480.9078078283528</v>
      </c>
    </row>
    <row r="128" spans="2:11" ht="18">
      <c r="B128" s="382" t="s">
        <v>189</v>
      </c>
      <c r="C128" s="383"/>
      <c r="D128" s="383"/>
      <c r="E128" s="383"/>
      <c r="F128" s="383"/>
      <c r="G128" s="384"/>
    </row>
    <row r="130" spans="2:7">
      <c r="B130" s="112"/>
      <c r="C130" s="387" t="s">
        <v>190</v>
      </c>
      <c r="D130" s="388"/>
      <c r="E130" s="388"/>
      <c r="F130" s="389"/>
      <c r="G130" s="112" t="s">
        <v>115</v>
      </c>
    </row>
    <row r="131" spans="2:7">
      <c r="B131" s="8" t="s">
        <v>52</v>
      </c>
      <c r="C131" s="375" t="s">
        <v>191</v>
      </c>
      <c r="D131" s="375"/>
      <c r="E131" s="375"/>
      <c r="F131" s="375"/>
      <c r="G131" s="7">
        <f>G109</f>
        <v>7272</v>
      </c>
    </row>
    <row r="132" spans="2:7">
      <c r="B132" s="8" t="s">
        <v>53</v>
      </c>
      <c r="C132" s="375" t="s">
        <v>113</v>
      </c>
      <c r="D132" s="375"/>
      <c r="E132" s="375"/>
      <c r="F132" s="375"/>
      <c r="G132" s="7">
        <f>G110</f>
        <v>5164.1163968000001</v>
      </c>
    </row>
    <row r="133" spans="2:7">
      <c r="B133" s="8" t="s">
        <v>54</v>
      </c>
      <c r="C133" s="375" t="s">
        <v>143</v>
      </c>
      <c r="D133" s="375"/>
      <c r="E133" s="375"/>
      <c r="F133" s="375"/>
      <c r="G133" s="7">
        <f>G111</f>
        <v>626.83999999999992</v>
      </c>
    </row>
    <row r="134" spans="2:7">
      <c r="B134" s="8" t="s">
        <v>55</v>
      </c>
      <c r="C134" s="375" t="s">
        <v>192</v>
      </c>
      <c r="D134" s="375"/>
      <c r="E134" s="375"/>
      <c r="F134" s="375"/>
      <c r="G134" s="7">
        <f>G112</f>
        <v>742.47120000000007</v>
      </c>
    </row>
    <row r="135" spans="2:7">
      <c r="B135" s="8" t="s">
        <v>56</v>
      </c>
      <c r="C135" s="377" t="s">
        <v>178</v>
      </c>
      <c r="D135" s="378"/>
      <c r="E135" s="378"/>
      <c r="F135" s="379"/>
      <c r="G135" s="7">
        <f>G113</f>
        <v>0</v>
      </c>
    </row>
    <row r="136" spans="2:7">
      <c r="B136" s="380" t="s">
        <v>193</v>
      </c>
      <c r="C136" s="380"/>
      <c r="D136" s="380"/>
      <c r="E136" s="380"/>
      <c r="F136" s="380"/>
      <c r="G136" s="7">
        <f>SUM(G131:G135)</f>
        <v>13805.4275968</v>
      </c>
    </row>
    <row r="137" spans="2:7">
      <c r="B137" s="8" t="s">
        <v>108</v>
      </c>
      <c r="C137" s="375" t="s">
        <v>194</v>
      </c>
      <c r="D137" s="375"/>
      <c r="E137" s="375"/>
      <c r="F137" s="375"/>
      <c r="G137" s="7">
        <f>G126</f>
        <v>4480.9078078283528</v>
      </c>
    </row>
    <row r="138" spans="2:7">
      <c r="B138" s="381" t="s">
        <v>195</v>
      </c>
      <c r="C138" s="381"/>
      <c r="D138" s="381"/>
      <c r="E138" s="381"/>
      <c r="F138" s="381"/>
      <c r="G138" s="54">
        <f>ROUNDDOWN(G136+G137,2)</f>
        <v>18286.330000000002</v>
      </c>
    </row>
    <row r="139" spans="2:7">
      <c r="F139" s="3"/>
      <c r="G139" s="3"/>
    </row>
    <row r="140" spans="2:7" ht="18">
      <c r="B140" s="382" t="s">
        <v>196</v>
      </c>
      <c r="C140" s="383"/>
      <c r="D140" s="383"/>
      <c r="E140" s="383"/>
      <c r="F140" s="383"/>
      <c r="G140" s="384"/>
    </row>
    <row r="141" spans="2:7">
      <c r="F141" s="3"/>
      <c r="G141" s="3"/>
    </row>
    <row r="142" spans="2:7">
      <c r="B142" s="12" t="s">
        <v>197</v>
      </c>
      <c r="C142" s="12" t="s">
        <v>198</v>
      </c>
      <c r="D142" s="12" t="s">
        <v>199</v>
      </c>
      <c r="E142" s="12" t="s">
        <v>200</v>
      </c>
      <c r="F142" s="12" t="s">
        <v>201</v>
      </c>
      <c r="G142" s="12" t="s">
        <v>202</v>
      </c>
    </row>
    <row r="143" spans="2:7">
      <c r="B143" s="87"/>
      <c r="C143" s="6" t="s">
        <v>203</v>
      </c>
      <c r="D143" s="6" t="s">
        <v>204</v>
      </c>
      <c r="E143" s="6" t="s">
        <v>205</v>
      </c>
      <c r="F143" s="6" t="s">
        <v>206</v>
      </c>
      <c r="G143" s="6" t="s">
        <v>207</v>
      </c>
    </row>
    <row r="144" spans="2:7" ht="30">
      <c r="B144" s="113" t="str">
        <f>G19</f>
        <v>ENGENHEIRO CIVIL</v>
      </c>
      <c r="C144" s="55">
        <f>G138</f>
        <v>18286.330000000002</v>
      </c>
      <c r="D144" s="56">
        <f>F14</f>
        <v>1</v>
      </c>
      <c r="E144" s="57">
        <f>C144</f>
        <v>18286.330000000002</v>
      </c>
      <c r="F144" s="133">
        <v>1</v>
      </c>
      <c r="G144" s="57">
        <f>E144*F144</f>
        <v>18286.330000000002</v>
      </c>
    </row>
    <row r="145" spans="2:7">
      <c r="B145" s="6"/>
      <c r="C145" s="49"/>
      <c r="D145" s="49"/>
      <c r="E145" s="49"/>
      <c r="F145" s="8"/>
      <c r="G145" s="8"/>
    </row>
    <row r="146" spans="2:7">
      <c r="B146" s="8"/>
      <c r="C146" s="49"/>
      <c r="D146" s="49"/>
      <c r="E146" s="49"/>
      <c r="F146" s="8"/>
      <c r="G146" s="8"/>
    </row>
    <row r="147" spans="2:7">
      <c r="B147" s="8"/>
      <c r="C147" s="49"/>
      <c r="D147" s="49"/>
      <c r="E147" s="49"/>
      <c r="F147" s="8"/>
      <c r="G147" s="8"/>
    </row>
    <row r="148" spans="2:7">
      <c r="B148" s="8"/>
      <c r="C148" s="49"/>
      <c r="D148" s="49"/>
      <c r="E148" s="49"/>
      <c r="F148" s="8"/>
      <c r="G148" s="8"/>
    </row>
    <row r="149" spans="2:7" ht="18">
      <c r="C149" s="59"/>
      <c r="D149" s="59"/>
      <c r="E149" s="59"/>
      <c r="F149" s="59"/>
      <c r="G149" s="59"/>
    </row>
    <row r="150" spans="2:7" ht="18">
      <c r="B150" s="382" t="s">
        <v>208</v>
      </c>
      <c r="C150" s="383"/>
      <c r="D150" s="383"/>
      <c r="E150" s="383"/>
      <c r="F150" s="383"/>
      <c r="G150" s="384"/>
    </row>
    <row r="151" spans="2:7" ht="18">
      <c r="B151" s="59"/>
      <c r="C151" s="59"/>
      <c r="D151" s="59"/>
      <c r="E151" s="59"/>
      <c r="F151" s="59"/>
      <c r="G151" s="59"/>
    </row>
    <row r="152" spans="2:7" ht="18">
      <c r="B152" s="60"/>
      <c r="C152" s="385" t="s">
        <v>209</v>
      </c>
      <c r="D152" s="385"/>
      <c r="E152" s="385"/>
      <c r="F152" s="385"/>
      <c r="G152" s="385"/>
    </row>
    <row r="153" spans="2:7">
      <c r="B153" s="8"/>
      <c r="C153" s="386" t="s">
        <v>50</v>
      </c>
      <c r="D153" s="386"/>
      <c r="E153" s="386"/>
      <c r="F153" s="386"/>
      <c r="G153" s="51" t="s">
        <v>115</v>
      </c>
    </row>
    <row r="154" spans="2:7">
      <c r="B154" s="8" t="s">
        <v>52</v>
      </c>
      <c r="C154" s="375" t="s">
        <v>210</v>
      </c>
      <c r="D154" s="375"/>
      <c r="E154" s="375"/>
      <c r="F154" s="375"/>
      <c r="G154" s="25">
        <f>C144</f>
        <v>18286.330000000002</v>
      </c>
    </row>
    <row r="155" spans="2:7">
      <c r="B155" s="58" t="s">
        <v>53</v>
      </c>
      <c r="C155" s="376" t="s">
        <v>211</v>
      </c>
      <c r="D155" s="376"/>
      <c r="E155" s="376"/>
      <c r="F155" s="376"/>
      <c r="G155" s="215">
        <f>G154/21</f>
        <v>870.77761904761917</v>
      </c>
    </row>
  </sheetData>
  <mergeCells count="132">
    <mergeCell ref="C152:G152"/>
    <mergeCell ref="C153:F153"/>
    <mergeCell ref="C154:F154"/>
    <mergeCell ref="C155:F155"/>
    <mergeCell ref="C135:F135"/>
    <mergeCell ref="B136:F136"/>
    <mergeCell ref="C137:F137"/>
    <mergeCell ref="B138:F138"/>
    <mergeCell ref="B140:G140"/>
    <mergeCell ref="B150:G150"/>
    <mergeCell ref="B128:G128"/>
    <mergeCell ref="C130:F130"/>
    <mergeCell ref="C131:F131"/>
    <mergeCell ref="C132:F132"/>
    <mergeCell ref="C133:F133"/>
    <mergeCell ref="C134:F134"/>
    <mergeCell ref="C121:E121"/>
    <mergeCell ref="C122:E122"/>
    <mergeCell ref="C123:E123"/>
    <mergeCell ref="C124:E124"/>
    <mergeCell ref="C125:E125"/>
    <mergeCell ref="C126:E126"/>
    <mergeCell ref="C113:F113"/>
    <mergeCell ref="C114:F114"/>
    <mergeCell ref="B115:F115"/>
    <mergeCell ref="B117:G117"/>
    <mergeCell ref="C119:E119"/>
    <mergeCell ref="C120:E120"/>
    <mergeCell ref="B106:G106"/>
    <mergeCell ref="C108:F108"/>
    <mergeCell ref="C109:F109"/>
    <mergeCell ref="C110:F110"/>
    <mergeCell ref="C111:F111"/>
    <mergeCell ref="C112:F112"/>
    <mergeCell ref="B99:F99"/>
    <mergeCell ref="C100:F100"/>
    <mergeCell ref="C101:F101"/>
    <mergeCell ref="C102:F102"/>
    <mergeCell ref="C103:F103"/>
    <mergeCell ref="B104:F104"/>
    <mergeCell ref="C92:F92"/>
    <mergeCell ref="C93:F93"/>
    <mergeCell ref="C94:F94"/>
    <mergeCell ref="C95:F95"/>
    <mergeCell ref="B96:F96"/>
    <mergeCell ref="B98:G98"/>
    <mergeCell ref="C83:D83"/>
    <mergeCell ref="B84:E84"/>
    <mergeCell ref="C87:F87"/>
    <mergeCell ref="C88:F88"/>
    <mergeCell ref="C89:F89"/>
    <mergeCell ref="B90:F90"/>
    <mergeCell ref="B77:E77"/>
    <mergeCell ref="C78:E78"/>
    <mergeCell ref="C79:D79"/>
    <mergeCell ref="C80:D80"/>
    <mergeCell ref="C81:D81"/>
    <mergeCell ref="C82:D82"/>
    <mergeCell ref="C70:E70"/>
    <mergeCell ref="C71:E71"/>
    <mergeCell ref="C72:E72"/>
    <mergeCell ref="C73:E73"/>
    <mergeCell ref="B74:E74"/>
    <mergeCell ref="B76:G76"/>
    <mergeCell ref="C63:F63"/>
    <mergeCell ref="B64:F64"/>
    <mergeCell ref="B66:G66"/>
    <mergeCell ref="B67:E67"/>
    <mergeCell ref="C68:E68"/>
    <mergeCell ref="C69:E69"/>
    <mergeCell ref="C56:F56"/>
    <mergeCell ref="C57:F57"/>
    <mergeCell ref="C59:F59"/>
    <mergeCell ref="C60:F60"/>
    <mergeCell ref="C61:F61"/>
    <mergeCell ref="C62:F62"/>
    <mergeCell ref="B49:E49"/>
    <mergeCell ref="B51:F51"/>
    <mergeCell ref="C52:F52"/>
    <mergeCell ref="C53:F53"/>
    <mergeCell ref="C54:F54"/>
    <mergeCell ref="C55:F55"/>
    <mergeCell ref="C43:E43"/>
    <mergeCell ref="C44:E44"/>
    <mergeCell ref="C45:E45"/>
    <mergeCell ref="C46:E46"/>
    <mergeCell ref="C47:E47"/>
    <mergeCell ref="C48:E48"/>
    <mergeCell ref="C36:E36"/>
    <mergeCell ref="C37:E37"/>
    <mergeCell ref="B38:E38"/>
    <mergeCell ref="B40:E40"/>
    <mergeCell ref="C41:E41"/>
    <mergeCell ref="C42:E42"/>
    <mergeCell ref="C28:E28"/>
    <mergeCell ref="C29:E29"/>
    <mergeCell ref="C30:E30"/>
    <mergeCell ref="C31:E31"/>
    <mergeCell ref="B33:G33"/>
    <mergeCell ref="B35:E35"/>
    <mergeCell ref="D22:F22"/>
    <mergeCell ref="C23:E23"/>
    <mergeCell ref="C24:E24"/>
    <mergeCell ref="C25:E25"/>
    <mergeCell ref="C26:E26"/>
    <mergeCell ref="C27:E27"/>
    <mergeCell ref="B16:G16"/>
    <mergeCell ref="C17:F17"/>
    <mergeCell ref="C18:F18"/>
    <mergeCell ref="C19:F19"/>
    <mergeCell ref="C20:F20"/>
    <mergeCell ref="C21:F21"/>
    <mergeCell ref="B12:G12"/>
    <mergeCell ref="B13:C13"/>
    <mergeCell ref="D13:E13"/>
    <mergeCell ref="F13:G13"/>
    <mergeCell ref="B14:C14"/>
    <mergeCell ref="D14:E14"/>
    <mergeCell ref="F14:G14"/>
    <mergeCell ref="C8:E8"/>
    <mergeCell ref="F8:G8"/>
    <mergeCell ref="C9:E9"/>
    <mergeCell ref="F9:G9"/>
    <mergeCell ref="C10:E10"/>
    <mergeCell ref="F10:G10"/>
    <mergeCell ref="C1:D1"/>
    <mergeCell ref="C2:D2"/>
    <mergeCell ref="B4:G4"/>
    <mergeCell ref="C6:E6"/>
    <mergeCell ref="F6:G6"/>
    <mergeCell ref="C7:E7"/>
    <mergeCell ref="F7:G7"/>
  </mergeCells>
  <pageMargins left="0.511811024" right="0.511811024" top="0.78740157499999996" bottom="0.78740157499999996" header="0.31496062000000002" footer="0.31496062000000002"/>
  <pageSetup paperSize="0" orientation="portrait" horizontalDpi="203" verticalDpi="20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Q237"/>
  <sheetViews>
    <sheetView showGridLines="0" zoomScaleNormal="100" workbookViewId="0">
      <pane ySplit="3" topLeftCell="A201" activePane="bottomLeft" state="frozen"/>
      <selection pane="bottomLeft" activeCell="E220" sqref="E220:E221"/>
    </sheetView>
  </sheetViews>
  <sheetFormatPr defaultRowHeight="15"/>
  <cols>
    <col min="1" max="1" width="21" style="140" customWidth="1"/>
    <col min="2" max="2" width="13" style="140" customWidth="1"/>
    <col min="3" max="3" width="23.7109375" style="140" bestFit="1" customWidth="1"/>
    <col min="4" max="4" width="23.7109375" style="140" hidden="1" customWidth="1"/>
    <col min="5" max="5" width="88.7109375" style="197" customWidth="1"/>
    <col min="6" max="6" width="10.140625" style="140" customWidth="1"/>
    <col min="7" max="7" width="12.28515625" style="140" bestFit="1" customWidth="1"/>
    <col min="8" max="8" width="14" style="198" customWidth="1"/>
    <col min="9" max="9" width="14.28515625" style="198" bestFit="1" customWidth="1"/>
    <col min="10" max="10" width="13.5703125" style="140" bestFit="1" customWidth="1"/>
    <col min="11" max="11" width="15.28515625" style="1" bestFit="1" customWidth="1"/>
    <col min="12" max="12" width="14" customWidth="1"/>
    <col min="14" max="14" width="12.7109375" bestFit="1" customWidth="1"/>
    <col min="261" max="261" width="10.140625" bestFit="1" customWidth="1"/>
    <col min="262" max="262" width="47" customWidth="1"/>
    <col min="263" max="263" width="10.140625" customWidth="1"/>
    <col min="264" max="264" width="12.140625" customWidth="1"/>
    <col min="265" max="265" width="8.85546875" customWidth="1"/>
    <col min="266" max="266" width="5.85546875" customWidth="1"/>
    <col min="517" max="517" width="10.140625" bestFit="1" customWidth="1"/>
    <col min="518" max="518" width="47" customWidth="1"/>
    <col min="519" max="519" width="10.140625" customWidth="1"/>
    <col min="520" max="520" width="12.140625" customWidth="1"/>
    <col min="521" max="521" width="8.85546875" customWidth="1"/>
    <col min="522" max="522" width="5.85546875" customWidth="1"/>
    <col min="773" max="773" width="10.140625" bestFit="1" customWidth="1"/>
    <col min="774" max="774" width="47" customWidth="1"/>
    <col min="775" max="775" width="10.140625" customWidth="1"/>
    <col min="776" max="776" width="12.140625" customWidth="1"/>
    <col min="777" max="777" width="8.85546875" customWidth="1"/>
    <col min="778" max="778" width="5.85546875" customWidth="1"/>
    <col min="1029" max="1029" width="10.140625" bestFit="1" customWidth="1"/>
    <col min="1030" max="1030" width="47" customWidth="1"/>
    <col min="1031" max="1031" width="10.140625" customWidth="1"/>
    <col min="1032" max="1032" width="12.140625" customWidth="1"/>
    <col min="1033" max="1033" width="8.85546875" customWidth="1"/>
    <col min="1034" max="1034" width="5.85546875" customWidth="1"/>
    <col min="1285" max="1285" width="10.140625" bestFit="1" customWidth="1"/>
    <col min="1286" max="1286" width="47" customWidth="1"/>
    <col min="1287" max="1287" width="10.140625" customWidth="1"/>
    <col min="1288" max="1288" width="12.140625" customWidth="1"/>
    <col min="1289" max="1289" width="8.85546875" customWidth="1"/>
    <col min="1290" max="1290" width="5.85546875" customWidth="1"/>
    <col min="1541" max="1541" width="10.140625" bestFit="1" customWidth="1"/>
    <col min="1542" max="1542" width="47" customWidth="1"/>
    <col min="1543" max="1543" width="10.140625" customWidth="1"/>
    <col min="1544" max="1544" width="12.140625" customWidth="1"/>
    <col min="1545" max="1545" width="8.85546875" customWidth="1"/>
    <col min="1546" max="1546" width="5.85546875" customWidth="1"/>
    <col min="1797" max="1797" width="10.140625" bestFit="1" customWidth="1"/>
    <col min="1798" max="1798" width="47" customWidth="1"/>
    <col min="1799" max="1799" width="10.140625" customWidth="1"/>
    <col min="1800" max="1800" width="12.140625" customWidth="1"/>
    <col min="1801" max="1801" width="8.85546875" customWidth="1"/>
    <col min="1802" max="1802" width="5.85546875" customWidth="1"/>
    <col min="2053" max="2053" width="10.140625" bestFit="1" customWidth="1"/>
    <col min="2054" max="2054" width="47" customWidth="1"/>
    <col min="2055" max="2055" width="10.140625" customWidth="1"/>
    <col min="2056" max="2056" width="12.140625" customWidth="1"/>
    <col min="2057" max="2057" width="8.85546875" customWidth="1"/>
    <col min="2058" max="2058" width="5.85546875" customWidth="1"/>
    <col min="2309" max="2309" width="10.140625" bestFit="1" customWidth="1"/>
    <col min="2310" max="2310" width="47" customWidth="1"/>
    <col min="2311" max="2311" width="10.140625" customWidth="1"/>
    <col min="2312" max="2312" width="12.140625" customWidth="1"/>
    <col min="2313" max="2313" width="8.85546875" customWidth="1"/>
    <col min="2314" max="2314" width="5.85546875" customWidth="1"/>
    <col min="2565" max="2565" width="10.140625" bestFit="1" customWidth="1"/>
    <col min="2566" max="2566" width="47" customWidth="1"/>
    <col min="2567" max="2567" width="10.140625" customWidth="1"/>
    <col min="2568" max="2568" width="12.140625" customWidth="1"/>
    <col min="2569" max="2569" width="8.85546875" customWidth="1"/>
    <col min="2570" max="2570" width="5.85546875" customWidth="1"/>
    <col min="2821" max="2821" width="10.140625" bestFit="1" customWidth="1"/>
    <col min="2822" max="2822" width="47" customWidth="1"/>
    <col min="2823" max="2823" width="10.140625" customWidth="1"/>
    <col min="2824" max="2824" width="12.140625" customWidth="1"/>
    <col min="2825" max="2825" width="8.85546875" customWidth="1"/>
    <col min="2826" max="2826" width="5.85546875" customWidth="1"/>
    <col min="3077" max="3077" width="10.140625" bestFit="1" customWidth="1"/>
    <col min="3078" max="3078" width="47" customWidth="1"/>
    <col min="3079" max="3079" width="10.140625" customWidth="1"/>
    <col min="3080" max="3080" width="12.140625" customWidth="1"/>
    <col min="3081" max="3081" width="8.85546875" customWidth="1"/>
    <col min="3082" max="3082" width="5.85546875" customWidth="1"/>
    <col min="3333" max="3333" width="10.140625" bestFit="1" customWidth="1"/>
    <col min="3334" max="3334" width="47" customWidth="1"/>
    <col min="3335" max="3335" width="10.140625" customWidth="1"/>
    <col min="3336" max="3336" width="12.140625" customWidth="1"/>
    <col min="3337" max="3337" width="8.85546875" customWidth="1"/>
    <col min="3338" max="3338" width="5.85546875" customWidth="1"/>
    <col min="3589" max="3589" width="10.140625" bestFit="1" customWidth="1"/>
    <col min="3590" max="3590" width="47" customWidth="1"/>
    <col min="3591" max="3591" width="10.140625" customWidth="1"/>
    <col min="3592" max="3592" width="12.140625" customWidth="1"/>
    <col min="3593" max="3593" width="8.85546875" customWidth="1"/>
    <col min="3594" max="3594" width="5.85546875" customWidth="1"/>
    <col min="3845" max="3845" width="10.140625" bestFit="1" customWidth="1"/>
    <col min="3846" max="3846" width="47" customWidth="1"/>
    <col min="3847" max="3847" width="10.140625" customWidth="1"/>
    <col min="3848" max="3848" width="12.140625" customWidth="1"/>
    <col min="3849" max="3849" width="8.85546875" customWidth="1"/>
    <col min="3850" max="3850" width="5.85546875" customWidth="1"/>
    <col min="4101" max="4101" width="10.140625" bestFit="1" customWidth="1"/>
    <col min="4102" max="4102" width="47" customWidth="1"/>
    <col min="4103" max="4103" width="10.140625" customWidth="1"/>
    <col min="4104" max="4104" width="12.140625" customWidth="1"/>
    <col min="4105" max="4105" width="8.85546875" customWidth="1"/>
    <col min="4106" max="4106" width="5.85546875" customWidth="1"/>
    <col min="4357" max="4357" width="10.140625" bestFit="1" customWidth="1"/>
    <col min="4358" max="4358" width="47" customWidth="1"/>
    <col min="4359" max="4359" width="10.140625" customWidth="1"/>
    <col min="4360" max="4360" width="12.140625" customWidth="1"/>
    <col min="4361" max="4361" width="8.85546875" customWidth="1"/>
    <col min="4362" max="4362" width="5.85546875" customWidth="1"/>
    <col min="4613" max="4613" width="10.140625" bestFit="1" customWidth="1"/>
    <col min="4614" max="4614" width="47" customWidth="1"/>
    <col min="4615" max="4615" width="10.140625" customWidth="1"/>
    <col min="4616" max="4616" width="12.140625" customWidth="1"/>
    <col min="4617" max="4617" width="8.85546875" customWidth="1"/>
    <col min="4618" max="4618" width="5.85546875" customWidth="1"/>
    <col min="4869" max="4869" width="10.140625" bestFit="1" customWidth="1"/>
    <col min="4870" max="4870" width="47" customWidth="1"/>
    <col min="4871" max="4871" width="10.140625" customWidth="1"/>
    <col min="4872" max="4872" width="12.140625" customWidth="1"/>
    <col min="4873" max="4873" width="8.85546875" customWidth="1"/>
    <col min="4874" max="4874" width="5.85546875" customWidth="1"/>
    <col min="5125" max="5125" width="10.140625" bestFit="1" customWidth="1"/>
    <col min="5126" max="5126" width="47" customWidth="1"/>
    <col min="5127" max="5127" width="10.140625" customWidth="1"/>
    <col min="5128" max="5128" width="12.140625" customWidth="1"/>
    <col min="5129" max="5129" width="8.85546875" customWidth="1"/>
    <col min="5130" max="5130" width="5.85546875" customWidth="1"/>
    <col min="5381" max="5381" width="10.140625" bestFit="1" customWidth="1"/>
    <col min="5382" max="5382" width="47" customWidth="1"/>
    <col min="5383" max="5383" width="10.140625" customWidth="1"/>
    <col min="5384" max="5384" width="12.140625" customWidth="1"/>
    <col min="5385" max="5385" width="8.85546875" customWidth="1"/>
    <col min="5386" max="5386" width="5.85546875" customWidth="1"/>
    <col min="5637" max="5637" width="10.140625" bestFit="1" customWidth="1"/>
    <col min="5638" max="5638" width="47" customWidth="1"/>
    <col min="5639" max="5639" width="10.140625" customWidth="1"/>
    <col min="5640" max="5640" width="12.140625" customWidth="1"/>
    <col min="5641" max="5641" width="8.85546875" customWidth="1"/>
    <col min="5642" max="5642" width="5.85546875" customWidth="1"/>
    <col min="5893" max="5893" width="10.140625" bestFit="1" customWidth="1"/>
    <col min="5894" max="5894" width="47" customWidth="1"/>
    <col min="5895" max="5895" width="10.140625" customWidth="1"/>
    <col min="5896" max="5896" width="12.140625" customWidth="1"/>
    <col min="5897" max="5897" width="8.85546875" customWidth="1"/>
    <col min="5898" max="5898" width="5.85546875" customWidth="1"/>
    <col min="6149" max="6149" width="10.140625" bestFit="1" customWidth="1"/>
    <col min="6150" max="6150" width="47" customWidth="1"/>
    <col min="6151" max="6151" width="10.140625" customWidth="1"/>
    <col min="6152" max="6152" width="12.140625" customWidth="1"/>
    <col min="6153" max="6153" width="8.85546875" customWidth="1"/>
    <col min="6154" max="6154" width="5.85546875" customWidth="1"/>
    <col min="6405" max="6405" width="10.140625" bestFit="1" customWidth="1"/>
    <col min="6406" max="6406" width="47" customWidth="1"/>
    <col min="6407" max="6407" width="10.140625" customWidth="1"/>
    <col min="6408" max="6408" width="12.140625" customWidth="1"/>
    <col min="6409" max="6409" width="8.85546875" customWidth="1"/>
    <col min="6410" max="6410" width="5.85546875" customWidth="1"/>
    <col min="6661" max="6661" width="10.140625" bestFit="1" customWidth="1"/>
    <col min="6662" max="6662" width="47" customWidth="1"/>
    <col min="6663" max="6663" width="10.140625" customWidth="1"/>
    <col min="6664" max="6664" width="12.140625" customWidth="1"/>
    <col min="6665" max="6665" width="8.85546875" customWidth="1"/>
    <col min="6666" max="6666" width="5.85546875" customWidth="1"/>
    <col min="6917" max="6917" width="10.140625" bestFit="1" customWidth="1"/>
    <col min="6918" max="6918" width="47" customWidth="1"/>
    <col min="6919" max="6919" width="10.140625" customWidth="1"/>
    <col min="6920" max="6920" width="12.140625" customWidth="1"/>
    <col min="6921" max="6921" width="8.85546875" customWidth="1"/>
    <col min="6922" max="6922" width="5.85546875" customWidth="1"/>
    <col min="7173" max="7173" width="10.140625" bestFit="1" customWidth="1"/>
    <col min="7174" max="7174" width="47" customWidth="1"/>
    <col min="7175" max="7175" width="10.140625" customWidth="1"/>
    <col min="7176" max="7176" width="12.140625" customWidth="1"/>
    <col min="7177" max="7177" width="8.85546875" customWidth="1"/>
    <col min="7178" max="7178" width="5.85546875" customWidth="1"/>
    <col min="7429" max="7429" width="10.140625" bestFit="1" customWidth="1"/>
    <col min="7430" max="7430" width="47" customWidth="1"/>
    <col min="7431" max="7431" width="10.140625" customWidth="1"/>
    <col min="7432" max="7432" width="12.140625" customWidth="1"/>
    <col min="7433" max="7433" width="8.85546875" customWidth="1"/>
    <col min="7434" max="7434" width="5.85546875" customWidth="1"/>
    <col min="7685" max="7685" width="10.140625" bestFit="1" customWidth="1"/>
    <col min="7686" max="7686" width="47" customWidth="1"/>
    <col min="7687" max="7687" width="10.140625" customWidth="1"/>
    <col min="7688" max="7688" width="12.140625" customWidth="1"/>
    <col min="7689" max="7689" width="8.85546875" customWidth="1"/>
    <col min="7690" max="7690" width="5.85546875" customWidth="1"/>
    <col min="7941" max="7941" width="10.140625" bestFit="1" customWidth="1"/>
    <col min="7942" max="7942" width="47" customWidth="1"/>
    <col min="7943" max="7943" width="10.140625" customWidth="1"/>
    <col min="7944" max="7944" width="12.140625" customWidth="1"/>
    <col min="7945" max="7945" width="8.85546875" customWidth="1"/>
    <col min="7946" max="7946" width="5.85546875" customWidth="1"/>
    <col min="8197" max="8197" width="10.140625" bestFit="1" customWidth="1"/>
    <col min="8198" max="8198" width="47" customWidth="1"/>
    <col min="8199" max="8199" width="10.140625" customWidth="1"/>
    <col min="8200" max="8200" width="12.140625" customWidth="1"/>
    <col min="8201" max="8201" width="8.85546875" customWidth="1"/>
    <col min="8202" max="8202" width="5.85546875" customWidth="1"/>
    <col min="8453" max="8453" width="10.140625" bestFit="1" customWidth="1"/>
    <col min="8454" max="8454" width="47" customWidth="1"/>
    <col min="8455" max="8455" width="10.140625" customWidth="1"/>
    <col min="8456" max="8456" width="12.140625" customWidth="1"/>
    <col min="8457" max="8457" width="8.85546875" customWidth="1"/>
    <col min="8458" max="8458" width="5.85546875" customWidth="1"/>
    <col min="8709" max="8709" width="10.140625" bestFit="1" customWidth="1"/>
    <col min="8710" max="8710" width="47" customWidth="1"/>
    <col min="8711" max="8711" width="10.140625" customWidth="1"/>
    <col min="8712" max="8712" width="12.140625" customWidth="1"/>
    <col min="8713" max="8713" width="8.85546875" customWidth="1"/>
    <col min="8714" max="8714" width="5.85546875" customWidth="1"/>
    <col min="8965" max="8965" width="10.140625" bestFit="1" customWidth="1"/>
    <col min="8966" max="8966" width="47" customWidth="1"/>
    <col min="8967" max="8967" width="10.140625" customWidth="1"/>
    <col min="8968" max="8968" width="12.140625" customWidth="1"/>
    <col min="8969" max="8969" width="8.85546875" customWidth="1"/>
    <col min="8970" max="8970" width="5.85546875" customWidth="1"/>
    <col min="9221" max="9221" width="10.140625" bestFit="1" customWidth="1"/>
    <col min="9222" max="9222" width="47" customWidth="1"/>
    <col min="9223" max="9223" width="10.140625" customWidth="1"/>
    <col min="9224" max="9224" width="12.140625" customWidth="1"/>
    <col min="9225" max="9225" width="8.85546875" customWidth="1"/>
    <col min="9226" max="9226" width="5.85546875" customWidth="1"/>
    <col min="9477" max="9477" width="10.140625" bestFit="1" customWidth="1"/>
    <col min="9478" max="9478" width="47" customWidth="1"/>
    <col min="9479" max="9479" width="10.140625" customWidth="1"/>
    <col min="9480" max="9480" width="12.140625" customWidth="1"/>
    <col min="9481" max="9481" width="8.85546875" customWidth="1"/>
    <col min="9482" max="9482" width="5.85546875" customWidth="1"/>
    <col min="9733" max="9733" width="10.140625" bestFit="1" customWidth="1"/>
    <col min="9734" max="9734" width="47" customWidth="1"/>
    <col min="9735" max="9735" width="10.140625" customWidth="1"/>
    <col min="9736" max="9736" width="12.140625" customWidth="1"/>
    <col min="9737" max="9737" width="8.85546875" customWidth="1"/>
    <col min="9738" max="9738" width="5.85546875" customWidth="1"/>
    <col min="9989" max="9989" width="10.140625" bestFit="1" customWidth="1"/>
    <col min="9990" max="9990" width="47" customWidth="1"/>
    <col min="9991" max="9991" width="10.140625" customWidth="1"/>
    <col min="9992" max="9992" width="12.140625" customWidth="1"/>
    <col min="9993" max="9993" width="8.85546875" customWidth="1"/>
    <col min="9994" max="9994" width="5.85546875" customWidth="1"/>
    <col min="10245" max="10245" width="10.140625" bestFit="1" customWidth="1"/>
    <col min="10246" max="10246" width="47" customWidth="1"/>
    <col min="10247" max="10247" width="10.140625" customWidth="1"/>
    <col min="10248" max="10248" width="12.140625" customWidth="1"/>
    <col min="10249" max="10249" width="8.85546875" customWidth="1"/>
    <col min="10250" max="10250" width="5.85546875" customWidth="1"/>
    <col min="10501" max="10501" width="10.140625" bestFit="1" customWidth="1"/>
    <col min="10502" max="10502" width="47" customWidth="1"/>
    <col min="10503" max="10503" width="10.140625" customWidth="1"/>
    <col min="10504" max="10504" width="12.140625" customWidth="1"/>
    <col min="10505" max="10505" width="8.85546875" customWidth="1"/>
    <col min="10506" max="10506" width="5.85546875" customWidth="1"/>
    <col min="10757" max="10757" width="10.140625" bestFit="1" customWidth="1"/>
    <col min="10758" max="10758" width="47" customWidth="1"/>
    <col min="10759" max="10759" width="10.140625" customWidth="1"/>
    <col min="10760" max="10760" width="12.140625" customWidth="1"/>
    <col min="10761" max="10761" width="8.85546875" customWidth="1"/>
    <col min="10762" max="10762" width="5.85546875" customWidth="1"/>
    <col min="11013" max="11013" width="10.140625" bestFit="1" customWidth="1"/>
    <col min="11014" max="11014" width="47" customWidth="1"/>
    <col min="11015" max="11015" width="10.140625" customWidth="1"/>
    <col min="11016" max="11016" width="12.140625" customWidth="1"/>
    <col min="11017" max="11017" width="8.85546875" customWidth="1"/>
    <col min="11018" max="11018" width="5.85546875" customWidth="1"/>
    <col min="11269" max="11269" width="10.140625" bestFit="1" customWidth="1"/>
    <col min="11270" max="11270" width="47" customWidth="1"/>
    <col min="11271" max="11271" width="10.140625" customWidth="1"/>
    <col min="11272" max="11272" width="12.140625" customWidth="1"/>
    <col min="11273" max="11273" width="8.85546875" customWidth="1"/>
    <col min="11274" max="11274" width="5.85546875" customWidth="1"/>
    <col min="11525" max="11525" width="10.140625" bestFit="1" customWidth="1"/>
    <col min="11526" max="11526" width="47" customWidth="1"/>
    <col min="11527" max="11527" width="10.140625" customWidth="1"/>
    <col min="11528" max="11528" width="12.140625" customWidth="1"/>
    <col min="11529" max="11529" width="8.85546875" customWidth="1"/>
    <col min="11530" max="11530" width="5.85546875" customWidth="1"/>
    <col min="11781" max="11781" width="10.140625" bestFit="1" customWidth="1"/>
    <col min="11782" max="11782" width="47" customWidth="1"/>
    <col min="11783" max="11783" width="10.140625" customWidth="1"/>
    <col min="11784" max="11784" width="12.140625" customWidth="1"/>
    <col min="11785" max="11785" width="8.85546875" customWidth="1"/>
    <col min="11786" max="11786" width="5.85546875" customWidth="1"/>
    <col min="12037" max="12037" width="10.140625" bestFit="1" customWidth="1"/>
    <col min="12038" max="12038" width="47" customWidth="1"/>
    <col min="12039" max="12039" width="10.140625" customWidth="1"/>
    <col min="12040" max="12040" width="12.140625" customWidth="1"/>
    <col min="12041" max="12041" width="8.85546875" customWidth="1"/>
    <col min="12042" max="12042" width="5.85546875" customWidth="1"/>
    <col min="12293" max="12293" width="10.140625" bestFit="1" customWidth="1"/>
    <col min="12294" max="12294" width="47" customWidth="1"/>
    <col min="12295" max="12295" width="10.140625" customWidth="1"/>
    <col min="12296" max="12296" width="12.140625" customWidth="1"/>
    <col min="12297" max="12297" width="8.85546875" customWidth="1"/>
    <col min="12298" max="12298" width="5.85546875" customWidth="1"/>
    <col min="12549" max="12549" width="10.140625" bestFit="1" customWidth="1"/>
    <col min="12550" max="12550" width="47" customWidth="1"/>
    <col min="12551" max="12551" width="10.140625" customWidth="1"/>
    <col min="12552" max="12552" width="12.140625" customWidth="1"/>
    <col min="12553" max="12553" width="8.85546875" customWidth="1"/>
    <col min="12554" max="12554" width="5.85546875" customWidth="1"/>
    <col min="12805" max="12805" width="10.140625" bestFit="1" customWidth="1"/>
    <col min="12806" max="12806" width="47" customWidth="1"/>
    <col min="12807" max="12807" width="10.140625" customWidth="1"/>
    <col min="12808" max="12808" width="12.140625" customWidth="1"/>
    <col min="12809" max="12809" width="8.85546875" customWidth="1"/>
    <col min="12810" max="12810" width="5.85546875" customWidth="1"/>
    <col min="13061" max="13061" width="10.140625" bestFit="1" customWidth="1"/>
    <col min="13062" max="13062" width="47" customWidth="1"/>
    <col min="13063" max="13063" width="10.140625" customWidth="1"/>
    <col min="13064" max="13064" width="12.140625" customWidth="1"/>
    <col min="13065" max="13065" width="8.85546875" customWidth="1"/>
    <col min="13066" max="13066" width="5.85546875" customWidth="1"/>
    <col min="13317" max="13317" width="10.140625" bestFit="1" customWidth="1"/>
    <col min="13318" max="13318" width="47" customWidth="1"/>
    <col min="13319" max="13319" width="10.140625" customWidth="1"/>
    <col min="13320" max="13320" width="12.140625" customWidth="1"/>
    <col min="13321" max="13321" width="8.85546875" customWidth="1"/>
    <col min="13322" max="13322" width="5.85546875" customWidth="1"/>
    <col min="13573" max="13573" width="10.140625" bestFit="1" customWidth="1"/>
    <col min="13574" max="13574" width="47" customWidth="1"/>
    <col min="13575" max="13575" width="10.140625" customWidth="1"/>
    <col min="13576" max="13576" width="12.140625" customWidth="1"/>
    <col min="13577" max="13577" width="8.85546875" customWidth="1"/>
    <col min="13578" max="13578" width="5.85546875" customWidth="1"/>
    <col min="13829" max="13829" width="10.140625" bestFit="1" customWidth="1"/>
    <col min="13830" max="13830" width="47" customWidth="1"/>
    <col min="13831" max="13831" width="10.140625" customWidth="1"/>
    <col min="13832" max="13832" width="12.140625" customWidth="1"/>
    <col min="13833" max="13833" width="8.85546875" customWidth="1"/>
    <col min="13834" max="13834" width="5.85546875" customWidth="1"/>
    <col min="14085" max="14085" width="10.140625" bestFit="1" customWidth="1"/>
    <col min="14086" max="14086" width="47" customWidth="1"/>
    <col min="14087" max="14087" width="10.140625" customWidth="1"/>
    <col min="14088" max="14088" width="12.140625" customWidth="1"/>
    <col min="14089" max="14089" width="8.85546875" customWidth="1"/>
    <col min="14090" max="14090" width="5.85546875" customWidth="1"/>
    <col min="14341" max="14341" width="10.140625" bestFit="1" customWidth="1"/>
    <col min="14342" max="14342" width="47" customWidth="1"/>
    <col min="14343" max="14343" width="10.140625" customWidth="1"/>
    <col min="14344" max="14344" width="12.140625" customWidth="1"/>
    <col min="14345" max="14345" width="8.85546875" customWidth="1"/>
    <col min="14346" max="14346" width="5.85546875" customWidth="1"/>
    <col min="14597" max="14597" width="10.140625" bestFit="1" customWidth="1"/>
    <col min="14598" max="14598" width="47" customWidth="1"/>
    <col min="14599" max="14599" width="10.140625" customWidth="1"/>
    <col min="14600" max="14600" width="12.140625" customWidth="1"/>
    <col min="14601" max="14601" width="8.85546875" customWidth="1"/>
    <col min="14602" max="14602" width="5.85546875" customWidth="1"/>
    <col min="14853" max="14853" width="10.140625" bestFit="1" customWidth="1"/>
    <col min="14854" max="14854" width="47" customWidth="1"/>
    <col min="14855" max="14855" width="10.140625" customWidth="1"/>
    <col min="14856" max="14856" width="12.140625" customWidth="1"/>
    <col min="14857" max="14857" width="8.85546875" customWidth="1"/>
    <col min="14858" max="14858" width="5.85546875" customWidth="1"/>
    <col min="15109" max="15109" width="10.140625" bestFit="1" customWidth="1"/>
    <col min="15110" max="15110" width="47" customWidth="1"/>
    <col min="15111" max="15111" width="10.140625" customWidth="1"/>
    <col min="15112" max="15112" width="12.140625" customWidth="1"/>
    <col min="15113" max="15113" width="8.85546875" customWidth="1"/>
    <col min="15114" max="15114" width="5.85546875" customWidth="1"/>
    <col min="15365" max="15365" width="10.140625" bestFit="1" customWidth="1"/>
    <col min="15366" max="15366" width="47" customWidth="1"/>
    <col min="15367" max="15367" width="10.140625" customWidth="1"/>
    <col min="15368" max="15368" width="12.140625" customWidth="1"/>
    <col min="15369" max="15369" width="8.85546875" customWidth="1"/>
    <col min="15370" max="15370" width="5.85546875" customWidth="1"/>
    <col min="15621" max="15621" width="10.140625" bestFit="1" customWidth="1"/>
    <col min="15622" max="15622" width="47" customWidth="1"/>
    <col min="15623" max="15623" width="10.140625" customWidth="1"/>
    <col min="15624" max="15624" width="12.140625" customWidth="1"/>
    <col min="15625" max="15625" width="8.85546875" customWidth="1"/>
    <col min="15626" max="15626" width="5.85546875" customWidth="1"/>
    <col min="15877" max="15877" width="10.140625" bestFit="1" customWidth="1"/>
    <col min="15878" max="15878" width="47" customWidth="1"/>
    <col min="15879" max="15879" width="10.140625" customWidth="1"/>
    <col min="15880" max="15880" width="12.140625" customWidth="1"/>
    <col min="15881" max="15881" width="8.85546875" customWidth="1"/>
    <col min="15882" max="15882" width="5.85546875" customWidth="1"/>
    <col min="16133" max="16133" width="10.140625" bestFit="1" customWidth="1"/>
    <col min="16134" max="16134" width="47" customWidth="1"/>
    <col min="16135" max="16135" width="10.140625" customWidth="1"/>
    <col min="16136" max="16136" width="12.140625" customWidth="1"/>
    <col min="16137" max="16137" width="8.85546875" customWidth="1"/>
    <col min="16138" max="16138" width="5.85546875" customWidth="1"/>
  </cols>
  <sheetData>
    <row r="1" spans="1:17">
      <c r="A1" s="458" t="s">
        <v>215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</row>
    <row r="2" spans="1:17" ht="26.25" customHeight="1">
      <c r="A2" s="459" t="s">
        <v>216</v>
      </c>
      <c r="B2" s="459" t="s">
        <v>217</v>
      </c>
      <c r="C2" s="460" t="s">
        <v>218</v>
      </c>
      <c r="D2" s="304" t="s">
        <v>998</v>
      </c>
      <c r="E2" s="459" t="s">
        <v>219</v>
      </c>
      <c r="F2" s="459" t="s">
        <v>10</v>
      </c>
      <c r="G2" s="459" t="s">
        <v>220</v>
      </c>
      <c r="H2" s="462" t="s">
        <v>221</v>
      </c>
      <c r="I2" s="327" t="s">
        <v>222</v>
      </c>
      <c r="J2" s="463" t="s">
        <v>223</v>
      </c>
      <c r="K2" s="463" t="s">
        <v>20</v>
      </c>
    </row>
    <row r="3" spans="1:17" ht="15" customHeight="1">
      <c r="A3" s="459"/>
      <c r="B3" s="459"/>
      <c r="C3" s="461"/>
      <c r="D3" s="326"/>
      <c r="E3" s="459"/>
      <c r="F3" s="459"/>
      <c r="G3" s="459"/>
      <c r="H3" s="462"/>
      <c r="I3" s="216">
        <v>0.14019999999999999</v>
      </c>
      <c r="J3" s="463"/>
      <c r="K3" s="463"/>
      <c r="L3" t="s">
        <v>1014</v>
      </c>
    </row>
    <row r="4" spans="1:17" ht="15" customHeight="1">
      <c r="A4" s="188" t="s">
        <v>224</v>
      </c>
      <c r="B4" s="185">
        <v>1001</v>
      </c>
      <c r="C4" s="185" t="s">
        <v>225</v>
      </c>
      <c r="D4" s="185" t="s">
        <v>999</v>
      </c>
      <c r="E4" s="186" t="s">
        <v>226</v>
      </c>
      <c r="F4" s="185" t="s">
        <v>227</v>
      </c>
      <c r="G4" s="245">
        <v>50</v>
      </c>
      <c r="H4" s="187">
        <v>17.059999999999999</v>
      </c>
      <c r="I4" s="187">
        <f>H4*$I$3</f>
        <v>2.3918119999999998</v>
      </c>
      <c r="J4" s="187">
        <f>H4+I4</f>
        <v>19.451811999999997</v>
      </c>
      <c r="K4" s="241">
        <f>J4*G4</f>
        <v>972.59059999999988</v>
      </c>
      <c r="L4" s="71"/>
      <c r="M4" s="457"/>
      <c r="N4" s="457"/>
      <c r="O4" s="457"/>
      <c r="P4" s="457"/>
      <c r="Q4" s="457"/>
    </row>
    <row r="5" spans="1:17" ht="15" customHeight="1">
      <c r="A5" s="188" t="s">
        <v>224</v>
      </c>
      <c r="B5" s="185">
        <v>1002</v>
      </c>
      <c r="C5" s="185" t="s">
        <v>228</v>
      </c>
      <c r="D5" s="185" t="s">
        <v>999</v>
      </c>
      <c r="E5" s="186" t="s">
        <v>229</v>
      </c>
      <c r="F5" s="185" t="s">
        <v>227</v>
      </c>
      <c r="G5" s="245">
        <v>50</v>
      </c>
      <c r="H5" s="187">
        <v>11.9</v>
      </c>
      <c r="I5" s="187">
        <f t="shared" ref="I5:I68" si="0">H5*$I$3</f>
        <v>1.66838</v>
      </c>
      <c r="J5" s="187">
        <f>H5+I5</f>
        <v>13.568380000000001</v>
      </c>
      <c r="K5" s="241">
        <f t="shared" ref="K5:K68" si="1">J5*G5</f>
        <v>678.4190000000001</v>
      </c>
      <c r="M5" s="457"/>
      <c r="N5" s="457"/>
      <c r="O5" s="457"/>
      <c r="P5" s="457"/>
      <c r="Q5" s="457"/>
    </row>
    <row r="6" spans="1:17" ht="15" customHeight="1">
      <c r="A6" s="188" t="s">
        <v>224</v>
      </c>
      <c r="B6" s="185">
        <v>1003</v>
      </c>
      <c r="C6" s="185" t="s">
        <v>230</v>
      </c>
      <c r="D6" s="185" t="s">
        <v>999</v>
      </c>
      <c r="E6" s="186" t="s">
        <v>231</v>
      </c>
      <c r="F6" s="185" t="s">
        <v>227</v>
      </c>
      <c r="G6" s="245">
        <v>50</v>
      </c>
      <c r="H6" s="187">
        <v>8.9</v>
      </c>
      <c r="I6" s="187">
        <f t="shared" si="0"/>
        <v>1.2477799999999999</v>
      </c>
      <c r="J6" s="187">
        <f>H6+I6</f>
        <v>10.147780000000001</v>
      </c>
      <c r="K6" s="241">
        <f t="shared" si="1"/>
        <v>507.38900000000007</v>
      </c>
      <c r="M6" s="457"/>
      <c r="N6" s="457"/>
      <c r="O6" s="457"/>
      <c r="P6" s="457"/>
      <c r="Q6" s="457"/>
    </row>
    <row r="7" spans="1:17" ht="15" customHeight="1">
      <c r="A7" s="188" t="s">
        <v>224</v>
      </c>
      <c r="B7" s="185">
        <v>1004</v>
      </c>
      <c r="C7" s="185" t="s">
        <v>232</v>
      </c>
      <c r="D7" s="185" t="s">
        <v>999</v>
      </c>
      <c r="E7" s="186" t="s">
        <v>233</v>
      </c>
      <c r="F7" s="185" t="s">
        <v>227</v>
      </c>
      <c r="G7" s="245">
        <v>50</v>
      </c>
      <c r="H7" s="187">
        <v>7.73</v>
      </c>
      <c r="I7" s="187">
        <f t="shared" si="0"/>
        <v>1.0837460000000001</v>
      </c>
      <c r="J7" s="187">
        <f>H7+I7</f>
        <v>8.8137460000000001</v>
      </c>
      <c r="K7" s="241">
        <f t="shared" si="1"/>
        <v>440.68729999999999</v>
      </c>
      <c r="M7" s="457"/>
      <c r="N7" s="457"/>
      <c r="O7" s="457"/>
      <c r="P7" s="457"/>
      <c r="Q7" s="457"/>
    </row>
    <row r="8" spans="1:17" ht="25.5" customHeight="1">
      <c r="A8" s="188" t="s">
        <v>224</v>
      </c>
      <c r="B8" s="185">
        <v>1005</v>
      </c>
      <c r="C8" s="185" t="s">
        <v>234</v>
      </c>
      <c r="D8" s="185" t="s">
        <v>999</v>
      </c>
      <c r="E8" s="186" t="s">
        <v>235</v>
      </c>
      <c r="F8" s="185" t="s">
        <v>227</v>
      </c>
      <c r="G8" s="245">
        <v>10</v>
      </c>
      <c r="H8" s="187">
        <v>187.53</v>
      </c>
      <c r="I8" s="187">
        <f t="shared" si="0"/>
        <v>26.291705999999998</v>
      </c>
      <c r="J8" s="187">
        <f>H8+I8</f>
        <v>213.82170600000001</v>
      </c>
      <c r="K8" s="241">
        <f t="shared" si="1"/>
        <v>2138.2170599999999</v>
      </c>
      <c r="M8" s="457"/>
      <c r="N8" s="457"/>
      <c r="O8" s="457"/>
      <c r="P8" s="457"/>
      <c r="Q8" s="457"/>
    </row>
    <row r="9" spans="1:17" ht="15" customHeight="1">
      <c r="A9" s="188" t="s">
        <v>224</v>
      </c>
      <c r="B9" s="185">
        <v>1006</v>
      </c>
      <c r="C9" s="185" t="s">
        <v>236</v>
      </c>
      <c r="D9" s="185" t="s">
        <v>999</v>
      </c>
      <c r="E9" s="186" t="s">
        <v>237</v>
      </c>
      <c r="F9" s="185" t="s">
        <v>227</v>
      </c>
      <c r="G9" s="245">
        <v>5</v>
      </c>
      <c r="H9" s="187">
        <v>12.21</v>
      </c>
      <c r="I9" s="187">
        <f t="shared" si="0"/>
        <v>1.7118420000000001</v>
      </c>
      <c r="J9" s="187">
        <f t="shared" ref="J9:J72" si="2">H9+I9</f>
        <v>13.921842000000002</v>
      </c>
      <c r="K9" s="241">
        <f t="shared" si="1"/>
        <v>69.609210000000004</v>
      </c>
      <c r="M9" s="457"/>
      <c r="N9" s="457"/>
      <c r="O9" s="457"/>
      <c r="P9" s="457"/>
      <c r="Q9" s="457"/>
    </row>
    <row r="10" spans="1:17" ht="15" customHeight="1">
      <c r="A10" s="188" t="s">
        <v>224</v>
      </c>
      <c r="B10" s="185">
        <v>1007</v>
      </c>
      <c r="C10" s="185" t="s">
        <v>238</v>
      </c>
      <c r="D10" s="185" t="s">
        <v>999</v>
      </c>
      <c r="E10" s="186" t="s">
        <v>239</v>
      </c>
      <c r="F10" s="185" t="s">
        <v>227</v>
      </c>
      <c r="G10" s="245">
        <v>5</v>
      </c>
      <c r="H10" s="187">
        <v>47.22</v>
      </c>
      <c r="I10" s="187">
        <f t="shared" si="0"/>
        <v>6.6202439999999996</v>
      </c>
      <c r="J10" s="187">
        <f t="shared" si="2"/>
        <v>53.840243999999998</v>
      </c>
      <c r="K10" s="241">
        <f t="shared" si="1"/>
        <v>269.20121999999998</v>
      </c>
      <c r="M10" s="457"/>
      <c r="N10" s="457"/>
      <c r="O10" s="457"/>
      <c r="P10" s="457"/>
      <c r="Q10" s="457"/>
    </row>
    <row r="11" spans="1:17" ht="15" customHeight="1">
      <c r="A11" s="188" t="s">
        <v>224</v>
      </c>
      <c r="B11" s="185">
        <v>1008</v>
      </c>
      <c r="C11" s="185" t="s">
        <v>240</v>
      </c>
      <c r="D11" s="185" t="s">
        <v>999</v>
      </c>
      <c r="E11" s="186" t="s">
        <v>241</v>
      </c>
      <c r="F11" s="185" t="s">
        <v>227</v>
      </c>
      <c r="G11" s="245">
        <v>5</v>
      </c>
      <c r="H11" s="187">
        <v>46.5</v>
      </c>
      <c r="I11" s="187">
        <f t="shared" si="0"/>
        <v>6.5192999999999994</v>
      </c>
      <c r="J11" s="187">
        <f t="shared" si="2"/>
        <v>53.019300000000001</v>
      </c>
      <c r="K11" s="241">
        <f t="shared" si="1"/>
        <v>265.09649999999999</v>
      </c>
    </row>
    <row r="12" spans="1:17" ht="15" customHeight="1">
      <c r="A12" s="188" t="s">
        <v>224</v>
      </c>
      <c r="B12" s="185">
        <v>1009</v>
      </c>
      <c r="C12" s="185" t="s">
        <v>242</v>
      </c>
      <c r="D12" s="185" t="s">
        <v>999</v>
      </c>
      <c r="E12" s="186" t="s">
        <v>243</v>
      </c>
      <c r="F12" s="185" t="s">
        <v>227</v>
      </c>
      <c r="G12" s="245">
        <v>5</v>
      </c>
      <c r="H12" s="187">
        <v>66.599999999999994</v>
      </c>
      <c r="I12" s="187">
        <f t="shared" si="0"/>
        <v>9.3373199999999983</v>
      </c>
      <c r="J12" s="187">
        <f t="shared" si="2"/>
        <v>75.93732</v>
      </c>
      <c r="K12" s="241">
        <f t="shared" si="1"/>
        <v>379.6866</v>
      </c>
    </row>
    <row r="13" spans="1:17" ht="15" customHeight="1">
      <c r="A13" s="188" t="s">
        <v>224</v>
      </c>
      <c r="B13" s="185">
        <v>1010</v>
      </c>
      <c r="C13" s="185" t="s">
        <v>244</v>
      </c>
      <c r="D13" s="185" t="s">
        <v>999</v>
      </c>
      <c r="E13" s="186" t="s">
        <v>245</v>
      </c>
      <c r="F13" s="185" t="s">
        <v>227</v>
      </c>
      <c r="G13" s="245">
        <v>5</v>
      </c>
      <c r="H13" s="187">
        <v>8.24</v>
      </c>
      <c r="I13" s="187">
        <f t="shared" si="0"/>
        <v>1.1552480000000001</v>
      </c>
      <c r="J13" s="187">
        <f t="shared" si="2"/>
        <v>9.3952480000000005</v>
      </c>
      <c r="K13" s="241">
        <f t="shared" si="1"/>
        <v>46.976240000000004</v>
      </c>
    </row>
    <row r="14" spans="1:17" ht="15" customHeight="1">
      <c r="A14" s="188" t="s">
        <v>224</v>
      </c>
      <c r="B14" s="185">
        <v>1011</v>
      </c>
      <c r="C14" s="185" t="s">
        <v>246</v>
      </c>
      <c r="D14" s="185" t="s">
        <v>999</v>
      </c>
      <c r="E14" s="186" t="s">
        <v>247</v>
      </c>
      <c r="F14" s="185" t="s">
        <v>227</v>
      </c>
      <c r="G14" s="245">
        <v>5</v>
      </c>
      <c r="H14" s="187">
        <v>14.93</v>
      </c>
      <c r="I14" s="187">
        <f t="shared" si="0"/>
        <v>2.0931859999999998</v>
      </c>
      <c r="J14" s="187">
        <f t="shared" si="2"/>
        <v>17.023185999999999</v>
      </c>
      <c r="K14" s="241">
        <f t="shared" si="1"/>
        <v>85.115929999999992</v>
      </c>
    </row>
    <row r="15" spans="1:17" ht="15" customHeight="1">
      <c r="A15" s="188" t="s">
        <v>224</v>
      </c>
      <c r="B15" s="185">
        <v>1012</v>
      </c>
      <c r="C15" s="185" t="s">
        <v>248</v>
      </c>
      <c r="D15" s="185" t="s">
        <v>999</v>
      </c>
      <c r="E15" s="186" t="s">
        <v>249</v>
      </c>
      <c r="F15" s="185" t="s">
        <v>227</v>
      </c>
      <c r="G15" s="245">
        <v>5</v>
      </c>
      <c r="H15" s="187">
        <v>57.86</v>
      </c>
      <c r="I15" s="187">
        <f t="shared" si="0"/>
        <v>8.1119719999999997</v>
      </c>
      <c r="J15" s="187">
        <f t="shared" si="2"/>
        <v>65.971971999999994</v>
      </c>
      <c r="K15" s="241">
        <f t="shared" si="1"/>
        <v>329.85985999999997</v>
      </c>
    </row>
    <row r="16" spans="1:17" ht="15" customHeight="1">
      <c r="A16" s="188" t="s">
        <v>224</v>
      </c>
      <c r="B16" s="185">
        <v>1013</v>
      </c>
      <c r="C16" s="185" t="s">
        <v>250</v>
      </c>
      <c r="D16" s="185" t="s">
        <v>999</v>
      </c>
      <c r="E16" s="186" t="s">
        <v>251</v>
      </c>
      <c r="F16" s="185" t="s">
        <v>227</v>
      </c>
      <c r="G16" s="245">
        <v>5</v>
      </c>
      <c r="H16" s="187">
        <v>69.099999999999994</v>
      </c>
      <c r="I16" s="187">
        <f t="shared" si="0"/>
        <v>9.6878199999999985</v>
      </c>
      <c r="J16" s="187">
        <f t="shared" si="2"/>
        <v>78.787819999999996</v>
      </c>
      <c r="K16" s="241">
        <f t="shared" si="1"/>
        <v>393.9391</v>
      </c>
    </row>
    <row r="17" spans="1:11" ht="15" customHeight="1">
      <c r="A17" s="188" t="s">
        <v>224</v>
      </c>
      <c r="B17" s="185">
        <v>1014</v>
      </c>
      <c r="C17" s="185" t="s">
        <v>252</v>
      </c>
      <c r="D17" s="185" t="s">
        <v>999</v>
      </c>
      <c r="E17" s="186" t="s">
        <v>253</v>
      </c>
      <c r="F17" s="185" t="s">
        <v>227</v>
      </c>
      <c r="G17" s="245">
        <v>2</v>
      </c>
      <c r="H17" s="187">
        <v>315.58999999999997</v>
      </c>
      <c r="I17" s="187">
        <f t="shared" si="0"/>
        <v>44.245717999999997</v>
      </c>
      <c r="J17" s="187">
        <f t="shared" si="2"/>
        <v>359.83571799999999</v>
      </c>
      <c r="K17" s="241">
        <f t="shared" si="1"/>
        <v>719.67143599999997</v>
      </c>
    </row>
    <row r="18" spans="1:11" ht="15" customHeight="1">
      <c r="A18" s="188" t="s">
        <v>224</v>
      </c>
      <c r="B18" s="185">
        <v>1015</v>
      </c>
      <c r="C18" s="185" t="s">
        <v>254</v>
      </c>
      <c r="D18" s="185" t="s">
        <v>999</v>
      </c>
      <c r="E18" s="186" t="s">
        <v>255</v>
      </c>
      <c r="F18" s="185" t="s">
        <v>227</v>
      </c>
      <c r="G18" s="245">
        <v>2</v>
      </c>
      <c r="H18" s="187">
        <v>358.03</v>
      </c>
      <c r="I18" s="187">
        <f t="shared" si="0"/>
        <v>50.19580599999999</v>
      </c>
      <c r="J18" s="187">
        <f t="shared" si="2"/>
        <v>408.22580599999998</v>
      </c>
      <c r="K18" s="241">
        <f t="shared" si="1"/>
        <v>816.45161199999995</v>
      </c>
    </row>
    <row r="19" spans="1:11" ht="25.5" customHeight="1">
      <c r="A19" s="188" t="s">
        <v>224</v>
      </c>
      <c r="B19" s="185">
        <v>1016</v>
      </c>
      <c r="C19" s="185" t="s">
        <v>256</v>
      </c>
      <c r="D19" s="185" t="s">
        <v>999</v>
      </c>
      <c r="E19" s="186" t="s">
        <v>257</v>
      </c>
      <c r="F19" s="185" t="s">
        <v>227</v>
      </c>
      <c r="G19" s="245">
        <v>1</v>
      </c>
      <c r="H19" s="187">
        <v>506.64</v>
      </c>
      <c r="I19" s="187">
        <f t="shared" si="0"/>
        <v>71.030927999999989</v>
      </c>
      <c r="J19" s="187">
        <f t="shared" si="2"/>
        <v>577.670928</v>
      </c>
      <c r="K19" s="241">
        <f t="shared" si="1"/>
        <v>577.670928</v>
      </c>
    </row>
    <row r="20" spans="1:11" ht="25.5" customHeight="1">
      <c r="A20" s="188" t="s">
        <v>224</v>
      </c>
      <c r="B20" s="185">
        <v>1017</v>
      </c>
      <c r="C20" s="185" t="s">
        <v>258</v>
      </c>
      <c r="D20" s="185" t="s">
        <v>999</v>
      </c>
      <c r="E20" s="186" t="s">
        <v>259</v>
      </c>
      <c r="F20" s="185" t="s">
        <v>227</v>
      </c>
      <c r="G20" s="245">
        <v>1</v>
      </c>
      <c r="H20" s="187">
        <v>683.99</v>
      </c>
      <c r="I20" s="187">
        <f t="shared" si="0"/>
        <v>95.895398</v>
      </c>
      <c r="J20" s="187">
        <f t="shared" si="2"/>
        <v>779.88539800000001</v>
      </c>
      <c r="K20" s="241">
        <f t="shared" si="1"/>
        <v>779.88539800000001</v>
      </c>
    </row>
    <row r="21" spans="1:11" ht="25.5" customHeight="1">
      <c r="A21" s="188" t="s">
        <v>224</v>
      </c>
      <c r="B21" s="185">
        <v>1018</v>
      </c>
      <c r="C21" s="185" t="s">
        <v>260</v>
      </c>
      <c r="D21" s="185" t="s">
        <v>999</v>
      </c>
      <c r="E21" s="186" t="s">
        <v>261</v>
      </c>
      <c r="F21" s="185" t="s">
        <v>227</v>
      </c>
      <c r="G21" s="245">
        <v>1</v>
      </c>
      <c r="H21" s="187">
        <v>718.81</v>
      </c>
      <c r="I21" s="187">
        <f t="shared" si="0"/>
        <v>100.77716199999999</v>
      </c>
      <c r="J21" s="187">
        <f t="shared" si="2"/>
        <v>819.58716199999992</v>
      </c>
      <c r="K21" s="241">
        <f t="shared" si="1"/>
        <v>819.58716199999992</v>
      </c>
    </row>
    <row r="22" spans="1:11" ht="25.5" customHeight="1">
      <c r="A22" s="188" t="s">
        <v>224</v>
      </c>
      <c r="B22" s="185">
        <v>1019</v>
      </c>
      <c r="C22" s="185" t="s">
        <v>262</v>
      </c>
      <c r="D22" s="185" t="s">
        <v>999</v>
      </c>
      <c r="E22" s="186" t="s">
        <v>263</v>
      </c>
      <c r="F22" s="185" t="s">
        <v>227</v>
      </c>
      <c r="G22" s="245">
        <v>1</v>
      </c>
      <c r="H22" s="187">
        <v>633.05999999999995</v>
      </c>
      <c r="I22" s="187">
        <f t="shared" si="0"/>
        <v>88.755011999999994</v>
      </c>
      <c r="J22" s="187">
        <f t="shared" si="2"/>
        <v>721.81501199999991</v>
      </c>
      <c r="K22" s="241">
        <f t="shared" si="1"/>
        <v>721.81501199999991</v>
      </c>
    </row>
    <row r="23" spans="1:11" ht="25.5" customHeight="1">
      <c r="A23" s="188" t="s">
        <v>224</v>
      </c>
      <c r="B23" s="185">
        <v>1020</v>
      </c>
      <c r="C23" s="185" t="s">
        <v>264</v>
      </c>
      <c r="D23" s="185" t="s">
        <v>999</v>
      </c>
      <c r="E23" s="186" t="s">
        <v>265</v>
      </c>
      <c r="F23" s="185" t="s">
        <v>227</v>
      </c>
      <c r="G23" s="245">
        <v>1</v>
      </c>
      <c r="H23" s="187">
        <v>585.38</v>
      </c>
      <c r="I23" s="187">
        <f t="shared" si="0"/>
        <v>82.070275999999993</v>
      </c>
      <c r="J23" s="187">
        <f t="shared" si="2"/>
        <v>667.45027600000003</v>
      </c>
      <c r="K23" s="241">
        <f t="shared" si="1"/>
        <v>667.45027600000003</v>
      </c>
    </row>
    <row r="24" spans="1:11" ht="15" customHeight="1">
      <c r="A24" s="188" t="s">
        <v>224</v>
      </c>
      <c r="B24" s="185">
        <v>1021</v>
      </c>
      <c r="C24" s="185" t="s">
        <v>266</v>
      </c>
      <c r="D24" s="185" t="s">
        <v>999</v>
      </c>
      <c r="E24" s="186" t="s">
        <v>267</v>
      </c>
      <c r="F24" s="185" t="s">
        <v>268</v>
      </c>
      <c r="G24" s="245">
        <v>400</v>
      </c>
      <c r="H24" s="187">
        <v>2</v>
      </c>
      <c r="I24" s="187">
        <f t="shared" si="0"/>
        <v>0.28039999999999998</v>
      </c>
      <c r="J24" s="187">
        <f t="shared" si="2"/>
        <v>2.2804000000000002</v>
      </c>
      <c r="K24" s="241">
        <f t="shared" si="1"/>
        <v>912.16000000000008</v>
      </c>
    </row>
    <row r="25" spans="1:11" ht="25.5" customHeight="1">
      <c r="A25" s="188" t="s">
        <v>224</v>
      </c>
      <c r="B25" s="185">
        <v>1022</v>
      </c>
      <c r="C25" s="185" t="s">
        <v>269</v>
      </c>
      <c r="D25" s="185" t="s">
        <v>999</v>
      </c>
      <c r="E25" s="186" t="s">
        <v>270</v>
      </c>
      <c r="F25" s="185" t="s">
        <v>268</v>
      </c>
      <c r="G25" s="245">
        <v>200</v>
      </c>
      <c r="H25" s="187">
        <v>1.54</v>
      </c>
      <c r="I25" s="187">
        <f t="shared" si="0"/>
        <v>0.21590799999999999</v>
      </c>
      <c r="J25" s="187">
        <f t="shared" si="2"/>
        <v>1.755908</v>
      </c>
      <c r="K25" s="241">
        <f t="shared" si="1"/>
        <v>351.1816</v>
      </c>
    </row>
    <row r="26" spans="1:11" ht="25.5" customHeight="1">
      <c r="A26" s="188" t="s">
        <v>224</v>
      </c>
      <c r="B26" s="185">
        <v>1023</v>
      </c>
      <c r="C26" s="185" t="s">
        <v>271</v>
      </c>
      <c r="D26" s="185" t="s">
        <v>999</v>
      </c>
      <c r="E26" s="186" t="s">
        <v>272</v>
      </c>
      <c r="F26" s="185" t="s">
        <v>268</v>
      </c>
      <c r="G26" s="245">
        <v>200</v>
      </c>
      <c r="H26" s="187">
        <v>2.4500000000000002</v>
      </c>
      <c r="I26" s="187">
        <f t="shared" si="0"/>
        <v>0.34349000000000002</v>
      </c>
      <c r="J26" s="187">
        <f t="shared" si="2"/>
        <v>2.7934900000000003</v>
      </c>
      <c r="K26" s="241">
        <f t="shared" si="1"/>
        <v>558.69800000000009</v>
      </c>
    </row>
    <row r="27" spans="1:11" ht="25.5" customHeight="1">
      <c r="A27" s="188" t="s">
        <v>224</v>
      </c>
      <c r="B27" s="185">
        <v>1024</v>
      </c>
      <c r="C27" s="185" t="s">
        <v>273</v>
      </c>
      <c r="D27" s="185" t="s">
        <v>999</v>
      </c>
      <c r="E27" s="186" t="s">
        <v>274</v>
      </c>
      <c r="F27" s="185" t="s">
        <v>268</v>
      </c>
      <c r="G27" s="245">
        <v>100</v>
      </c>
      <c r="H27" s="187">
        <v>4.38</v>
      </c>
      <c r="I27" s="187">
        <f t="shared" si="0"/>
        <v>0.61407599999999996</v>
      </c>
      <c r="J27" s="187">
        <f t="shared" si="2"/>
        <v>4.9940759999999997</v>
      </c>
      <c r="K27" s="241">
        <f t="shared" si="1"/>
        <v>499.4076</v>
      </c>
    </row>
    <row r="28" spans="1:11" ht="15" customHeight="1">
      <c r="A28" s="188" t="s">
        <v>224</v>
      </c>
      <c r="B28" s="185">
        <v>1025</v>
      </c>
      <c r="C28" s="185" t="s">
        <v>275</v>
      </c>
      <c r="D28" s="185" t="s">
        <v>999</v>
      </c>
      <c r="E28" s="186" t="s">
        <v>276</v>
      </c>
      <c r="F28" s="185" t="s">
        <v>227</v>
      </c>
      <c r="G28" s="245">
        <v>20</v>
      </c>
      <c r="H28" s="187">
        <v>1.94</v>
      </c>
      <c r="I28" s="187">
        <f t="shared" si="0"/>
        <v>0.27198799999999995</v>
      </c>
      <c r="J28" s="187">
        <f t="shared" si="2"/>
        <v>2.2119879999999998</v>
      </c>
      <c r="K28" s="241">
        <f t="shared" si="1"/>
        <v>44.239759999999997</v>
      </c>
    </row>
    <row r="29" spans="1:11" ht="15" customHeight="1">
      <c r="A29" s="188" t="s">
        <v>224</v>
      </c>
      <c r="B29" s="185">
        <v>1026</v>
      </c>
      <c r="C29" s="185" t="s">
        <v>277</v>
      </c>
      <c r="D29" s="185" t="s">
        <v>999</v>
      </c>
      <c r="E29" s="186" t="s">
        <v>278</v>
      </c>
      <c r="F29" s="185" t="s">
        <v>227</v>
      </c>
      <c r="G29" s="245">
        <v>20</v>
      </c>
      <c r="H29" s="187">
        <v>3.86</v>
      </c>
      <c r="I29" s="187">
        <f t="shared" si="0"/>
        <v>0.54117199999999999</v>
      </c>
      <c r="J29" s="187">
        <f t="shared" si="2"/>
        <v>4.4011719999999999</v>
      </c>
      <c r="K29" s="241">
        <f t="shared" si="1"/>
        <v>88.023439999999994</v>
      </c>
    </row>
    <row r="30" spans="1:11" ht="36.75" customHeight="1">
      <c r="A30" s="188" t="s">
        <v>224</v>
      </c>
      <c r="B30" s="185">
        <v>1027</v>
      </c>
      <c r="C30" s="275" t="s">
        <v>279</v>
      </c>
      <c r="D30" s="185" t="s">
        <v>999</v>
      </c>
      <c r="E30" s="186" t="s">
        <v>280</v>
      </c>
      <c r="F30" s="185" t="s">
        <v>227</v>
      </c>
      <c r="G30" s="245">
        <v>20</v>
      </c>
      <c r="H30" s="187">
        <v>12.59</v>
      </c>
      <c r="I30" s="187">
        <f t="shared" si="0"/>
        <v>1.765118</v>
      </c>
      <c r="J30" s="187">
        <f t="shared" si="2"/>
        <v>14.355117999999999</v>
      </c>
      <c r="K30" s="241">
        <f t="shared" si="1"/>
        <v>287.10235999999998</v>
      </c>
    </row>
    <row r="31" spans="1:11" ht="28.5" customHeight="1">
      <c r="A31" s="188" t="s">
        <v>224</v>
      </c>
      <c r="B31" s="185">
        <v>1028</v>
      </c>
      <c r="C31" s="275" t="s">
        <v>281</v>
      </c>
      <c r="D31" s="185" t="s">
        <v>999</v>
      </c>
      <c r="E31" s="186" t="s">
        <v>282</v>
      </c>
      <c r="F31" s="185" t="s">
        <v>227</v>
      </c>
      <c r="G31" s="245">
        <v>10</v>
      </c>
      <c r="H31" s="187">
        <v>15.05</v>
      </c>
      <c r="I31" s="187">
        <f t="shared" si="0"/>
        <v>2.1100099999999999</v>
      </c>
      <c r="J31" s="187">
        <f t="shared" si="2"/>
        <v>17.16001</v>
      </c>
      <c r="K31" s="241">
        <f t="shared" si="1"/>
        <v>171.6001</v>
      </c>
    </row>
    <row r="32" spans="1:11" ht="31.5" customHeight="1">
      <c r="A32" s="188" t="s">
        <v>224</v>
      </c>
      <c r="B32" s="185">
        <v>1029</v>
      </c>
      <c r="C32" s="275" t="s">
        <v>283</v>
      </c>
      <c r="D32" s="185" t="s">
        <v>999</v>
      </c>
      <c r="E32" s="186" t="s">
        <v>284</v>
      </c>
      <c r="F32" s="185" t="s">
        <v>227</v>
      </c>
      <c r="G32" s="245">
        <v>20</v>
      </c>
      <c r="H32" s="187">
        <v>6.13</v>
      </c>
      <c r="I32" s="187">
        <f t="shared" si="0"/>
        <v>0.85942599999999991</v>
      </c>
      <c r="J32" s="187">
        <f t="shared" si="2"/>
        <v>6.9894259999999999</v>
      </c>
      <c r="K32" s="241">
        <f t="shared" si="1"/>
        <v>139.78852000000001</v>
      </c>
    </row>
    <row r="33" spans="1:11" ht="25.5" customHeight="1">
      <c r="A33" s="188" t="s">
        <v>224</v>
      </c>
      <c r="B33" s="185">
        <v>1030</v>
      </c>
      <c r="C33" s="185" t="s">
        <v>285</v>
      </c>
      <c r="D33" s="185" t="s">
        <v>999</v>
      </c>
      <c r="E33" s="186" t="s">
        <v>286</v>
      </c>
      <c r="F33" s="185" t="s">
        <v>227</v>
      </c>
      <c r="G33" s="245">
        <v>3</v>
      </c>
      <c r="H33" s="187">
        <v>185.08</v>
      </c>
      <c r="I33" s="187">
        <f t="shared" si="0"/>
        <v>25.948215999999999</v>
      </c>
      <c r="J33" s="187">
        <f t="shared" si="2"/>
        <v>211.02821600000001</v>
      </c>
      <c r="K33" s="241">
        <f t="shared" si="1"/>
        <v>633.08464800000002</v>
      </c>
    </row>
    <row r="34" spans="1:11" ht="25.5" customHeight="1">
      <c r="A34" s="188" t="s">
        <v>224</v>
      </c>
      <c r="B34" s="185">
        <v>1031</v>
      </c>
      <c r="C34" s="185" t="s">
        <v>287</v>
      </c>
      <c r="D34" s="185" t="s">
        <v>999</v>
      </c>
      <c r="E34" s="186" t="s">
        <v>288</v>
      </c>
      <c r="F34" s="185" t="s">
        <v>227</v>
      </c>
      <c r="G34" s="245">
        <v>3</v>
      </c>
      <c r="H34" s="187">
        <v>226.95</v>
      </c>
      <c r="I34" s="187">
        <f t="shared" si="0"/>
        <v>31.818389999999997</v>
      </c>
      <c r="J34" s="187">
        <f t="shared" si="2"/>
        <v>258.76839000000001</v>
      </c>
      <c r="K34" s="241">
        <f t="shared" si="1"/>
        <v>776.30517000000009</v>
      </c>
    </row>
    <row r="35" spans="1:11" ht="15" customHeight="1">
      <c r="A35" s="188" t="s">
        <v>224</v>
      </c>
      <c r="B35" s="185">
        <v>1032</v>
      </c>
      <c r="C35" s="185" t="s">
        <v>289</v>
      </c>
      <c r="D35" s="185" t="s">
        <v>999</v>
      </c>
      <c r="E35" s="186" t="s">
        <v>290</v>
      </c>
      <c r="F35" s="185" t="s">
        <v>268</v>
      </c>
      <c r="G35" s="245">
        <v>100</v>
      </c>
      <c r="H35" s="187">
        <v>3.39</v>
      </c>
      <c r="I35" s="187">
        <f t="shared" si="0"/>
        <v>0.47527799999999998</v>
      </c>
      <c r="J35" s="187">
        <f t="shared" si="2"/>
        <v>3.865278</v>
      </c>
      <c r="K35" s="241">
        <f t="shared" si="1"/>
        <v>386.52780000000001</v>
      </c>
    </row>
    <row r="36" spans="1:11" ht="25.5">
      <c r="A36" s="188" t="s">
        <v>224</v>
      </c>
      <c r="B36" s="185">
        <v>1033</v>
      </c>
      <c r="C36" s="235" t="s">
        <v>291</v>
      </c>
      <c r="D36" s="235" t="s">
        <v>291</v>
      </c>
      <c r="E36" s="186" t="s">
        <v>292</v>
      </c>
      <c r="F36" s="185" t="s">
        <v>227</v>
      </c>
      <c r="G36" s="245">
        <v>30</v>
      </c>
      <c r="H36" s="187">
        <f>[2]MERCADO!M6</f>
        <v>10.15</v>
      </c>
      <c r="I36" s="187">
        <f t="shared" si="0"/>
        <v>1.42303</v>
      </c>
      <c r="J36" s="187">
        <f t="shared" si="2"/>
        <v>11.573030000000001</v>
      </c>
      <c r="K36" s="241">
        <f t="shared" si="1"/>
        <v>347.19090000000006</v>
      </c>
    </row>
    <row r="37" spans="1:11" ht="25.5" customHeight="1">
      <c r="A37" s="188" t="s">
        <v>224</v>
      </c>
      <c r="B37" s="185">
        <v>1034</v>
      </c>
      <c r="C37" s="275" t="s">
        <v>293</v>
      </c>
      <c r="D37" s="185" t="s">
        <v>999</v>
      </c>
      <c r="E37" s="186" t="s">
        <v>294</v>
      </c>
      <c r="F37" s="185" t="s">
        <v>227</v>
      </c>
      <c r="G37" s="245">
        <v>10</v>
      </c>
      <c r="H37" s="187">
        <v>15.51</v>
      </c>
      <c r="I37" s="187">
        <f t="shared" si="0"/>
        <v>2.1745019999999999</v>
      </c>
      <c r="J37" s="187">
        <f t="shared" si="2"/>
        <v>17.684501999999998</v>
      </c>
      <c r="K37" s="241">
        <f t="shared" si="1"/>
        <v>176.84501999999998</v>
      </c>
    </row>
    <row r="38" spans="1:11" ht="15" customHeight="1">
      <c r="A38" s="188" t="s">
        <v>224</v>
      </c>
      <c r="B38" s="185">
        <v>1035</v>
      </c>
      <c r="C38" s="185" t="s">
        <v>295</v>
      </c>
      <c r="D38" s="185" t="s">
        <v>999</v>
      </c>
      <c r="E38" s="186" t="s">
        <v>296</v>
      </c>
      <c r="F38" s="185" t="s">
        <v>227</v>
      </c>
      <c r="G38" s="245">
        <v>10</v>
      </c>
      <c r="H38" s="187">
        <v>8.6999999999999993</v>
      </c>
      <c r="I38" s="187">
        <f t="shared" si="0"/>
        <v>1.2197399999999998</v>
      </c>
      <c r="J38" s="187">
        <f t="shared" si="2"/>
        <v>9.9197399999999991</v>
      </c>
      <c r="K38" s="241">
        <f t="shared" si="1"/>
        <v>99.197399999999988</v>
      </c>
    </row>
    <row r="39" spans="1:11" ht="15" customHeight="1">
      <c r="A39" s="188" t="s">
        <v>224</v>
      </c>
      <c r="B39" s="185">
        <v>1036</v>
      </c>
      <c r="C39" s="185" t="s">
        <v>297</v>
      </c>
      <c r="D39" s="185" t="s">
        <v>999</v>
      </c>
      <c r="E39" s="186" t="s">
        <v>298</v>
      </c>
      <c r="F39" s="185" t="s">
        <v>227</v>
      </c>
      <c r="G39" s="245">
        <v>10</v>
      </c>
      <c r="H39" s="187">
        <v>6.8</v>
      </c>
      <c r="I39" s="187">
        <f t="shared" si="0"/>
        <v>0.95335999999999987</v>
      </c>
      <c r="J39" s="187">
        <f t="shared" si="2"/>
        <v>7.7533599999999998</v>
      </c>
      <c r="K39" s="241">
        <f t="shared" si="1"/>
        <v>77.533599999999993</v>
      </c>
    </row>
    <row r="40" spans="1:11" ht="25.5" customHeight="1">
      <c r="A40" s="188" t="s">
        <v>224</v>
      </c>
      <c r="B40" s="185">
        <v>1037</v>
      </c>
      <c r="C40" s="185" t="s">
        <v>299</v>
      </c>
      <c r="D40" s="185" t="s">
        <v>999</v>
      </c>
      <c r="E40" s="186" t="s">
        <v>300</v>
      </c>
      <c r="F40" s="185" t="s">
        <v>227</v>
      </c>
      <c r="G40" s="245">
        <v>20</v>
      </c>
      <c r="H40" s="187">
        <v>31.08</v>
      </c>
      <c r="I40" s="187">
        <f t="shared" si="0"/>
        <v>4.3574159999999997</v>
      </c>
      <c r="J40" s="187">
        <f t="shared" si="2"/>
        <v>35.437415999999999</v>
      </c>
      <c r="K40" s="241">
        <f t="shared" si="1"/>
        <v>708.74831999999992</v>
      </c>
    </row>
    <row r="41" spans="1:11" ht="25.5" customHeight="1">
      <c r="A41" s="188" t="s">
        <v>224</v>
      </c>
      <c r="B41" s="185">
        <v>1038</v>
      </c>
      <c r="C41" s="185" t="s">
        <v>301</v>
      </c>
      <c r="D41" s="185" t="s">
        <v>999</v>
      </c>
      <c r="E41" s="186" t="s">
        <v>302</v>
      </c>
      <c r="F41" s="185" t="s">
        <v>227</v>
      </c>
      <c r="G41" s="245">
        <v>25</v>
      </c>
      <c r="H41" s="187">
        <v>17.61</v>
      </c>
      <c r="I41" s="187">
        <f t="shared" si="0"/>
        <v>2.4689219999999996</v>
      </c>
      <c r="J41" s="187">
        <f t="shared" si="2"/>
        <v>20.078921999999999</v>
      </c>
      <c r="K41" s="241">
        <f t="shared" si="1"/>
        <v>501.97304999999994</v>
      </c>
    </row>
    <row r="42" spans="1:11">
      <c r="A42" s="188" t="s">
        <v>224</v>
      </c>
      <c r="B42" s="185">
        <v>1039</v>
      </c>
      <c r="C42" s="235" t="s">
        <v>291</v>
      </c>
      <c r="D42" s="235" t="s">
        <v>291</v>
      </c>
      <c r="E42" s="186" t="s">
        <v>303</v>
      </c>
      <c r="F42" s="185" t="s">
        <v>227</v>
      </c>
      <c r="G42" s="245">
        <v>20</v>
      </c>
      <c r="H42" s="187">
        <f>[2]MERCADO!M7</f>
        <v>35.76</v>
      </c>
      <c r="I42" s="187">
        <f t="shared" si="0"/>
        <v>5.0135519999999998</v>
      </c>
      <c r="J42" s="187">
        <f t="shared" si="2"/>
        <v>40.773551999999995</v>
      </c>
      <c r="K42" s="241">
        <f t="shared" si="1"/>
        <v>815.4710399999999</v>
      </c>
    </row>
    <row r="43" spans="1:11" ht="15" customHeight="1">
      <c r="A43" s="188" t="s">
        <v>224</v>
      </c>
      <c r="B43" s="185">
        <v>1040</v>
      </c>
      <c r="C43" s="235" t="s">
        <v>304</v>
      </c>
      <c r="D43" s="235" t="s">
        <v>1000</v>
      </c>
      <c r="E43" s="186" t="s">
        <v>305</v>
      </c>
      <c r="F43" s="185" t="s">
        <v>227</v>
      </c>
      <c r="G43" s="245">
        <v>20</v>
      </c>
      <c r="H43" s="187">
        <v>24.65</v>
      </c>
      <c r="I43" s="187">
        <f t="shared" si="0"/>
        <v>3.4559299999999995</v>
      </c>
      <c r="J43" s="187">
        <f t="shared" si="2"/>
        <v>28.105929999999997</v>
      </c>
      <c r="K43" s="241">
        <f t="shared" si="1"/>
        <v>562.1185999999999</v>
      </c>
    </row>
    <row r="44" spans="1:11" ht="15" customHeight="1">
      <c r="A44" s="188" t="s">
        <v>224</v>
      </c>
      <c r="B44" s="185">
        <v>1041</v>
      </c>
      <c r="C44" s="185" t="s">
        <v>306</v>
      </c>
      <c r="D44" s="185" t="s">
        <v>999</v>
      </c>
      <c r="E44" s="186" t="s">
        <v>307</v>
      </c>
      <c r="F44" s="185" t="s">
        <v>227</v>
      </c>
      <c r="G44" s="245">
        <v>20</v>
      </c>
      <c r="H44" s="187">
        <v>22.58</v>
      </c>
      <c r="I44" s="187">
        <f t="shared" si="0"/>
        <v>3.1657159999999998</v>
      </c>
      <c r="J44" s="187">
        <f t="shared" si="2"/>
        <v>25.745715999999998</v>
      </c>
      <c r="K44" s="241">
        <f t="shared" si="1"/>
        <v>514.91431999999998</v>
      </c>
    </row>
    <row r="45" spans="1:11" ht="25.5">
      <c r="A45" s="188" t="s">
        <v>224</v>
      </c>
      <c r="B45" s="185">
        <v>1042</v>
      </c>
      <c r="C45" s="235" t="s">
        <v>291</v>
      </c>
      <c r="D45" s="235" t="s">
        <v>291</v>
      </c>
      <c r="E45" s="186" t="s">
        <v>308</v>
      </c>
      <c r="F45" s="185" t="s">
        <v>227</v>
      </c>
      <c r="G45" s="245">
        <v>20</v>
      </c>
      <c r="H45" s="187">
        <f>[2]MERCADO!M8</f>
        <v>32.229999999999997</v>
      </c>
      <c r="I45" s="187">
        <f t="shared" si="0"/>
        <v>4.5186459999999995</v>
      </c>
      <c r="J45" s="187">
        <f t="shared" si="2"/>
        <v>36.748645999999994</v>
      </c>
      <c r="K45" s="241">
        <f t="shared" si="1"/>
        <v>734.97291999999993</v>
      </c>
    </row>
    <row r="46" spans="1:11" ht="15" customHeight="1">
      <c r="A46" s="192" t="s">
        <v>309</v>
      </c>
      <c r="B46" s="189">
        <v>2001</v>
      </c>
      <c r="C46" s="189" t="s">
        <v>310</v>
      </c>
      <c r="D46" s="189" t="s">
        <v>999</v>
      </c>
      <c r="E46" s="190" t="s">
        <v>311</v>
      </c>
      <c r="F46" s="189" t="s">
        <v>227</v>
      </c>
      <c r="G46" s="246">
        <v>5</v>
      </c>
      <c r="H46" s="191">
        <v>34.9</v>
      </c>
      <c r="I46" s="191">
        <f t="shared" si="0"/>
        <v>4.8929799999999997</v>
      </c>
      <c r="J46" s="191">
        <f t="shared" si="2"/>
        <v>39.79298</v>
      </c>
      <c r="K46" s="242">
        <f t="shared" si="1"/>
        <v>198.9649</v>
      </c>
    </row>
    <row r="47" spans="1:11" ht="15" customHeight="1">
      <c r="A47" s="192" t="s">
        <v>309</v>
      </c>
      <c r="B47" s="189">
        <v>2002</v>
      </c>
      <c r="C47" s="189" t="s">
        <v>312</v>
      </c>
      <c r="D47" s="189" t="s">
        <v>999</v>
      </c>
      <c r="E47" s="190" t="s">
        <v>313</v>
      </c>
      <c r="F47" s="189" t="s">
        <v>227</v>
      </c>
      <c r="G47" s="246">
        <v>10</v>
      </c>
      <c r="H47" s="191">
        <v>95.18</v>
      </c>
      <c r="I47" s="191">
        <f t="shared" si="0"/>
        <v>13.344236</v>
      </c>
      <c r="J47" s="191">
        <f t="shared" si="2"/>
        <v>108.524236</v>
      </c>
      <c r="K47" s="242">
        <f t="shared" si="1"/>
        <v>1085.24236</v>
      </c>
    </row>
    <row r="48" spans="1:11" ht="25.5" customHeight="1">
      <c r="A48" s="192" t="s">
        <v>309</v>
      </c>
      <c r="B48" s="189">
        <v>2003</v>
      </c>
      <c r="C48" s="189" t="s">
        <v>314</v>
      </c>
      <c r="D48" s="189" t="s">
        <v>999</v>
      </c>
      <c r="E48" s="190" t="s">
        <v>315</v>
      </c>
      <c r="F48" s="189" t="s">
        <v>227</v>
      </c>
      <c r="G48" s="246">
        <v>2</v>
      </c>
      <c r="H48" s="191">
        <v>61.69</v>
      </c>
      <c r="I48" s="191">
        <f t="shared" si="0"/>
        <v>8.6489379999999993</v>
      </c>
      <c r="J48" s="191">
        <f t="shared" si="2"/>
        <v>70.338937999999999</v>
      </c>
      <c r="K48" s="242">
        <f t="shared" si="1"/>
        <v>140.677876</v>
      </c>
    </row>
    <row r="49" spans="1:11" ht="15" customHeight="1">
      <c r="A49" s="192" t="s">
        <v>309</v>
      </c>
      <c r="B49" s="189">
        <v>2004</v>
      </c>
      <c r="C49" s="189" t="s">
        <v>316</v>
      </c>
      <c r="D49" s="189" t="s">
        <v>999</v>
      </c>
      <c r="E49" s="190" t="s">
        <v>317</v>
      </c>
      <c r="F49" s="189" t="s">
        <v>227</v>
      </c>
      <c r="G49" s="246">
        <v>10</v>
      </c>
      <c r="H49" s="191">
        <v>64.22</v>
      </c>
      <c r="I49" s="191">
        <f t="shared" si="0"/>
        <v>9.0036439999999995</v>
      </c>
      <c r="J49" s="191">
        <f t="shared" si="2"/>
        <v>73.223643999999993</v>
      </c>
      <c r="K49" s="242">
        <f t="shared" si="1"/>
        <v>732.2364399999999</v>
      </c>
    </row>
    <row r="50" spans="1:11">
      <c r="A50" s="192" t="s">
        <v>309</v>
      </c>
      <c r="B50" s="189">
        <v>2005</v>
      </c>
      <c r="C50" s="255" t="s">
        <v>291</v>
      </c>
      <c r="D50" s="255" t="s">
        <v>291</v>
      </c>
      <c r="E50" s="190" t="s">
        <v>318</v>
      </c>
      <c r="F50" s="189" t="s">
        <v>227</v>
      </c>
      <c r="G50" s="246">
        <v>40</v>
      </c>
      <c r="H50" s="191">
        <f>[2]MERCADO!M9</f>
        <v>1.45</v>
      </c>
      <c r="I50" s="191">
        <f t="shared" si="0"/>
        <v>0.20328999999999997</v>
      </c>
      <c r="J50" s="191">
        <f t="shared" si="2"/>
        <v>1.6532899999999999</v>
      </c>
      <c r="K50" s="242">
        <f t="shared" si="1"/>
        <v>66.131599999999992</v>
      </c>
    </row>
    <row r="51" spans="1:11">
      <c r="A51" s="192" t="s">
        <v>309</v>
      </c>
      <c r="B51" s="189">
        <v>2006</v>
      </c>
      <c r="C51" s="255" t="s">
        <v>291</v>
      </c>
      <c r="D51" s="255" t="s">
        <v>291</v>
      </c>
      <c r="E51" s="190" t="s">
        <v>319</v>
      </c>
      <c r="F51" s="189" t="s">
        <v>227</v>
      </c>
      <c r="G51" s="246">
        <v>5</v>
      </c>
      <c r="H51" s="191">
        <f>[2]MERCADO!M10</f>
        <v>158.49</v>
      </c>
      <c r="I51" s="191">
        <f t="shared" si="0"/>
        <v>22.220298</v>
      </c>
      <c r="J51" s="191">
        <f t="shared" si="2"/>
        <v>180.71029800000002</v>
      </c>
      <c r="K51" s="242">
        <f t="shared" si="1"/>
        <v>903.55149000000006</v>
      </c>
    </row>
    <row r="52" spans="1:11" ht="25.5">
      <c r="A52" s="192" t="s">
        <v>309</v>
      </c>
      <c r="B52" s="189">
        <v>2007</v>
      </c>
      <c r="C52" s="255" t="s">
        <v>291</v>
      </c>
      <c r="D52" s="255" t="s">
        <v>291</v>
      </c>
      <c r="E52" s="190" t="s">
        <v>320</v>
      </c>
      <c r="F52" s="189" t="s">
        <v>227</v>
      </c>
      <c r="G52" s="246">
        <v>5</v>
      </c>
      <c r="H52" s="191">
        <f>[2]MERCADO!M11</f>
        <v>34.17</v>
      </c>
      <c r="I52" s="191">
        <f t="shared" si="0"/>
        <v>4.7906339999999998</v>
      </c>
      <c r="J52" s="191">
        <f t="shared" si="2"/>
        <v>38.960633999999999</v>
      </c>
      <c r="K52" s="242">
        <f t="shared" si="1"/>
        <v>194.80316999999999</v>
      </c>
    </row>
    <row r="53" spans="1:11" ht="25.5">
      <c r="A53" s="192" t="s">
        <v>309</v>
      </c>
      <c r="B53" s="189">
        <v>2008</v>
      </c>
      <c r="C53" s="255" t="s">
        <v>291</v>
      </c>
      <c r="D53" s="255" t="s">
        <v>291</v>
      </c>
      <c r="E53" s="190" t="s">
        <v>321</v>
      </c>
      <c r="F53" s="189" t="s">
        <v>227</v>
      </c>
      <c r="G53" s="246">
        <v>20</v>
      </c>
      <c r="H53" s="191">
        <f>[2]MERCADO!M12</f>
        <v>11.3</v>
      </c>
      <c r="I53" s="191">
        <f t="shared" si="0"/>
        <v>1.58426</v>
      </c>
      <c r="J53" s="191">
        <f t="shared" si="2"/>
        <v>12.884260000000001</v>
      </c>
      <c r="K53" s="242">
        <f t="shared" si="1"/>
        <v>257.68520000000001</v>
      </c>
    </row>
    <row r="54" spans="1:11" ht="25.5">
      <c r="A54" s="192" t="s">
        <v>309</v>
      </c>
      <c r="B54" s="189">
        <v>2009</v>
      </c>
      <c r="C54" s="255" t="s">
        <v>291</v>
      </c>
      <c r="D54" s="255" t="s">
        <v>291</v>
      </c>
      <c r="E54" s="190" t="s">
        <v>322</v>
      </c>
      <c r="F54" s="189" t="s">
        <v>227</v>
      </c>
      <c r="G54" s="246">
        <v>20</v>
      </c>
      <c r="H54" s="191">
        <f>[2]MERCADO!M13</f>
        <v>11.3</v>
      </c>
      <c r="I54" s="191">
        <f t="shared" si="0"/>
        <v>1.58426</v>
      </c>
      <c r="J54" s="191">
        <f t="shared" si="2"/>
        <v>12.884260000000001</v>
      </c>
      <c r="K54" s="242">
        <f t="shared" si="1"/>
        <v>257.68520000000001</v>
      </c>
    </row>
    <row r="55" spans="1:11">
      <c r="A55" s="192" t="s">
        <v>309</v>
      </c>
      <c r="B55" s="189">
        <v>2010</v>
      </c>
      <c r="C55" s="255" t="s">
        <v>291</v>
      </c>
      <c r="D55" s="255" t="s">
        <v>291</v>
      </c>
      <c r="E55" s="190" t="s">
        <v>323</v>
      </c>
      <c r="F55" s="189" t="s">
        <v>227</v>
      </c>
      <c r="G55" s="246">
        <v>20</v>
      </c>
      <c r="H55" s="191">
        <f>[2]MERCADO!M14</f>
        <v>16.41</v>
      </c>
      <c r="I55" s="191">
        <f t="shared" si="0"/>
        <v>2.3006819999999997</v>
      </c>
      <c r="J55" s="191">
        <f t="shared" si="2"/>
        <v>18.710681999999998</v>
      </c>
      <c r="K55" s="242">
        <f t="shared" si="1"/>
        <v>374.21363999999994</v>
      </c>
    </row>
    <row r="56" spans="1:11">
      <c r="A56" s="192" t="s">
        <v>309</v>
      </c>
      <c r="B56" s="189">
        <v>2011</v>
      </c>
      <c r="C56" s="255" t="s">
        <v>291</v>
      </c>
      <c r="D56" s="255" t="s">
        <v>291</v>
      </c>
      <c r="E56" s="190" t="s">
        <v>324</v>
      </c>
      <c r="F56" s="189" t="s">
        <v>227</v>
      </c>
      <c r="G56" s="246">
        <v>10</v>
      </c>
      <c r="H56" s="191">
        <f>[2]MERCADO!M15</f>
        <v>13.79</v>
      </c>
      <c r="I56" s="191">
        <f t="shared" si="0"/>
        <v>1.9333579999999997</v>
      </c>
      <c r="J56" s="191">
        <f t="shared" si="2"/>
        <v>15.723357999999999</v>
      </c>
      <c r="K56" s="242">
        <f t="shared" si="1"/>
        <v>157.23357999999999</v>
      </c>
    </row>
    <row r="57" spans="1:11" ht="25.5">
      <c r="A57" s="192" t="s">
        <v>309</v>
      </c>
      <c r="B57" s="189">
        <v>2012</v>
      </c>
      <c r="C57" s="277" t="s">
        <v>325</v>
      </c>
      <c r="D57" s="189" t="s">
        <v>999</v>
      </c>
      <c r="E57" s="190" t="s">
        <v>326</v>
      </c>
      <c r="F57" s="189" t="s">
        <v>227</v>
      </c>
      <c r="G57" s="246">
        <v>5</v>
      </c>
      <c r="H57" s="191">
        <v>45</v>
      </c>
      <c r="I57" s="191">
        <f t="shared" si="0"/>
        <v>6.3089999999999993</v>
      </c>
      <c r="J57" s="191">
        <f t="shared" si="2"/>
        <v>51.308999999999997</v>
      </c>
      <c r="K57" s="242">
        <f t="shared" si="1"/>
        <v>256.54499999999996</v>
      </c>
    </row>
    <row r="58" spans="1:11" ht="25.5" customHeight="1">
      <c r="A58" s="192" t="s">
        <v>309</v>
      </c>
      <c r="B58" s="189">
        <v>2013</v>
      </c>
      <c r="C58" s="189" t="s">
        <v>327</v>
      </c>
      <c r="D58" s="189" t="s">
        <v>999</v>
      </c>
      <c r="E58" s="190" t="s">
        <v>328</v>
      </c>
      <c r="F58" s="189" t="s">
        <v>227</v>
      </c>
      <c r="G58" s="246">
        <v>5</v>
      </c>
      <c r="H58" s="191">
        <v>87.96</v>
      </c>
      <c r="I58" s="191">
        <f t="shared" si="0"/>
        <v>12.331991999999998</v>
      </c>
      <c r="J58" s="191">
        <f t="shared" si="2"/>
        <v>100.29199199999999</v>
      </c>
      <c r="K58" s="242">
        <f t="shared" si="1"/>
        <v>501.45995999999997</v>
      </c>
    </row>
    <row r="59" spans="1:11" ht="15" customHeight="1">
      <c r="A59" s="192" t="s">
        <v>309</v>
      </c>
      <c r="B59" s="189">
        <v>2014</v>
      </c>
      <c r="C59" s="189" t="s">
        <v>329</v>
      </c>
      <c r="D59" s="189" t="s">
        <v>999</v>
      </c>
      <c r="E59" s="190" t="s">
        <v>330</v>
      </c>
      <c r="F59" s="189" t="s">
        <v>227</v>
      </c>
      <c r="G59" s="246">
        <v>3</v>
      </c>
      <c r="H59" s="191">
        <v>226.1</v>
      </c>
      <c r="I59" s="191">
        <f t="shared" si="0"/>
        <v>31.699219999999997</v>
      </c>
      <c r="J59" s="191">
        <f t="shared" si="2"/>
        <v>257.79921999999999</v>
      </c>
      <c r="K59" s="242">
        <f t="shared" si="1"/>
        <v>773.39765999999997</v>
      </c>
    </row>
    <row r="60" spans="1:11" ht="29.25" customHeight="1">
      <c r="A60" s="192" t="s">
        <v>309</v>
      </c>
      <c r="B60" s="189">
        <v>2015</v>
      </c>
      <c r="C60" s="189" t="s">
        <v>331</v>
      </c>
      <c r="D60" s="189" t="s">
        <v>999</v>
      </c>
      <c r="E60" s="190" t="s">
        <v>332</v>
      </c>
      <c r="F60" s="189" t="s">
        <v>227</v>
      </c>
      <c r="G60" s="246">
        <v>5</v>
      </c>
      <c r="H60" s="191">
        <v>57.45</v>
      </c>
      <c r="I60" s="191">
        <f t="shared" si="0"/>
        <v>8.0544899999999995</v>
      </c>
      <c r="J60" s="191">
        <f t="shared" si="2"/>
        <v>65.504490000000004</v>
      </c>
      <c r="K60" s="242">
        <f t="shared" si="1"/>
        <v>327.52245000000005</v>
      </c>
    </row>
    <row r="61" spans="1:11" ht="30" customHeight="1">
      <c r="A61" s="192" t="s">
        <v>309</v>
      </c>
      <c r="B61" s="189">
        <v>2016</v>
      </c>
      <c r="C61" s="189" t="s">
        <v>333</v>
      </c>
      <c r="D61" s="189" t="s">
        <v>999</v>
      </c>
      <c r="E61" s="190" t="s">
        <v>334</v>
      </c>
      <c r="F61" s="189" t="s">
        <v>227</v>
      </c>
      <c r="G61" s="246">
        <v>5</v>
      </c>
      <c r="H61" s="191">
        <v>62.04</v>
      </c>
      <c r="I61" s="191">
        <f t="shared" si="0"/>
        <v>8.6980079999999997</v>
      </c>
      <c r="J61" s="191">
        <f t="shared" si="2"/>
        <v>70.738007999999994</v>
      </c>
      <c r="K61" s="242">
        <f t="shared" si="1"/>
        <v>353.69003999999995</v>
      </c>
    </row>
    <row r="62" spans="1:11" ht="29.25" customHeight="1">
      <c r="A62" s="192" t="s">
        <v>309</v>
      </c>
      <c r="B62" s="189">
        <v>2017</v>
      </c>
      <c r="C62" s="189" t="s">
        <v>335</v>
      </c>
      <c r="D62" s="189" t="s">
        <v>999</v>
      </c>
      <c r="E62" s="190" t="s">
        <v>336</v>
      </c>
      <c r="F62" s="189" t="s">
        <v>227</v>
      </c>
      <c r="G62" s="246">
        <v>2</v>
      </c>
      <c r="H62" s="191">
        <v>95.03</v>
      </c>
      <c r="I62" s="191">
        <f t="shared" si="0"/>
        <v>13.323205999999999</v>
      </c>
      <c r="J62" s="191">
        <f t="shared" si="2"/>
        <v>108.353206</v>
      </c>
      <c r="K62" s="242">
        <f t="shared" si="1"/>
        <v>216.706412</v>
      </c>
    </row>
    <row r="63" spans="1:11" ht="31.5" customHeight="1">
      <c r="A63" s="192" t="s">
        <v>309</v>
      </c>
      <c r="B63" s="189">
        <v>2018</v>
      </c>
      <c r="C63" s="189" t="s">
        <v>337</v>
      </c>
      <c r="D63" s="189" t="s">
        <v>999</v>
      </c>
      <c r="E63" s="190" t="s">
        <v>338</v>
      </c>
      <c r="F63" s="189" t="s">
        <v>227</v>
      </c>
      <c r="G63" s="246">
        <v>2</v>
      </c>
      <c r="H63" s="191">
        <v>233.73</v>
      </c>
      <c r="I63" s="191">
        <f t="shared" si="0"/>
        <v>32.768946</v>
      </c>
      <c r="J63" s="191">
        <f t="shared" si="2"/>
        <v>266.49894599999999</v>
      </c>
      <c r="K63" s="242">
        <f t="shared" si="1"/>
        <v>532.99789199999998</v>
      </c>
    </row>
    <row r="64" spans="1:11" ht="21.75" customHeight="1">
      <c r="A64" s="192" t="s">
        <v>309</v>
      </c>
      <c r="B64" s="189">
        <v>2019</v>
      </c>
      <c r="C64" s="189" t="s">
        <v>339</v>
      </c>
      <c r="D64" s="189" t="s">
        <v>999</v>
      </c>
      <c r="E64" s="190" t="s">
        <v>340</v>
      </c>
      <c r="F64" s="189" t="s">
        <v>227</v>
      </c>
      <c r="G64" s="246">
        <v>3</v>
      </c>
      <c r="H64" s="191">
        <v>171.9</v>
      </c>
      <c r="I64" s="191">
        <f t="shared" si="0"/>
        <v>24.100379999999998</v>
      </c>
      <c r="J64" s="191">
        <f t="shared" si="2"/>
        <v>196.00038000000001</v>
      </c>
      <c r="K64" s="242">
        <f t="shared" si="1"/>
        <v>588.00114000000008</v>
      </c>
    </row>
    <row r="65" spans="1:11" ht="25.5" customHeight="1">
      <c r="A65" s="192" t="s">
        <v>309</v>
      </c>
      <c r="B65" s="189">
        <v>2020</v>
      </c>
      <c r="C65" s="189" t="s">
        <v>341</v>
      </c>
      <c r="D65" s="189" t="s">
        <v>999</v>
      </c>
      <c r="E65" s="190" t="s">
        <v>342</v>
      </c>
      <c r="F65" s="189" t="s">
        <v>227</v>
      </c>
      <c r="G65" s="246">
        <v>10</v>
      </c>
      <c r="H65" s="191">
        <v>25.14</v>
      </c>
      <c r="I65" s="191">
        <f t="shared" si="0"/>
        <v>3.5246279999999999</v>
      </c>
      <c r="J65" s="191">
        <f t="shared" si="2"/>
        <v>28.664628</v>
      </c>
      <c r="K65" s="242">
        <f t="shared" si="1"/>
        <v>286.64627999999999</v>
      </c>
    </row>
    <row r="66" spans="1:11" ht="30" customHeight="1">
      <c r="A66" s="192" t="s">
        <v>309</v>
      </c>
      <c r="B66" s="189">
        <v>2021</v>
      </c>
      <c r="C66" s="189" t="s">
        <v>343</v>
      </c>
      <c r="D66" s="189" t="s">
        <v>999</v>
      </c>
      <c r="E66" s="190" t="s">
        <v>344</v>
      </c>
      <c r="F66" s="189" t="s">
        <v>227</v>
      </c>
      <c r="G66" s="246">
        <v>5</v>
      </c>
      <c r="H66" s="191">
        <v>32.21</v>
      </c>
      <c r="I66" s="191">
        <f t="shared" si="0"/>
        <v>4.5158420000000001</v>
      </c>
      <c r="J66" s="191">
        <f t="shared" si="2"/>
        <v>36.725842</v>
      </c>
      <c r="K66" s="242">
        <f t="shared" si="1"/>
        <v>183.62921</v>
      </c>
    </row>
    <row r="67" spans="1:11" ht="15" customHeight="1">
      <c r="A67" s="192" t="s">
        <v>309</v>
      </c>
      <c r="B67" s="189">
        <v>2022</v>
      </c>
      <c r="C67" s="189" t="s">
        <v>345</v>
      </c>
      <c r="D67" s="189" t="s">
        <v>999</v>
      </c>
      <c r="E67" s="190" t="s">
        <v>346</v>
      </c>
      <c r="F67" s="189" t="s">
        <v>227</v>
      </c>
      <c r="G67" s="246">
        <v>10</v>
      </c>
      <c r="H67" s="191">
        <v>20.079999999999998</v>
      </c>
      <c r="I67" s="191">
        <f t="shared" si="0"/>
        <v>2.8152159999999995</v>
      </c>
      <c r="J67" s="191">
        <f t="shared" si="2"/>
        <v>22.895215999999998</v>
      </c>
      <c r="K67" s="242">
        <f t="shared" si="1"/>
        <v>228.95215999999999</v>
      </c>
    </row>
    <row r="68" spans="1:11" ht="15" customHeight="1">
      <c r="A68" s="192" t="s">
        <v>309</v>
      </c>
      <c r="B68" s="189">
        <v>2023</v>
      </c>
      <c r="C68" s="189" t="s">
        <v>347</v>
      </c>
      <c r="D68" s="189" t="s">
        <v>999</v>
      </c>
      <c r="E68" s="190" t="s">
        <v>348</v>
      </c>
      <c r="F68" s="189" t="s">
        <v>227</v>
      </c>
      <c r="G68" s="246">
        <v>20</v>
      </c>
      <c r="H68" s="191">
        <v>14.47</v>
      </c>
      <c r="I68" s="191">
        <f t="shared" si="0"/>
        <v>2.0286939999999998</v>
      </c>
      <c r="J68" s="191">
        <f t="shared" si="2"/>
        <v>16.498694</v>
      </c>
      <c r="K68" s="242">
        <f t="shared" si="1"/>
        <v>329.97388000000001</v>
      </c>
    </row>
    <row r="69" spans="1:11" ht="15" customHeight="1">
      <c r="A69" s="192" t="s">
        <v>309</v>
      </c>
      <c r="B69" s="189">
        <v>2024</v>
      </c>
      <c r="C69" s="189" t="s">
        <v>349</v>
      </c>
      <c r="D69" s="189" t="s">
        <v>999</v>
      </c>
      <c r="E69" s="190" t="s">
        <v>350</v>
      </c>
      <c r="F69" s="189" t="s">
        <v>227</v>
      </c>
      <c r="G69" s="246">
        <v>20</v>
      </c>
      <c r="H69" s="191">
        <v>11.37</v>
      </c>
      <c r="I69" s="191">
        <f t="shared" ref="I69:I125" si="3">H69*$I$3</f>
        <v>1.5940739999999998</v>
      </c>
      <c r="J69" s="191">
        <f t="shared" si="2"/>
        <v>12.964073999999998</v>
      </c>
      <c r="K69" s="242">
        <f t="shared" ref="K69:K125" si="4">J69*G69</f>
        <v>259.28147999999999</v>
      </c>
    </row>
    <row r="70" spans="1:11" ht="15" customHeight="1">
      <c r="A70" s="192" t="s">
        <v>309</v>
      </c>
      <c r="B70" s="189">
        <v>2025</v>
      </c>
      <c r="C70" s="189" t="s">
        <v>351</v>
      </c>
      <c r="D70" s="189" t="s">
        <v>999</v>
      </c>
      <c r="E70" s="190" t="s">
        <v>352</v>
      </c>
      <c r="F70" s="189" t="s">
        <v>227</v>
      </c>
      <c r="G70" s="246">
        <v>50</v>
      </c>
      <c r="H70" s="191">
        <v>6.3</v>
      </c>
      <c r="I70" s="191">
        <f t="shared" si="3"/>
        <v>0.88325999999999993</v>
      </c>
      <c r="J70" s="191">
        <f t="shared" si="2"/>
        <v>7.1832599999999998</v>
      </c>
      <c r="K70" s="242">
        <f t="shared" si="4"/>
        <v>359.16300000000001</v>
      </c>
    </row>
    <row r="71" spans="1:11" ht="15" customHeight="1">
      <c r="A71" s="192" t="s">
        <v>309</v>
      </c>
      <c r="B71" s="189">
        <v>2026</v>
      </c>
      <c r="C71" s="189" t="s">
        <v>353</v>
      </c>
      <c r="D71" s="189" t="s">
        <v>999</v>
      </c>
      <c r="E71" s="190" t="s">
        <v>354</v>
      </c>
      <c r="F71" s="189" t="s">
        <v>227</v>
      </c>
      <c r="G71" s="246">
        <v>20</v>
      </c>
      <c r="H71" s="191">
        <v>8.18</v>
      </c>
      <c r="I71" s="191">
        <f t="shared" si="3"/>
        <v>1.146836</v>
      </c>
      <c r="J71" s="191">
        <f t="shared" si="2"/>
        <v>9.3268360000000001</v>
      </c>
      <c r="K71" s="242">
        <f t="shared" si="4"/>
        <v>186.53672</v>
      </c>
    </row>
    <row r="72" spans="1:11" ht="15" customHeight="1">
      <c r="A72" s="192" t="s">
        <v>309</v>
      </c>
      <c r="B72" s="189">
        <v>2027</v>
      </c>
      <c r="C72" s="189" t="s">
        <v>355</v>
      </c>
      <c r="D72" s="189" t="s">
        <v>999</v>
      </c>
      <c r="E72" s="190" t="s">
        <v>356</v>
      </c>
      <c r="F72" s="189" t="s">
        <v>227</v>
      </c>
      <c r="G72" s="246">
        <v>20</v>
      </c>
      <c r="H72" s="191">
        <v>28.86</v>
      </c>
      <c r="I72" s="191">
        <f t="shared" si="3"/>
        <v>4.0461719999999994</v>
      </c>
      <c r="J72" s="191">
        <f t="shared" si="2"/>
        <v>32.906171999999998</v>
      </c>
      <c r="K72" s="242">
        <f t="shared" si="4"/>
        <v>658.12343999999996</v>
      </c>
    </row>
    <row r="73" spans="1:11" ht="15" customHeight="1">
      <c r="A73" s="192" t="s">
        <v>309</v>
      </c>
      <c r="B73" s="189">
        <v>2028</v>
      </c>
      <c r="C73" s="189" t="s">
        <v>357</v>
      </c>
      <c r="D73" s="189" t="s">
        <v>999</v>
      </c>
      <c r="E73" s="190" t="s">
        <v>358</v>
      </c>
      <c r="F73" s="189" t="s">
        <v>268</v>
      </c>
      <c r="G73" s="246">
        <v>20</v>
      </c>
      <c r="H73" s="191">
        <v>4.18</v>
      </c>
      <c r="I73" s="191">
        <f t="shared" si="3"/>
        <v>0.58603599999999989</v>
      </c>
      <c r="J73" s="191">
        <f t="shared" ref="J73:J136" si="5">H73+I73</f>
        <v>4.7660359999999997</v>
      </c>
      <c r="K73" s="242">
        <f t="shared" si="4"/>
        <v>95.320719999999994</v>
      </c>
    </row>
    <row r="74" spans="1:11" ht="15" customHeight="1">
      <c r="A74" s="192" t="s">
        <v>309</v>
      </c>
      <c r="B74" s="189">
        <v>2029</v>
      </c>
      <c r="C74" s="189" t="s">
        <v>359</v>
      </c>
      <c r="D74" s="189" t="s">
        <v>999</v>
      </c>
      <c r="E74" s="190" t="s">
        <v>360</v>
      </c>
      <c r="F74" s="189" t="s">
        <v>227</v>
      </c>
      <c r="G74" s="246">
        <v>20</v>
      </c>
      <c r="H74" s="191">
        <v>0.82</v>
      </c>
      <c r="I74" s="191">
        <f t="shared" si="3"/>
        <v>0.11496399999999998</v>
      </c>
      <c r="J74" s="191">
        <f t="shared" si="5"/>
        <v>0.93496399999999991</v>
      </c>
      <c r="K74" s="242">
        <f t="shared" si="4"/>
        <v>18.699279999999998</v>
      </c>
    </row>
    <row r="75" spans="1:11" ht="30" customHeight="1">
      <c r="A75" s="192" t="s">
        <v>309</v>
      </c>
      <c r="B75" s="189">
        <v>2030</v>
      </c>
      <c r="C75" s="189" t="s">
        <v>361</v>
      </c>
      <c r="D75" s="189" t="s">
        <v>999</v>
      </c>
      <c r="E75" s="190" t="s">
        <v>362</v>
      </c>
      <c r="F75" s="189" t="s">
        <v>227</v>
      </c>
      <c r="G75" s="246">
        <v>20</v>
      </c>
      <c r="H75" s="191">
        <v>8.16</v>
      </c>
      <c r="I75" s="191">
        <f t="shared" si="3"/>
        <v>1.1440319999999999</v>
      </c>
      <c r="J75" s="191">
        <f t="shared" si="5"/>
        <v>9.3040319999999994</v>
      </c>
      <c r="K75" s="242">
        <f t="shared" si="4"/>
        <v>186.08063999999999</v>
      </c>
    </row>
    <row r="76" spans="1:11" ht="15" customHeight="1">
      <c r="A76" s="192" t="s">
        <v>309</v>
      </c>
      <c r="B76" s="189">
        <v>2031</v>
      </c>
      <c r="C76" s="189" t="s">
        <v>363</v>
      </c>
      <c r="D76" s="189" t="s">
        <v>999</v>
      </c>
      <c r="E76" s="190" t="s">
        <v>364</v>
      </c>
      <c r="F76" s="189" t="s">
        <v>227</v>
      </c>
      <c r="G76" s="246">
        <v>20</v>
      </c>
      <c r="H76" s="191">
        <v>0.88</v>
      </c>
      <c r="I76" s="191">
        <f t="shared" si="3"/>
        <v>0.123376</v>
      </c>
      <c r="J76" s="191">
        <f t="shared" si="5"/>
        <v>1.003376</v>
      </c>
      <c r="K76" s="242">
        <f t="shared" si="4"/>
        <v>20.067520000000002</v>
      </c>
    </row>
    <row r="77" spans="1:11" ht="35.25" customHeight="1">
      <c r="A77" s="192" t="s">
        <v>309</v>
      </c>
      <c r="B77" s="189">
        <v>2032</v>
      </c>
      <c r="C77" s="189" t="s">
        <v>365</v>
      </c>
      <c r="D77" s="189" t="s">
        <v>999</v>
      </c>
      <c r="E77" s="190" t="s">
        <v>366</v>
      </c>
      <c r="F77" s="189" t="s">
        <v>227</v>
      </c>
      <c r="G77" s="246">
        <v>20</v>
      </c>
      <c r="H77" s="191">
        <v>0.99</v>
      </c>
      <c r="I77" s="191">
        <f t="shared" si="3"/>
        <v>0.13879799999999998</v>
      </c>
      <c r="J77" s="191">
        <f t="shared" si="5"/>
        <v>1.128798</v>
      </c>
      <c r="K77" s="242">
        <f t="shared" si="4"/>
        <v>22.575959999999998</v>
      </c>
    </row>
    <row r="78" spans="1:11" ht="15" customHeight="1">
      <c r="A78" s="192" t="s">
        <v>309</v>
      </c>
      <c r="B78" s="189">
        <v>2033</v>
      </c>
      <c r="C78" s="189" t="s">
        <v>367</v>
      </c>
      <c r="D78" s="189" t="s">
        <v>999</v>
      </c>
      <c r="E78" s="190" t="s">
        <v>368</v>
      </c>
      <c r="F78" s="189" t="s">
        <v>227</v>
      </c>
      <c r="G78" s="246">
        <v>20</v>
      </c>
      <c r="H78" s="191">
        <v>1.4</v>
      </c>
      <c r="I78" s="191">
        <f t="shared" si="3"/>
        <v>0.19627999999999998</v>
      </c>
      <c r="J78" s="191">
        <f t="shared" si="5"/>
        <v>1.5962799999999999</v>
      </c>
      <c r="K78" s="242">
        <f t="shared" si="4"/>
        <v>31.925599999999999</v>
      </c>
    </row>
    <row r="79" spans="1:11" ht="30" customHeight="1">
      <c r="A79" s="192" t="s">
        <v>309</v>
      </c>
      <c r="B79" s="189">
        <v>2034</v>
      </c>
      <c r="C79" s="189" t="s">
        <v>369</v>
      </c>
      <c r="D79" s="189" t="s">
        <v>999</v>
      </c>
      <c r="E79" s="190" t="s">
        <v>370</v>
      </c>
      <c r="F79" s="189" t="s">
        <v>227</v>
      </c>
      <c r="G79" s="246">
        <v>20</v>
      </c>
      <c r="H79" s="191">
        <v>9.9</v>
      </c>
      <c r="I79" s="191">
        <f t="shared" si="3"/>
        <v>1.38798</v>
      </c>
      <c r="J79" s="191">
        <f t="shared" si="5"/>
        <v>11.287980000000001</v>
      </c>
      <c r="K79" s="242">
        <f t="shared" si="4"/>
        <v>225.75960000000003</v>
      </c>
    </row>
    <row r="80" spans="1:11" ht="15" customHeight="1">
      <c r="A80" s="192" t="s">
        <v>309</v>
      </c>
      <c r="B80" s="189">
        <v>2035</v>
      </c>
      <c r="C80" s="189" t="s">
        <v>371</v>
      </c>
      <c r="D80" s="189" t="s">
        <v>999</v>
      </c>
      <c r="E80" s="190" t="s">
        <v>372</v>
      </c>
      <c r="F80" s="189" t="s">
        <v>227</v>
      </c>
      <c r="G80" s="246">
        <v>20</v>
      </c>
      <c r="H80" s="191">
        <v>6.9</v>
      </c>
      <c r="I80" s="191">
        <f t="shared" si="3"/>
        <v>0.96738000000000002</v>
      </c>
      <c r="J80" s="191">
        <f t="shared" si="5"/>
        <v>7.8673800000000007</v>
      </c>
      <c r="K80" s="242">
        <f t="shared" si="4"/>
        <v>157.3476</v>
      </c>
    </row>
    <row r="81" spans="1:11" ht="30" customHeight="1">
      <c r="A81" s="192" t="s">
        <v>309</v>
      </c>
      <c r="B81" s="189">
        <v>2036</v>
      </c>
      <c r="C81" s="189" t="s">
        <v>357</v>
      </c>
      <c r="D81" s="189" t="s">
        <v>999</v>
      </c>
      <c r="E81" s="190" t="s">
        <v>358</v>
      </c>
      <c r="F81" s="189" t="s">
        <v>268</v>
      </c>
      <c r="G81" s="246">
        <v>30</v>
      </c>
      <c r="H81" s="191">
        <v>4.18</v>
      </c>
      <c r="I81" s="191">
        <f t="shared" si="3"/>
        <v>0.58603599999999989</v>
      </c>
      <c r="J81" s="191">
        <f t="shared" si="5"/>
        <v>4.7660359999999997</v>
      </c>
      <c r="K81" s="242">
        <f t="shared" si="4"/>
        <v>142.98107999999999</v>
      </c>
    </row>
    <row r="82" spans="1:11" ht="31.5" customHeight="1">
      <c r="A82" s="192" t="s">
        <v>309</v>
      </c>
      <c r="B82" s="189">
        <v>2037</v>
      </c>
      <c r="C82" s="189" t="s">
        <v>373</v>
      </c>
      <c r="D82" s="189" t="s">
        <v>999</v>
      </c>
      <c r="E82" s="190" t="s">
        <v>374</v>
      </c>
      <c r="F82" s="189" t="s">
        <v>227</v>
      </c>
      <c r="G82" s="246">
        <v>20</v>
      </c>
      <c r="H82" s="191">
        <v>4.1399999999999997</v>
      </c>
      <c r="I82" s="191">
        <f t="shared" si="3"/>
        <v>0.58042799999999994</v>
      </c>
      <c r="J82" s="191">
        <f t="shared" si="5"/>
        <v>4.7204280000000001</v>
      </c>
      <c r="K82" s="242">
        <f t="shared" si="4"/>
        <v>94.408559999999994</v>
      </c>
    </row>
    <row r="83" spans="1:11" ht="25.5" customHeight="1">
      <c r="A83" s="196" t="s">
        <v>375</v>
      </c>
      <c r="B83" s="193">
        <v>3001</v>
      </c>
      <c r="C83" s="193" t="s">
        <v>376</v>
      </c>
      <c r="D83" s="193" t="s">
        <v>999</v>
      </c>
      <c r="E83" s="194" t="s">
        <v>377</v>
      </c>
      <c r="F83" s="193" t="s">
        <v>227</v>
      </c>
      <c r="G83" s="247">
        <v>30</v>
      </c>
      <c r="H83" s="195">
        <v>3.28</v>
      </c>
      <c r="I83" s="195">
        <f t="shared" si="3"/>
        <v>0.45985599999999993</v>
      </c>
      <c r="J83" s="195">
        <f t="shared" si="5"/>
        <v>3.7398559999999996</v>
      </c>
      <c r="K83" s="243">
        <f t="shared" si="4"/>
        <v>112.19567999999998</v>
      </c>
    </row>
    <row r="84" spans="1:11" ht="15" customHeight="1">
      <c r="A84" s="196" t="s">
        <v>375</v>
      </c>
      <c r="B84" s="193">
        <v>3002</v>
      </c>
      <c r="C84" s="193" t="s">
        <v>378</v>
      </c>
      <c r="D84" s="193" t="s">
        <v>999</v>
      </c>
      <c r="E84" s="194" t="s">
        <v>379</v>
      </c>
      <c r="F84" s="193" t="s">
        <v>380</v>
      </c>
      <c r="G84" s="247">
        <v>5</v>
      </c>
      <c r="H84" s="195">
        <v>0.57999999999999996</v>
      </c>
      <c r="I84" s="195">
        <f t="shared" si="3"/>
        <v>8.1315999999999986E-2</v>
      </c>
      <c r="J84" s="195">
        <f t="shared" si="5"/>
        <v>0.6613159999999999</v>
      </c>
      <c r="K84" s="243">
        <f t="shared" si="4"/>
        <v>3.3065799999999994</v>
      </c>
    </row>
    <row r="85" spans="1:11" ht="15" customHeight="1">
      <c r="A85" s="196" t="s">
        <v>375</v>
      </c>
      <c r="B85" s="193">
        <v>3003</v>
      </c>
      <c r="C85" s="193" t="s">
        <v>381</v>
      </c>
      <c r="D85" s="193" t="s">
        <v>999</v>
      </c>
      <c r="E85" s="194" t="s">
        <v>382</v>
      </c>
      <c r="F85" s="193" t="s">
        <v>383</v>
      </c>
      <c r="G85" s="247">
        <v>1</v>
      </c>
      <c r="H85" s="195">
        <v>77.89</v>
      </c>
      <c r="I85" s="195">
        <f t="shared" si="3"/>
        <v>10.920178</v>
      </c>
      <c r="J85" s="195">
        <f t="shared" si="5"/>
        <v>88.810178000000008</v>
      </c>
      <c r="K85" s="243">
        <f t="shared" si="4"/>
        <v>88.810178000000008</v>
      </c>
    </row>
    <row r="86" spans="1:11" ht="15" customHeight="1">
      <c r="A86" s="196" t="s">
        <v>375</v>
      </c>
      <c r="B86" s="193">
        <v>3004</v>
      </c>
      <c r="C86" s="193" t="s">
        <v>384</v>
      </c>
      <c r="D86" s="193" t="s">
        <v>999</v>
      </c>
      <c r="E86" s="194" t="s">
        <v>385</v>
      </c>
      <c r="F86" s="193" t="s">
        <v>383</v>
      </c>
      <c r="G86" s="247">
        <v>2</v>
      </c>
      <c r="H86" s="195">
        <v>80</v>
      </c>
      <c r="I86" s="195">
        <f t="shared" si="3"/>
        <v>11.215999999999999</v>
      </c>
      <c r="J86" s="195">
        <f t="shared" si="5"/>
        <v>91.215999999999994</v>
      </c>
      <c r="K86" s="243">
        <f t="shared" si="4"/>
        <v>182.43199999999999</v>
      </c>
    </row>
    <row r="87" spans="1:11" ht="31.5" customHeight="1">
      <c r="A87" s="196" t="s">
        <v>375</v>
      </c>
      <c r="B87" s="193">
        <v>3005</v>
      </c>
      <c r="C87" s="240" t="s">
        <v>386</v>
      </c>
      <c r="D87" s="240" t="s">
        <v>1000</v>
      </c>
      <c r="E87" s="194" t="s">
        <v>387</v>
      </c>
      <c r="F87" s="193" t="s">
        <v>380</v>
      </c>
      <c r="G87" s="247">
        <v>5</v>
      </c>
      <c r="H87" s="195">
        <v>0.55000000000000004</v>
      </c>
      <c r="I87" s="195">
        <f t="shared" si="3"/>
        <v>7.7109999999999998E-2</v>
      </c>
      <c r="J87" s="195">
        <f t="shared" si="5"/>
        <v>0.62711000000000006</v>
      </c>
      <c r="K87" s="243">
        <f t="shared" si="4"/>
        <v>3.1355500000000003</v>
      </c>
    </row>
    <row r="88" spans="1:11" ht="25.5" customHeight="1">
      <c r="A88" s="196" t="s">
        <v>375</v>
      </c>
      <c r="B88" s="193">
        <v>3006</v>
      </c>
      <c r="C88" s="193" t="s">
        <v>388</v>
      </c>
      <c r="D88" s="193" t="s">
        <v>999</v>
      </c>
      <c r="E88" s="194" t="s">
        <v>389</v>
      </c>
      <c r="F88" s="193" t="s">
        <v>380</v>
      </c>
      <c r="G88" s="247">
        <v>300</v>
      </c>
      <c r="H88" s="195">
        <v>0.76</v>
      </c>
      <c r="I88" s="195">
        <f t="shared" si="3"/>
        <v>0.10655199999999999</v>
      </c>
      <c r="J88" s="195">
        <f t="shared" si="5"/>
        <v>0.86655199999999999</v>
      </c>
      <c r="K88" s="243">
        <f t="shared" si="4"/>
        <v>259.96559999999999</v>
      </c>
    </row>
    <row r="89" spans="1:11" ht="32.25" customHeight="1">
      <c r="A89" s="196" t="s">
        <v>375</v>
      </c>
      <c r="B89" s="193">
        <v>3007</v>
      </c>
      <c r="C89" s="237" t="s">
        <v>390</v>
      </c>
      <c r="D89" s="193" t="s">
        <v>999</v>
      </c>
      <c r="E89" s="194" t="s">
        <v>391</v>
      </c>
      <c r="F89" s="193" t="s">
        <v>392</v>
      </c>
      <c r="G89" s="247">
        <v>3</v>
      </c>
      <c r="H89" s="195">
        <v>40.74</v>
      </c>
      <c r="I89" s="195">
        <f t="shared" si="3"/>
        <v>5.711748</v>
      </c>
      <c r="J89" s="195">
        <f t="shared" si="5"/>
        <v>46.451748000000002</v>
      </c>
      <c r="K89" s="243">
        <f t="shared" si="4"/>
        <v>139.355244</v>
      </c>
    </row>
    <row r="90" spans="1:11" ht="25.5" customHeight="1">
      <c r="A90" s="196" t="s">
        <v>375</v>
      </c>
      <c r="B90" s="193">
        <v>3008</v>
      </c>
      <c r="C90" s="193" t="s">
        <v>393</v>
      </c>
      <c r="D90" s="193" t="s">
        <v>999</v>
      </c>
      <c r="E90" s="194" t="s">
        <v>394</v>
      </c>
      <c r="F90" s="193" t="s">
        <v>392</v>
      </c>
      <c r="G90" s="247">
        <v>3</v>
      </c>
      <c r="H90" s="195">
        <v>56.32</v>
      </c>
      <c r="I90" s="195">
        <f t="shared" si="3"/>
        <v>7.896064</v>
      </c>
      <c r="J90" s="195">
        <f t="shared" si="5"/>
        <v>64.216064000000003</v>
      </c>
      <c r="K90" s="243">
        <f t="shared" si="4"/>
        <v>192.64819199999999</v>
      </c>
    </row>
    <row r="91" spans="1:11" ht="15" customHeight="1">
      <c r="A91" s="196" t="s">
        <v>375</v>
      </c>
      <c r="B91" s="193">
        <v>3009</v>
      </c>
      <c r="C91" s="237" t="s">
        <v>395</v>
      </c>
      <c r="D91" s="193" t="s">
        <v>999</v>
      </c>
      <c r="E91" s="194" t="s">
        <v>396</v>
      </c>
      <c r="F91" s="193" t="s">
        <v>268</v>
      </c>
      <c r="G91" s="247">
        <v>10</v>
      </c>
      <c r="H91" s="195">
        <v>27.47</v>
      </c>
      <c r="I91" s="195">
        <f t="shared" si="3"/>
        <v>3.8512939999999998</v>
      </c>
      <c r="J91" s="195">
        <f t="shared" si="5"/>
        <v>31.321293999999998</v>
      </c>
      <c r="K91" s="243">
        <f t="shared" si="4"/>
        <v>313.21294</v>
      </c>
    </row>
    <row r="92" spans="1:11" ht="25.5" customHeight="1">
      <c r="A92" s="196" t="s">
        <v>375</v>
      </c>
      <c r="B92" s="193">
        <v>3010</v>
      </c>
      <c r="C92" s="240" t="s">
        <v>397</v>
      </c>
      <c r="D92" s="240" t="s">
        <v>1000</v>
      </c>
      <c r="E92" s="194" t="s">
        <v>398</v>
      </c>
      <c r="F92" s="193" t="s">
        <v>268</v>
      </c>
      <c r="G92" s="247">
        <v>10</v>
      </c>
      <c r="H92" s="195">
        <v>8.36</v>
      </c>
      <c r="I92" s="195">
        <f t="shared" si="3"/>
        <v>1.1720719999999998</v>
      </c>
      <c r="J92" s="195">
        <f t="shared" si="5"/>
        <v>9.5320719999999994</v>
      </c>
      <c r="K92" s="243">
        <f t="shared" si="4"/>
        <v>95.320719999999994</v>
      </c>
    </row>
    <row r="93" spans="1:11" s="218" customFormat="1" ht="30" customHeight="1">
      <c r="A93" s="236" t="s">
        <v>375</v>
      </c>
      <c r="B93" s="193">
        <v>3011</v>
      </c>
      <c r="C93" s="237" t="s">
        <v>399</v>
      </c>
      <c r="D93" s="193" t="s">
        <v>999</v>
      </c>
      <c r="E93" s="238" t="s">
        <v>400</v>
      </c>
      <c r="F93" s="237" t="s">
        <v>268</v>
      </c>
      <c r="G93" s="247">
        <v>5</v>
      </c>
      <c r="H93" s="239">
        <v>53.3</v>
      </c>
      <c r="I93" s="239">
        <f t="shared" si="3"/>
        <v>7.4726599999999994</v>
      </c>
      <c r="J93" s="195">
        <f t="shared" si="5"/>
        <v>60.772659999999995</v>
      </c>
      <c r="K93" s="244">
        <f t="shared" si="4"/>
        <v>303.86329999999998</v>
      </c>
    </row>
    <row r="94" spans="1:11" ht="25.5" customHeight="1">
      <c r="A94" s="196" t="s">
        <v>375</v>
      </c>
      <c r="B94" s="193">
        <v>3012</v>
      </c>
      <c r="C94" s="193" t="s">
        <v>401</v>
      </c>
      <c r="D94" s="193" t="s">
        <v>999</v>
      </c>
      <c r="E94" s="194" t="s">
        <v>402</v>
      </c>
      <c r="F94" s="193" t="s">
        <v>392</v>
      </c>
      <c r="G94" s="247">
        <v>30</v>
      </c>
      <c r="H94" s="195">
        <v>17.52</v>
      </c>
      <c r="I94" s="195">
        <f t="shared" si="3"/>
        <v>2.4563039999999998</v>
      </c>
      <c r="J94" s="195">
        <f t="shared" si="5"/>
        <v>19.976303999999999</v>
      </c>
      <c r="K94" s="243">
        <f t="shared" si="4"/>
        <v>599.28911999999991</v>
      </c>
    </row>
    <row r="95" spans="1:11" ht="25.5" customHeight="1">
      <c r="A95" s="196" t="s">
        <v>375</v>
      </c>
      <c r="B95" s="193">
        <v>3013</v>
      </c>
      <c r="C95" s="193" t="s">
        <v>403</v>
      </c>
      <c r="D95" s="193" t="s">
        <v>999</v>
      </c>
      <c r="E95" s="194" t="s">
        <v>404</v>
      </c>
      <c r="F95" s="193" t="s">
        <v>268</v>
      </c>
      <c r="G95" s="247">
        <v>100</v>
      </c>
      <c r="H95" s="195">
        <v>6.64</v>
      </c>
      <c r="I95" s="195">
        <f t="shared" si="3"/>
        <v>0.93092799999999987</v>
      </c>
      <c r="J95" s="195">
        <f t="shared" si="5"/>
        <v>7.5709279999999994</v>
      </c>
      <c r="K95" s="243">
        <f t="shared" si="4"/>
        <v>757.0927999999999</v>
      </c>
    </row>
    <row r="96" spans="1:11" ht="25.5" customHeight="1">
      <c r="A96" s="196" t="s">
        <v>375</v>
      </c>
      <c r="B96" s="193">
        <v>3014</v>
      </c>
      <c r="C96" s="193" t="s">
        <v>405</v>
      </c>
      <c r="D96" s="193" t="s">
        <v>999</v>
      </c>
      <c r="E96" s="194" t="s">
        <v>406</v>
      </c>
      <c r="F96" s="193" t="s">
        <v>227</v>
      </c>
      <c r="G96" s="247">
        <v>133</v>
      </c>
      <c r="H96" s="195">
        <v>2.5</v>
      </c>
      <c r="I96" s="195">
        <f t="shared" si="3"/>
        <v>0.35049999999999998</v>
      </c>
      <c r="J96" s="195">
        <f t="shared" si="5"/>
        <v>2.8504999999999998</v>
      </c>
      <c r="K96" s="243">
        <f t="shared" si="4"/>
        <v>379.11649999999997</v>
      </c>
    </row>
    <row r="97" spans="1:11" ht="25.5" customHeight="1">
      <c r="A97" s="196" t="s">
        <v>375</v>
      </c>
      <c r="B97" s="193">
        <v>3015</v>
      </c>
      <c r="C97" s="193" t="s">
        <v>407</v>
      </c>
      <c r="D97" s="193" t="s">
        <v>999</v>
      </c>
      <c r="E97" s="194" t="s">
        <v>408</v>
      </c>
      <c r="F97" s="193" t="s">
        <v>268</v>
      </c>
      <c r="G97" s="247">
        <v>144</v>
      </c>
      <c r="H97" s="195">
        <v>2.42</v>
      </c>
      <c r="I97" s="195">
        <f t="shared" si="3"/>
        <v>0.33928399999999997</v>
      </c>
      <c r="J97" s="195">
        <f t="shared" si="5"/>
        <v>2.7592840000000001</v>
      </c>
      <c r="K97" s="243">
        <f t="shared" si="4"/>
        <v>397.33689600000002</v>
      </c>
    </row>
    <row r="98" spans="1:11" ht="25.5" customHeight="1">
      <c r="A98" s="196" t="s">
        <v>375</v>
      </c>
      <c r="B98" s="193">
        <v>3016</v>
      </c>
      <c r="C98" s="193" t="s">
        <v>409</v>
      </c>
      <c r="D98" s="193" t="s">
        <v>999</v>
      </c>
      <c r="E98" s="194" t="s">
        <v>410</v>
      </c>
      <c r="F98" s="193" t="s">
        <v>380</v>
      </c>
      <c r="G98" s="247">
        <v>52</v>
      </c>
      <c r="H98" s="195">
        <v>3.03</v>
      </c>
      <c r="I98" s="195">
        <f t="shared" si="3"/>
        <v>0.42480599999999996</v>
      </c>
      <c r="J98" s="195">
        <f t="shared" si="5"/>
        <v>3.4548059999999996</v>
      </c>
      <c r="K98" s="243">
        <f t="shared" si="4"/>
        <v>179.64991199999997</v>
      </c>
    </row>
    <row r="99" spans="1:11" ht="25.5" customHeight="1">
      <c r="A99" s="196" t="s">
        <v>375</v>
      </c>
      <c r="B99" s="193">
        <v>3017</v>
      </c>
      <c r="C99" s="193" t="s">
        <v>411</v>
      </c>
      <c r="D99" s="193" t="s">
        <v>999</v>
      </c>
      <c r="E99" s="194" t="s">
        <v>412</v>
      </c>
      <c r="F99" s="193" t="s">
        <v>227</v>
      </c>
      <c r="G99" s="247">
        <v>797</v>
      </c>
      <c r="H99" s="195">
        <v>0.13</v>
      </c>
      <c r="I99" s="195">
        <f t="shared" si="3"/>
        <v>1.8225999999999999E-2</v>
      </c>
      <c r="J99" s="195">
        <f t="shared" si="5"/>
        <v>0.148226</v>
      </c>
      <c r="K99" s="243">
        <f t="shared" si="4"/>
        <v>118.136122</v>
      </c>
    </row>
    <row r="100" spans="1:11" ht="25.5" customHeight="1">
      <c r="A100" s="196" t="s">
        <v>375</v>
      </c>
      <c r="B100" s="193">
        <v>3018</v>
      </c>
      <c r="C100" s="193" t="s">
        <v>413</v>
      </c>
      <c r="D100" s="193" t="s">
        <v>999</v>
      </c>
      <c r="E100" s="194" t="s">
        <v>414</v>
      </c>
      <c r="F100" s="193" t="s">
        <v>227</v>
      </c>
      <c r="G100" s="247">
        <v>219</v>
      </c>
      <c r="H100" s="195">
        <v>0.3</v>
      </c>
      <c r="I100" s="195">
        <f t="shared" si="3"/>
        <v>4.2059999999999993E-2</v>
      </c>
      <c r="J100" s="195">
        <f t="shared" si="5"/>
        <v>0.34205999999999998</v>
      </c>
      <c r="K100" s="243">
        <f t="shared" si="4"/>
        <v>74.911139999999989</v>
      </c>
    </row>
    <row r="101" spans="1:11" ht="15" customHeight="1">
      <c r="A101" s="196" t="s">
        <v>375</v>
      </c>
      <c r="B101" s="193">
        <v>3019</v>
      </c>
      <c r="C101" s="193" t="s">
        <v>415</v>
      </c>
      <c r="D101" s="193" t="s">
        <v>999</v>
      </c>
      <c r="E101" s="194" t="s">
        <v>416</v>
      </c>
      <c r="F101" s="193" t="s">
        <v>417</v>
      </c>
      <c r="G101" s="247">
        <v>1</v>
      </c>
      <c r="H101" s="195">
        <v>33.83</v>
      </c>
      <c r="I101" s="195">
        <f t="shared" si="3"/>
        <v>4.7429659999999991</v>
      </c>
      <c r="J101" s="195">
        <f t="shared" si="5"/>
        <v>38.572965999999994</v>
      </c>
      <c r="K101" s="243">
        <f t="shared" si="4"/>
        <v>38.572965999999994</v>
      </c>
    </row>
    <row r="102" spans="1:11" ht="25.5" customHeight="1">
      <c r="A102" s="196" t="s">
        <v>375</v>
      </c>
      <c r="B102" s="193">
        <v>3020</v>
      </c>
      <c r="C102" s="193" t="s">
        <v>418</v>
      </c>
      <c r="D102" s="193" t="s">
        <v>999</v>
      </c>
      <c r="E102" s="194" t="s">
        <v>419</v>
      </c>
      <c r="F102" s="193" t="s">
        <v>380</v>
      </c>
      <c r="G102" s="247">
        <v>4</v>
      </c>
      <c r="H102" s="195">
        <v>28.11</v>
      </c>
      <c r="I102" s="195">
        <f t="shared" si="3"/>
        <v>3.9410219999999998</v>
      </c>
      <c r="J102" s="195">
        <f t="shared" si="5"/>
        <v>32.051021999999996</v>
      </c>
      <c r="K102" s="243">
        <f t="shared" si="4"/>
        <v>128.20408799999998</v>
      </c>
    </row>
    <row r="103" spans="1:11" ht="15" customHeight="1">
      <c r="A103" s="196" t="s">
        <v>375</v>
      </c>
      <c r="B103" s="193">
        <v>3021</v>
      </c>
      <c r="C103" s="193" t="s">
        <v>420</v>
      </c>
      <c r="D103" s="193" t="s">
        <v>999</v>
      </c>
      <c r="E103" s="194" t="s">
        <v>421</v>
      </c>
      <c r="F103" s="193" t="s">
        <v>380</v>
      </c>
      <c r="G103" s="247">
        <v>3</v>
      </c>
      <c r="H103" s="195">
        <v>34.520000000000003</v>
      </c>
      <c r="I103" s="195">
        <f t="shared" si="3"/>
        <v>4.8397040000000002</v>
      </c>
      <c r="J103" s="195">
        <f t="shared" si="5"/>
        <v>39.359704000000001</v>
      </c>
      <c r="K103" s="243">
        <f t="shared" si="4"/>
        <v>118.07911200000001</v>
      </c>
    </row>
    <row r="104" spans="1:11" ht="15" customHeight="1">
      <c r="A104" s="196" t="s">
        <v>375</v>
      </c>
      <c r="B104" s="193">
        <v>3022</v>
      </c>
      <c r="C104" s="193" t="s">
        <v>422</v>
      </c>
      <c r="D104" s="193" t="s">
        <v>999</v>
      </c>
      <c r="E104" s="194" t="s">
        <v>423</v>
      </c>
      <c r="F104" s="193" t="s">
        <v>380</v>
      </c>
      <c r="G104" s="247">
        <v>100</v>
      </c>
      <c r="H104" s="195">
        <v>0.69</v>
      </c>
      <c r="I104" s="195">
        <f t="shared" si="3"/>
        <v>9.6737999999999991E-2</v>
      </c>
      <c r="J104" s="195">
        <f t="shared" si="5"/>
        <v>0.78673799999999994</v>
      </c>
      <c r="K104" s="243">
        <f t="shared" si="4"/>
        <v>78.6738</v>
      </c>
    </row>
    <row r="105" spans="1:11" ht="15" customHeight="1">
      <c r="A105" s="196" t="s">
        <v>375</v>
      </c>
      <c r="B105" s="193">
        <v>3023</v>
      </c>
      <c r="C105" s="193" t="s">
        <v>424</v>
      </c>
      <c r="D105" s="193" t="s">
        <v>999</v>
      </c>
      <c r="E105" s="194" t="s">
        <v>425</v>
      </c>
      <c r="F105" s="193" t="s">
        <v>392</v>
      </c>
      <c r="G105" s="247">
        <v>50</v>
      </c>
      <c r="H105" s="195">
        <v>9.7200000000000006</v>
      </c>
      <c r="I105" s="195">
        <f t="shared" si="3"/>
        <v>1.362744</v>
      </c>
      <c r="J105" s="195">
        <f t="shared" si="5"/>
        <v>11.082744</v>
      </c>
      <c r="K105" s="243">
        <f t="shared" si="4"/>
        <v>554.13720000000001</v>
      </c>
    </row>
    <row r="106" spans="1:11" ht="15" customHeight="1">
      <c r="A106" s="196" t="s">
        <v>375</v>
      </c>
      <c r="B106" s="193">
        <v>3024</v>
      </c>
      <c r="C106" s="193" t="s">
        <v>426</v>
      </c>
      <c r="D106" s="193" t="s">
        <v>999</v>
      </c>
      <c r="E106" s="194" t="s">
        <v>427</v>
      </c>
      <c r="F106" s="193" t="s">
        <v>380</v>
      </c>
      <c r="G106" s="247">
        <v>1</v>
      </c>
      <c r="H106" s="195">
        <v>14.45</v>
      </c>
      <c r="I106" s="195">
        <f t="shared" si="3"/>
        <v>2.02589</v>
      </c>
      <c r="J106" s="195">
        <f t="shared" si="5"/>
        <v>16.47589</v>
      </c>
      <c r="K106" s="243">
        <f t="shared" si="4"/>
        <v>16.47589</v>
      </c>
    </row>
    <row r="107" spans="1:11" ht="15" customHeight="1">
      <c r="A107" s="196" t="s">
        <v>375</v>
      </c>
      <c r="B107" s="193">
        <v>3025</v>
      </c>
      <c r="C107" s="193" t="s">
        <v>415</v>
      </c>
      <c r="D107" s="193" t="s">
        <v>999</v>
      </c>
      <c r="E107" s="194" t="s">
        <v>416</v>
      </c>
      <c r="F107" s="193" t="s">
        <v>417</v>
      </c>
      <c r="G107" s="247">
        <v>3</v>
      </c>
      <c r="H107" s="195">
        <v>33.83</v>
      </c>
      <c r="I107" s="195">
        <f t="shared" si="3"/>
        <v>4.7429659999999991</v>
      </c>
      <c r="J107" s="195">
        <f t="shared" si="5"/>
        <v>38.572965999999994</v>
      </c>
      <c r="K107" s="243">
        <f t="shared" si="4"/>
        <v>115.71889799999998</v>
      </c>
    </row>
    <row r="108" spans="1:11" ht="38.25" customHeight="1">
      <c r="A108" s="196" t="s">
        <v>375</v>
      </c>
      <c r="B108" s="193">
        <v>3026</v>
      </c>
      <c r="C108" s="193" t="s">
        <v>428</v>
      </c>
      <c r="D108" s="193" t="s">
        <v>999</v>
      </c>
      <c r="E108" s="194" t="s">
        <v>429</v>
      </c>
      <c r="F108" s="193" t="s">
        <v>430</v>
      </c>
      <c r="G108" s="247">
        <v>10</v>
      </c>
      <c r="H108" s="195">
        <v>2000</v>
      </c>
      <c r="I108" s="195">
        <f t="shared" si="3"/>
        <v>280.39999999999998</v>
      </c>
      <c r="J108" s="195">
        <f t="shared" si="5"/>
        <v>2280.4</v>
      </c>
      <c r="K108" s="243">
        <f t="shared" si="4"/>
        <v>22804</v>
      </c>
    </row>
    <row r="109" spans="1:11" ht="15" customHeight="1">
      <c r="A109" s="196" t="s">
        <v>375</v>
      </c>
      <c r="B109" s="193">
        <v>3027</v>
      </c>
      <c r="C109" s="193" t="s">
        <v>431</v>
      </c>
      <c r="D109" s="193" t="s">
        <v>999</v>
      </c>
      <c r="E109" s="194" t="s">
        <v>432</v>
      </c>
      <c r="F109" s="193" t="s">
        <v>268</v>
      </c>
      <c r="G109" s="247">
        <v>15</v>
      </c>
      <c r="H109" s="195">
        <v>36.619999999999997</v>
      </c>
      <c r="I109" s="195">
        <f t="shared" si="3"/>
        <v>5.134123999999999</v>
      </c>
      <c r="J109" s="195">
        <f t="shared" si="5"/>
        <v>41.754123999999997</v>
      </c>
      <c r="K109" s="243">
        <f t="shared" si="4"/>
        <v>626.31185999999991</v>
      </c>
    </row>
    <row r="110" spans="1:11" ht="25.5">
      <c r="A110" s="236" t="s">
        <v>375</v>
      </c>
      <c r="B110" s="193">
        <v>3028</v>
      </c>
      <c r="C110" s="237" t="s">
        <v>433</v>
      </c>
      <c r="D110" s="193" t="s">
        <v>999</v>
      </c>
      <c r="E110" s="238" t="s">
        <v>434</v>
      </c>
      <c r="F110" s="237" t="s">
        <v>227</v>
      </c>
      <c r="G110" s="247">
        <v>15</v>
      </c>
      <c r="H110" s="239">
        <v>44.54</v>
      </c>
      <c r="I110" s="239">
        <f t="shared" si="3"/>
        <v>6.2445079999999997</v>
      </c>
      <c r="J110" s="195">
        <f t="shared" si="5"/>
        <v>50.784508000000002</v>
      </c>
      <c r="K110" s="244">
        <f t="shared" si="4"/>
        <v>761.76762000000008</v>
      </c>
    </row>
    <row r="111" spans="1:11" s="218" customFormat="1" ht="38.25">
      <c r="A111" s="236" t="s">
        <v>375</v>
      </c>
      <c r="B111" s="193">
        <v>3029</v>
      </c>
      <c r="C111" s="237" t="s">
        <v>435</v>
      </c>
      <c r="D111" s="193" t="s">
        <v>999</v>
      </c>
      <c r="E111" s="238" t="s">
        <v>436</v>
      </c>
      <c r="F111" s="237" t="s">
        <v>437</v>
      </c>
      <c r="G111" s="247">
        <v>10</v>
      </c>
      <c r="H111" s="239">
        <v>169.95</v>
      </c>
      <c r="I111" s="239">
        <f t="shared" si="3"/>
        <v>23.826989999999999</v>
      </c>
      <c r="J111" s="195">
        <f t="shared" si="5"/>
        <v>193.77698999999998</v>
      </c>
      <c r="K111" s="244">
        <f t="shared" si="4"/>
        <v>1937.7698999999998</v>
      </c>
    </row>
    <row r="112" spans="1:11" s="218" customFormat="1" ht="48" customHeight="1">
      <c r="A112" s="196" t="s">
        <v>375</v>
      </c>
      <c r="B112" s="193">
        <v>3030</v>
      </c>
      <c r="C112" s="193" t="s">
        <v>438</v>
      </c>
      <c r="D112" s="193" t="s">
        <v>999</v>
      </c>
      <c r="E112" s="194" t="s">
        <v>439</v>
      </c>
      <c r="F112" s="193" t="s">
        <v>227</v>
      </c>
      <c r="G112" s="247">
        <v>100</v>
      </c>
      <c r="H112" s="195">
        <v>11.91</v>
      </c>
      <c r="I112" s="195">
        <f t="shared" si="3"/>
        <v>1.6697819999999999</v>
      </c>
      <c r="J112" s="195">
        <f t="shared" si="5"/>
        <v>13.579782</v>
      </c>
      <c r="K112" s="243">
        <f t="shared" si="4"/>
        <v>1357.9782</v>
      </c>
    </row>
    <row r="113" spans="1:11" ht="25.5" customHeight="1">
      <c r="A113" s="196" t="s">
        <v>375</v>
      </c>
      <c r="B113" s="193">
        <v>3031</v>
      </c>
      <c r="C113" s="240" t="s">
        <v>440</v>
      </c>
      <c r="D113" s="240" t="s">
        <v>1000</v>
      </c>
      <c r="E113" s="194" t="s">
        <v>441</v>
      </c>
      <c r="F113" s="193" t="s">
        <v>227</v>
      </c>
      <c r="G113" s="247">
        <v>5</v>
      </c>
      <c r="H113" s="195">
        <v>209.04</v>
      </c>
      <c r="I113" s="195">
        <f t="shared" si="3"/>
        <v>29.307407999999999</v>
      </c>
      <c r="J113" s="195">
        <f t="shared" si="5"/>
        <v>238.347408</v>
      </c>
      <c r="K113" s="243">
        <f t="shared" si="4"/>
        <v>1191.73704</v>
      </c>
    </row>
    <row r="114" spans="1:11" ht="25.5">
      <c r="A114" s="196" t="s">
        <v>375</v>
      </c>
      <c r="B114" s="193">
        <v>3032</v>
      </c>
      <c r="C114" s="240" t="s">
        <v>442</v>
      </c>
      <c r="D114" s="193" t="s">
        <v>999</v>
      </c>
      <c r="E114" s="194" t="s">
        <v>443</v>
      </c>
      <c r="F114" s="193" t="s">
        <v>227</v>
      </c>
      <c r="G114" s="247">
        <v>4</v>
      </c>
      <c r="H114" s="195">
        <v>1066.97</v>
      </c>
      <c r="I114" s="195">
        <f t="shared" si="3"/>
        <v>149.58919399999999</v>
      </c>
      <c r="J114" s="195">
        <f t="shared" si="5"/>
        <v>1216.5591939999999</v>
      </c>
      <c r="K114" s="243">
        <f t="shared" si="4"/>
        <v>4866.2367759999997</v>
      </c>
    </row>
    <row r="115" spans="1:11" ht="25.5">
      <c r="A115" s="196" t="s">
        <v>375</v>
      </c>
      <c r="B115" s="193">
        <v>3033</v>
      </c>
      <c r="C115" s="193" t="s">
        <v>444</v>
      </c>
      <c r="D115" s="193" t="s">
        <v>999</v>
      </c>
      <c r="E115" s="194" t="s">
        <v>445</v>
      </c>
      <c r="F115" s="193" t="s">
        <v>227</v>
      </c>
      <c r="G115" s="247">
        <v>2</v>
      </c>
      <c r="H115" s="195">
        <v>29.72</v>
      </c>
      <c r="I115" s="195">
        <f t="shared" si="3"/>
        <v>4.1667439999999996</v>
      </c>
      <c r="J115" s="195">
        <f t="shared" si="5"/>
        <v>33.886744</v>
      </c>
      <c r="K115" s="243">
        <f t="shared" si="4"/>
        <v>67.773488</v>
      </c>
    </row>
    <row r="116" spans="1:11" ht="25.5" customHeight="1">
      <c r="A116" s="196" t="s">
        <v>375</v>
      </c>
      <c r="B116" s="193">
        <v>3034</v>
      </c>
      <c r="C116" s="193" t="s">
        <v>446</v>
      </c>
      <c r="D116" s="193" t="s">
        <v>999</v>
      </c>
      <c r="E116" s="194" t="s">
        <v>447</v>
      </c>
      <c r="F116" s="193" t="s">
        <v>448</v>
      </c>
      <c r="G116" s="247">
        <v>10</v>
      </c>
      <c r="H116" s="195">
        <v>38.93</v>
      </c>
      <c r="I116" s="195">
        <f t="shared" si="3"/>
        <v>5.457986</v>
      </c>
      <c r="J116" s="195">
        <f t="shared" si="5"/>
        <v>44.387985999999998</v>
      </c>
      <c r="K116" s="243">
        <f t="shared" si="4"/>
        <v>443.87986000000001</v>
      </c>
    </row>
    <row r="117" spans="1:11" ht="15" customHeight="1">
      <c r="A117" s="196" t="s">
        <v>375</v>
      </c>
      <c r="B117" s="193">
        <v>3035</v>
      </c>
      <c r="C117" s="193" t="s">
        <v>449</v>
      </c>
      <c r="D117" s="193" t="s">
        <v>999</v>
      </c>
      <c r="E117" s="194" t="s">
        <v>450</v>
      </c>
      <c r="F117" s="193" t="s">
        <v>448</v>
      </c>
      <c r="G117" s="247">
        <v>18</v>
      </c>
      <c r="H117" s="195">
        <v>37.28</v>
      </c>
      <c r="I117" s="195">
        <f t="shared" si="3"/>
        <v>5.2266560000000002</v>
      </c>
      <c r="J117" s="195">
        <f t="shared" si="5"/>
        <v>42.506656</v>
      </c>
      <c r="K117" s="243">
        <f t="shared" si="4"/>
        <v>765.11980800000003</v>
      </c>
    </row>
    <row r="118" spans="1:11" ht="15" customHeight="1">
      <c r="A118" s="196" t="s">
        <v>375</v>
      </c>
      <c r="B118" s="193">
        <v>3036</v>
      </c>
      <c r="C118" s="240" t="s">
        <v>451</v>
      </c>
      <c r="D118" s="240" t="s">
        <v>1000</v>
      </c>
      <c r="E118" s="194" t="s">
        <v>452</v>
      </c>
      <c r="F118" s="193" t="s">
        <v>453</v>
      </c>
      <c r="G118" s="247">
        <v>18</v>
      </c>
      <c r="H118" s="195">
        <v>64.069999999999993</v>
      </c>
      <c r="I118" s="195">
        <f t="shared" si="3"/>
        <v>8.9826139999999981</v>
      </c>
      <c r="J118" s="195">
        <f t="shared" si="5"/>
        <v>73.052613999999991</v>
      </c>
      <c r="K118" s="243">
        <f t="shared" si="4"/>
        <v>1314.9470519999998</v>
      </c>
    </row>
    <row r="119" spans="1:11" ht="15" customHeight="1">
      <c r="A119" s="196" t="s">
        <v>375</v>
      </c>
      <c r="B119" s="193">
        <v>3037</v>
      </c>
      <c r="C119" s="193" t="s">
        <v>454</v>
      </c>
      <c r="D119" s="193" t="s">
        <v>999</v>
      </c>
      <c r="E119" s="194" t="s">
        <v>455</v>
      </c>
      <c r="F119" s="193" t="s">
        <v>380</v>
      </c>
      <c r="G119" s="247">
        <v>70</v>
      </c>
      <c r="H119" s="195">
        <v>3.8</v>
      </c>
      <c r="I119" s="195">
        <f t="shared" si="3"/>
        <v>0.5327599999999999</v>
      </c>
      <c r="J119" s="195">
        <f t="shared" si="5"/>
        <v>4.3327599999999995</v>
      </c>
      <c r="K119" s="243">
        <f t="shared" si="4"/>
        <v>303.29319999999996</v>
      </c>
    </row>
    <row r="120" spans="1:11" ht="15" customHeight="1">
      <c r="A120" s="196" t="s">
        <v>375</v>
      </c>
      <c r="B120" s="193">
        <v>3038</v>
      </c>
      <c r="C120" s="193" t="s">
        <v>456</v>
      </c>
      <c r="D120" s="193" t="s">
        <v>999</v>
      </c>
      <c r="E120" s="194" t="s">
        <v>457</v>
      </c>
      <c r="F120" s="193" t="s">
        <v>380</v>
      </c>
      <c r="G120" s="247">
        <v>70</v>
      </c>
      <c r="H120" s="195">
        <v>6.83</v>
      </c>
      <c r="I120" s="195">
        <f t="shared" si="3"/>
        <v>0.95756599999999992</v>
      </c>
      <c r="J120" s="195">
        <f t="shared" si="5"/>
        <v>7.787566</v>
      </c>
      <c r="K120" s="243">
        <f t="shared" si="4"/>
        <v>545.12962000000005</v>
      </c>
    </row>
    <row r="121" spans="1:11" ht="15" customHeight="1">
      <c r="A121" s="196" t="s">
        <v>375</v>
      </c>
      <c r="B121" s="193">
        <v>3039</v>
      </c>
      <c r="C121" s="193" t="s">
        <v>458</v>
      </c>
      <c r="D121" s="193" t="s">
        <v>999</v>
      </c>
      <c r="E121" s="194" t="s">
        <v>459</v>
      </c>
      <c r="F121" s="193" t="s">
        <v>448</v>
      </c>
      <c r="G121" s="247">
        <v>40</v>
      </c>
      <c r="H121" s="195">
        <v>23.52</v>
      </c>
      <c r="I121" s="195">
        <f t="shared" si="3"/>
        <v>3.2975039999999995</v>
      </c>
      <c r="J121" s="195">
        <f t="shared" si="5"/>
        <v>26.817504</v>
      </c>
      <c r="K121" s="243">
        <f t="shared" si="4"/>
        <v>1072.7001599999999</v>
      </c>
    </row>
    <row r="122" spans="1:11" ht="25.5">
      <c r="A122" s="196" t="s">
        <v>375</v>
      </c>
      <c r="B122" s="193">
        <v>3040</v>
      </c>
      <c r="C122" s="193" t="s">
        <v>460</v>
      </c>
      <c r="D122" s="193" t="s">
        <v>999</v>
      </c>
      <c r="E122" s="194" t="s">
        <v>461</v>
      </c>
      <c r="F122" s="193" t="s">
        <v>227</v>
      </c>
      <c r="G122" s="247">
        <v>30</v>
      </c>
      <c r="H122" s="195">
        <v>0.79</v>
      </c>
      <c r="I122" s="195">
        <f t="shared" si="3"/>
        <v>0.110758</v>
      </c>
      <c r="J122" s="195">
        <f t="shared" si="5"/>
        <v>0.90075800000000006</v>
      </c>
      <c r="K122" s="243">
        <f t="shared" si="4"/>
        <v>27.022740000000002</v>
      </c>
    </row>
    <row r="123" spans="1:11" ht="25.5" customHeight="1">
      <c r="A123" s="196" t="s">
        <v>375</v>
      </c>
      <c r="B123" s="193">
        <v>3041</v>
      </c>
      <c r="C123" s="240" t="s">
        <v>462</v>
      </c>
      <c r="D123" s="240" t="s">
        <v>1000</v>
      </c>
      <c r="E123" s="194" t="s">
        <v>463</v>
      </c>
      <c r="F123" s="193" t="s">
        <v>464</v>
      </c>
      <c r="G123" s="247">
        <v>3</v>
      </c>
      <c r="H123" s="195">
        <v>217.25</v>
      </c>
      <c r="I123" s="195">
        <f t="shared" si="3"/>
        <v>30.458449999999999</v>
      </c>
      <c r="J123" s="195">
        <f t="shared" si="5"/>
        <v>247.70845</v>
      </c>
      <c r="K123" s="243">
        <f t="shared" si="4"/>
        <v>743.12535000000003</v>
      </c>
    </row>
    <row r="124" spans="1:11" ht="15" customHeight="1">
      <c r="A124" s="196" t="s">
        <v>375</v>
      </c>
      <c r="B124" s="193">
        <v>3042</v>
      </c>
      <c r="C124" s="193" t="s">
        <v>465</v>
      </c>
      <c r="D124" s="193" t="s">
        <v>999</v>
      </c>
      <c r="E124" s="194" t="s">
        <v>466</v>
      </c>
      <c r="F124" s="193" t="s">
        <v>464</v>
      </c>
      <c r="G124" s="247">
        <v>3</v>
      </c>
      <c r="H124" s="195">
        <v>125.33</v>
      </c>
      <c r="I124" s="195">
        <f t="shared" si="3"/>
        <v>17.571265999999998</v>
      </c>
      <c r="J124" s="195">
        <f t="shared" si="5"/>
        <v>142.90126599999999</v>
      </c>
      <c r="K124" s="243">
        <f t="shared" si="4"/>
        <v>428.70379800000001</v>
      </c>
    </row>
    <row r="125" spans="1:11" ht="15" customHeight="1">
      <c r="A125" s="196" t="s">
        <v>375</v>
      </c>
      <c r="B125" s="193">
        <v>3043</v>
      </c>
      <c r="C125" s="193" t="s">
        <v>467</v>
      </c>
      <c r="D125" s="193" t="s">
        <v>999</v>
      </c>
      <c r="E125" s="194" t="s">
        <v>468</v>
      </c>
      <c r="F125" s="193" t="s">
        <v>464</v>
      </c>
      <c r="G125" s="247">
        <v>3</v>
      </c>
      <c r="H125" s="195">
        <v>104.44</v>
      </c>
      <c r="I125" s="195">
        <f t="shared" si="3"/>
        <v>14.642487999999998</v>
      </c>
      <c r="J125" s="195">
        <f t="shared" si="5"/>
        <v>119.082488</v>
      </c>
      <c r="K125" s="243">
        <f t="shared" si="4"/>
        <v>357.24746399999998</v>
      </c>
    </row>
    <row r="126" spans="1:11" ht="15" customHeight="1">
      <c r="A126" s="236" t="s">
        <v>375</v>
      </c>
      <c r="B126" s="193">
        <v>3044</v>
      </c>
      <c r="C126" s="237" t="s">
        <v>469</v>
      </c>
      <c r="D126" s="193" t="s">
        <v>999</v>
      </c>
      <c r="E126" s="238" t="s">
        <v>470</v>
      </c>
      <c r="F126" s="237" t="s">
        <v>227</v>
      </c>
      <c r="G126" s="247">
        <v>2</v>
      </c>
      <c r="H126" s="239">
        <v>183.13</v>
      </c>
      <c r="I126" s="239">
        <f>H126*$I$3</f>
        <v>25.674825999999999</v>
      </c>
      <c r="J126" s="195">
        <f t="shared" si="5"/>
        <v>208.80482599999999</v>
      </c>
      <c r="K126" s="244">
        <f>J126*G126</f>
        <v>417.60965199999998</v>
      </c>
    </row>
    <row r="127" spans="1:11">
      <c r="A127" s="248" t="s">
        <v>471</v>
      </c>
      <c r="B127" s="290">
        <v>4001</v>
      </c>
      <c r="C127" s="256" t="s">
        <v>291</v>
      </c>
      <c r="D127" s="256" t="s">
        <v>291</v>
      </c>
      <c r="E127" s="249" t="s">
        <v>472</v>
      </c>
      <c r="F127" s="250" t="s">
        <v>227</v>
      </c>
      <c r="G127" s="251">
        <v>1</v>
      </c>
      <c r="H127" s="252">
        <f>[2]MERCADO!M16</f>
        <v>804.78</v>
      </c>
      <c r="I127" s="252">
        <f>H127*$I$3</f>
        <v>112.83015599999999</v>
      </c>
      <c r="J127" s="252">
        <f t="shared" si="5"/>
        <v>917.61015599999996</v>
      </c>
      <c r="K127" s="253">
        <f>J127*G127</f>
        <v>917.61015599999996</v>
      </c>
    </row>
    <row r="128" spans="1:11" ht="15" customHeight="1">
      <c r="A128" s="248" t="s">
        <v>471</v>
      </c>
      <c r="B128" s="290">
        <v>4002</v>
      </c>
      <c r="C128" s="256" t="s">
        <v>291</v>
      </c>
      <c r="D128" s="256" t="s">
        <v>291</v>
      </c>
      <c r="E128" s="249" t="s">
        <v>473</v>
      </c>
      <c r="F128" s="250" t="s">
        <v>227</v>
      </c>
      <c r="G128" s="251">
        <v>1</v>
      </c>
      <c r="H128" s="252">
        <f>[2]MERCADO!M17</f>
        <v>2138.0500000000002</v>
      </c>
      <c r="I128" s="252">
        <f t="shared" ref="I128:I220" si="6">H128*$I$3</f>
        <v>299.75461000000001</v>
      </c>
      <c r="J128" s="252">
        <f t="shared" si="5"/>
        <v>2437.8046100000001</v>
      </c>
      <c r="K128" s="253">
        <f t="shared" ref="K128:K221" si="7">J128*G128</f>
        <v>2437.8046100000001</v>
      </c>
    </row>
    <row r="129" spans="1:11" s="218" customFormat="1">
      <c r="A129" s="248" t="s">
        <v>471</v>
      </c>
      <c r="B129" s="290">
        <v>4003</v>
      </c>
      <c r="C129" s="256" t="s">
        <v>291</v>
      </c>
      <c r="D129" s="256" t="s">
        <v>291</v>
      </c>
      <c r="E129" s="249" t="s">
        <v>474</v>
      </c>
      <c r="F129" s="250" t="s">
        <v>227</v>
      </c>
      <c r="G129" s="251">
        <v>1</v>
      </c>
      <c r="H129" s="252">
        <f>[2]MERCADO!M18</f>
        <v>3488.04</v>
      </c>
      <c r="I129" s="252">
        <f t="shared" si="6"/>
        <v>489.02320799999995</v>
      </c>
      <c r="J129" s="252">
        <f t="shared" si="5"/>
        <v>3977.063208</v>
      </c>
      <c r="K129" s="253">
        <f t="shared" si="7"/>
        <v>3977.063208</v>
      </c>
    </row>
    <row r="130" spans="1:11">
      <c r="A130" s="248" t="s">
        <v>471</v>
      </c>
      <c r="B130" s="290">
        <v>4004</v>
      </c>
      <c r="C130" s="256" t="s">
        <v>291</v>
      </c>
      <c r="D130" s="256" t="s">
        <v>291</v>
      </c>
      <c r="E130" s="249" t="s">
        <v>475</v>
      </c>
      <c r="F130" s="250" t="s">
        <v>227</v>
      </c>
      <c r="G130" s="251">
        <v>1</v>
      </c>
      <c r="H130" s="252">
        <f>[2]MERCADO!M19</f>
        <v>5127.62</v>
      </c>
      <c r="I130" s="252">
        <f t="shared" si="6"/>
        <v>718.89232399999992</v>
      </c>
      <c r="J130" s="252">
        <f t="shared" si="5"/>
        <v>5846.5123239999994</v>
      </c>
      <c r="K130" s="253">
        <f t="shared" si="7"/>
        <v>5846.5123239999994</v>
      </c>
    </row>
    <row r="131" spans="1:11">
      <c r="A131" s="248" t="s">
        <v>471</v>
      </c>
      <c r="B131" s="290">
        <v>4005</v>
      </c>
      <c r="C131" s="256" t="s">
        <v>291</v>
      </c>
      <c r="D131" s="256" t="s">
        <v>291</v>
      </c>
      <c r="E131" s="254" t="s">
        <v>476</v>
      </c>
      <c r="F131" s="250" t="s">
        <v>227</v>
      </c>
      <c r="G131" s="251">
        <v>3</v>
      </c>
      <c r="H131" s="252">
        <f>[2]MERCADO!M20</f>
        <v>30.89</v>
      </c>
      <c r="I131" s="252">
        <f t="shared" si="6"/>
        <v>4.3307779999999996</v>
      </c>
      <c r="J131" s="252">
        <f t="shared" si="5"/>
        <v>35.220778000000003</v>
      </c>
      <c r="K131" s="253">
        <f t="shared" si="7"/>
        <v>105.66233400000002</v>
      </c>
    </row>
    <row r="132" spans="1:11">
      <c r="A132" s="248" t="s">
        <v>471</v>
      </c>
      <c r="B132" s="290">
        <v>4006</v>
      </c>
      <c r="C132" s="256" t="s">
        <v>291</v>
      </c>
      <c r="D132" s="256" t="s">
        <v>291</v>
      </c>
      <c r="E132" s="254" t="s">
        <v>477</v>
      </c>
      <c r="F132" s="250" t="s">
        <v>227</v>
      </c>
      <c r="G132" s="251">
        <v>3</v>
      </c>
      <c r="H132" s="252">
        <f>[2]MERCADO!M21</f>
        <v>27.3</v>
      </c>
      <c r="I132" s="252">
        <f t="shared" si="6"/>
        <v>3.8274599999999999</v>
      </c>
      <c r="J132" s="252">
        <f t="shared" si="5"/>
        <v>31.127459999999999</v>
      </c>
      <c r="K132" s="253">
        <f t="shared" si="7"/>
        <v>93.382379999999998</v>
      </c>
    </row>
    <row r="133" spans="1:11">
      <c r="A133" s="248" t="s">
        <v>471</v>
      </c>
      <c r="B133" s="290">
        <v>4007</v>
      </c>
      <c r="C133" s="256" t="s">
        <v>291</v>
      </c>
      <c r="D133" s="256" t="s">
        <v>291</v>
      </c>
      <c r="E133" s="254" t="s">
        <v>478</v>
      </c>
      <c r="F133" s="250" t="s">
        <v>227</v>
      </c>
      <c r="G133" s="251">
        <v>3</v>
      </c>
      <c r="H133" s="252">
        <f>[2]MERCADO!M22</f>
        <v>29.88</v>
      </c>
      <c r="I133" s="252">
        <f t="shared" si="6"/>
        <v>4.1891759999999998</v>
      </c>
      <c r="J133" s="252">
        <f t="shared" si="5"/>
        <v>34.069175999999999</v>
      </c>
      <c r="K133" s="253">
        <f t="shared" si="7"/>
        <v>102.207528</v>
      </c>
    </row>
    <row r="134" spans="1:11">
      <c r="A134" s="248" t="s">
        <v>471</v>
      </c>
      <c r="B134" s="290">
        <v>4008</v>
      </c>
      <c r="C134" s="256" t="s">
        <v>291</v>
      </c>
      <c r="D134" s="256" t="s">
        <v>291</v>
      </c>
      <c r="E134" s="254" t="s">
        <v>479</v>
      </c>
      <c r="F134" s="250" t="s">
        <v>227</v>
      </c>
      <c r="G134" s="251">
        <v>3</v>
      </c>
      <c r="H134" s="252">
        <f>[2]MERCADO!M23</f>
        <v>30.48</v>
      </c>
      <c r="I134" s="252">
        <f t="shared" si="6"/>
        <v>4.2732960000000002</v>
      </c>
      <c r="J134" s="252">
        <f t="shared" si="5"/>
        <v>34.753295999999999</v>
      </c>
      <c r="K134" s="253">
        <f t="shared" si="7"/>
        <v>104.25988799999999</v>
      </c>
    </row>
    <row r="135" spans="1:11">
      <c r="A135" s="248" t="s">
        <v>471</v>
      </c>
      <c r="B135" s="290">
        <v>4009</v>
      </c>
      <c r="C135" s="256" t="s">
        <v>291</v>
      </c>
      <c r="D135" s="256" t="s">
        <v>291</v>
      </c>
      <c r="E135" s="254" t="s">
        <v>480</v>
      </c>
      <c r="F135" s="250" t="s">
        <v>227</v>
      </c>
      <c r="G135" s="251">
        <v>3</v>
      </c>
      <c r="H135" s="252">
        <f>[2]MERCADO!M24</f>
        <v>42.45</v>
      </c>
      <c r="I135" s="252">
        <f t="shared" si="6"/>
        <v>5.9514899999999997</v>
      </c>
      <c r="J135" s="252">
        <f t="shared" si="5"/>
        <v>48.401490000000003</v>
      </c>
      <c r="K135" s="253">
        <f t="shared" si="7"/>
        <v>145.20447000000001</v>
      </c>
    </row>
    <row r="136" spans="1:11">
      <c r="A136" s="248" t="s">
        <v>471</v>
      </c>
      <c r="B136" s="290">
        <v>4010</v>
      </c>
      <c r="C136" s="256" t="s">
        <v>291</v>
      </c>
      <c r="D136" s="256" t="s">
        <v>291</v>
      </c>
      <c r="E136" s="254" t="s">
        <v>481</v>
      </c>
      <c r="F136" s="250" t="s">
        <v>227</v>
      </c>
      <c r="G136" s="251">
        <v>3</v>
      </c>
      <c r="H136" s="252">
        <f>[2]MERCADO!M25</f>
        <v>35.369999999999997</v>
      </c>
      <c r="I136" s="252">
        <f t="shared" si="6"/>
        <v>4.9588739999999989</v>
      </c>
      <c r="J136" s="252">
        <f t="shared" si="5"/>
        <v>40.328873999999999</v>
      </c>
      <c r="K136" s="253">
        <f t="shared" si="7"/>
        <v>120.986622</v>
      </c>
    </row>
    <row r="137" spans="1:11">
      <c r="A137" s="248" t="s">
        <v>471</v>
      </c>
      <c r="B137" s="290">
        <v>4011</v>
      </c>
      <c r="C137" s="256" t="s">
        <v>291</v>
      </c>
      <c r="D137" s="256" t="s">
        <v>291</v>
      </c>
      <c r="E137" s="254" t="s">
        <v>482</v>
      </c>
      <c r="F137" s="250" t="s">
        <v>227</v>
      </c>
      <c r="G137" s="251">
        <v>3</v>
      </c>
      <c r="H137" s="252">
        <f>[2]MERCADO!M26</f>
        <v>36.97</v>
      </c>
      <c r="I137" s="252">
        <f t="shared" si="6"/>
        <v>5.1831939999999994</v>
      </c>
      <c r="J137" s="252">
        <f t="shared" ref="J137:J200" si="8">H137+I137</f>
        <v>42.153193999999999</v>
      </c>
      <c r="K137" s="253">
        <f t="shared" si="7"/>
        <v>126.459582</v>
      </c>
    </row>
    <row r="138" spans="1:11">
      <c r="A138" s="248" t="s">
        <v>471</v>
      </c>
      <c r="B138" s="290">
        <v>4012</v>
      </c>
      <c r="C138" s="256" t="s">
        <v>291</v>
      </c>
      <c r="D138" s="256" t="s">
        <v>291</v>
      </c>
      <c r="E138" s="254" t="s">
        <v>483</v>
      </c>
      <c r="F138" s="250" t="s">
        <v>227</v>
      </c>
      <c r="G138" s="251">
        <v>3</v>
      </c>
      <c r="H138" s="252">
        <f>[2]MERCADO!M27</f>
        <v>35.81</v>
      </c>
      <c r="I138" s="252">
        <f t="shared" si="6"/>
        <v>5.020562</v>
      </c>
      <c r="J138" s="252">
        <f t="shared" si="8"/>
        <v>40.830562</v>
      </c>
      <c r="K138" s="253">
        <f t="shared" si="7"/>
        <v>122.491686</v>
      </c>
    </row>
    <row r="139" spans="1:11">
      <c r="A139" s="248" t="s">
        <v>471</v>
      </c>
      <c r="B139" s="290">
        <v>4013</v>
      </c>
      <c r="C139" s="256" t="s">
        <v>291</v>
      </c>
      <c r="D139" s="256" t="s">
        <v>291</v>
      </c>
      <c r="E139" s="254" t="s">
        <v>484</v>
      </c>
      <c r="F139" s="250" t="s">
        <v>227</v>
      </c>
      <c r="G139" s="251">
        <v>3</v>
      </c>
      <c r="H139" s="252">
        <f>[2]MERCADO!M28</f>
        <v>39.700000000000003</v>
      </c>
      <c r="I139" s="252">
        <f t="shared" si="6"/>
        <v>5.5659400000000003</v>
      </c>
      <c r="J139" s="252">
        <f t="shared" si="8"/>
        <v>45.265940000000001</v>
      </c>
      <c r="K139" s="253">
        <f t="shared" si="7"/>
        <v>135.79782</v>
      </c>
    </row>
    <row r="140" spans="1:11">
      <c r="A140" s="248" t="s">
        <v>471</v>
      </c>
      <c r="B140" s="290">
        <v>4014</v>
      </c>
      <c r="C140" s="256" t="s">
        <v>291</v>
      </c>
      <c r="D140" s="256" t="s">
        <v>291</v>
      </c>
      <c r="E140" s="254" t="s">
        <v>485</v>
      </c>
      <c r="F140" s="250" t="s">
        <v>227</v>
      </c>
      <c r="G140" s="251">
        <v>3</v>
      </c>
      <c r="H140" s="252">
        <f>[2]MERCADO!M29</f>
        <v>28.99</v>
      </c>
      <c r="I140" s="252">
        <f t="shared" si="6"/>
        <v>4.0643979999999997</v>
      </c>
      <c r="J140" s="252">
        <f t="shared" si="8"/>
        <v>33.054397999999999</v>
      </c>
      <c r="K140" s="253">
        <f t="shared" si="7"/>
        <v>99.163194000000004</v>
      </c>
    </row>
    <row r="141" spans="1:11">
      <c r="A141" s="248" t="s">
        <v>471</v>
      </c>
      <c r="B141" s="290">
        <v>4015</v>
      </c>
      <c r="C141" s="256" t="s">
        <v>291</v>
      </c>
      <c r="D141" s="256" t="s">
        <v>291</v>
      </c>
      <c r="E141" s="254" t="s">
        <v>486</v>
      </c>
      <c r="F141" s="250" t="s">
        <v>227</v>
      </c>
      <c r="G141" s="251">
        <v>3</v>
      </c>
      <c r="H141" s="252">
        <f>[2]MERCADO!M30</f>
        <v>26.96</v>
      </c>
      <c r="I141" s="252">
        <f t="shared" si="6"/>
        <v>3.779792</v>
      </c>
      <c r="J141" s="252">
        <f t="shared" si="8"/>
        <v>30.739792000000001</v>
      </c>
      <c r="K141" s="253">
        <f t="shared" si="7"/>
        <v>92.219376000000011</v>
      </c>
    </row>
    <row r="142" spans="1:11">
      <c r="A142" s="248" t="s">
        <v>471</v>
      </c>
      <c r="B142" s="290">
        <v>4016</v>
      </c>
      <c r="C142" s="256" t="s">
        <v>291</v>
      </c>
      <c r="D142" s="256" t="s">
        <v>291</v>
      </c>
      <c r="E142" s="254" t="s">
        <v>487</v>
      </c>
      <c r="F142" s="250" t="s">
        <v>227</v>
      </c>
      <c r="G142" s="251">
        <v>3</v>
      </c>
      <c r="H142" s="252">
        <f>[2]MERCADO!M31</f>
        <v>29.38</v>
      </c>
      <c r="I142" s="252">
        <f t="shared" si="6"/>
        <v>4.1190759999999997</v>
      </c>
      <c r="J142" s="252">
        <f t="shared" si="8"/>
        <v>33.499076000000002</v>
      </c>
      <c r="K142" s="253">
        <f t="shared" si="7"/>
        <v>100.49722800000001</v>
      </c>
    </row>
    <row r="143" spans="1:11">
      <c r="A143" s="248" t="s">
        <v>471</v>
      </c>
      <c r="B143" s="290">
        <v>4017</v>
      </c>
      <c r="C143" s="256" t="s">
        <v>291</v>
      </c>
      <c r="D143" s="256" t="s">
        <v>291</v>
      </c>
      <c r="E143" s="254" t="s">
        <v>488</v>
      </c>
      <c r="F143" s="250" t="s">
        <v>227</v>
      </c>
      <c r="G143" s="251">
        <v>3</v>
      </c>
      <c r="H143" s="252">
        <f>[2]MERCADO!M32</f>
        <v>35.090000000000003</v>
      </c>
      <c r="I143" s="252">
        <f t="shared" si="6"/>
        <v>4.9196179999999998</v>
      </c>
      <c r="J143" s="252">
        <f t="shared" si="8"/>
        <v>40.009618000000003</v>
      </c>
      <c r="K143" s="253">
        <f t="shared" si="7"/>
        <v>120.02885400000001</v>
      </c>
    </row>
    <row r="144" spans="1:11">
      <c r="A144" s="248" t="s">
        <v>471</v>
      </c>
      <c r="B144" s="290">
        <v>4018</v>
      </c>
      <c r="C144" s="256" t="s">
        <v>291</v>
      </c>
      <c r="D144" s="256" t="s">
        <v>291</v>
      </c>
      <c r="E144" s="254" t="s">
        <v>489</v>
      </c>
      <c r="F144" s="250" t="s">
        <v>227</v>
      </c>
      <c r="G144" s="251">
        <v>3</v>
      </c>
      <c r="H144" s="252">
        <f>[2]MERCADO!M33</f>
        <v>37.67</v>
      </c>
      <c r="I144" s="252">
        <f t="shared" si="6"/>
        <v>5.2813340000000002</v>
      </c>
      <c r="J144" s="252">
        <f t="shared" si="8"/>
        <v>42.951334000000003</v>
      </c>
      <c r="K144" s="253">
        <f t="shared" si="7"/>
        <v>128.85400200000001</v>
      </c>
    </row>
    <row r="145" spans="1:11">
      <c r="A145" s="248" t="s">
        <v>471</v>
      </c>
      <c r="B145" s="290">
        <v>4019</v>
      </c>
      <c r="C145" s="256" t="s">
        <v>291</v>
      </c>
      <c r="D145" s="256" t="s">
        <v>291</v>
      </c>
      <c r="E145" s="254" t="s">
        <v>490</v>
      </c>
      <c r="F145" s="250" t="s">
        <v>227</v>
      </c>
      <c r="G145" s="251">
        <v>3</v>
      </c>
      <c r="H145" s="252">
        <f>[2]MERCADO!M34</f>
        <v>38.29</v>
      </c>
      <c r="I145" s="252">
        <f t="shared" si="6"/>
        <v>5.368258</v>
      </c>
      <c r="J145" s="252">
        <f t="shared" si="8"/>
        <v>43.658257999999996</v>
      </c>
      <c r="K145" s="253">
        <f t="shared" si="7"/>
        <v>130.974774</v>
      </c>
    </row>
    <row r="146" spans="1:11">
      <c r="A146" s="248" t="s">
        <v>471</v>
      </c>
      <c r="B146" s="290">
        <v>4020</v>
      </c>
      <c r="C146" s="256" t="s">
        <v>291</v>
      </c>
      <c r="D146" s="256" t="s">
        <v>291</v>
      </c>
      <c r="E146" s="254" t="s">
        <v>491</v>
      </c>
      <c r="F146" s="250" t="s">
        <v>227</v>
      </c>
      <c r="G146" s="251">
        <v>3</v>
      </c>
      <c r="H146" s="252">
        <f>[2]MERCADO!M35</f>
        <v>44.5</v>
      </c>
      <c r="I146" s="252">
        <f t="shared" si="6"/>
        <v>6.2388999999999992</v>
      </c>
      <c r="J146" s="252">
        <f t="shared" si="8"/>
        <v>50.738900000000001</v>
      </c>
      <c r="K146" s="253">
        <f t="shared" si="7"/>
        <v>152.2167</v>
      </c>
    </row>
    <row r="147" spans="1:11">
      <c r="A147" s="248" t="s">
        <v>471</v>
      </c>
      <c r="B147" s="290">
        <v>4021</v>
      </c>
      <c r="C147" s="256" t="s">
        <v>291</v>
      </c>
      <c r="D147" s="256" t="s">
        <v>291</v>
      </c>
      <c r="E147" s="254" t="s">
        <v>492</v>
      </c>
      <c r="F147" s="250" t="s">
        <v>227</v>
      </c>
      <c r="G147" s="251">
        <v>3</v>
      </c>
      <c r="H147" s="252">
        <f>[2]MERCADO!M36</f>
        <v>46.85</v>
      </c>
      <c r="I147" s="252">
        <f t="shared" si="6"/>
        <v>6.5683699999999998</v>
      </c>
      <c r="J147" s="252">
        <f t="shared" si="8"/>
        <v>53.418370000000003</v>
      </c>
      <c r="K147" s="253">
        <f t="shared" si="7"/>
        <v>160.25511</v>
      </c>
    </row>
    <row r="148" spans="1:11" ht="15" customHeight="1">
      <c r="A148" s="248" t="s">
        <v>471</v>
      </c>
      <c r="B148" s="290">
        <v>4022</v>
      </c>
      <c r="C148" s="256" t="s">
        <v>291</v>
      </c>
      <c r="D148" s="256" t="s">
        <v>291</v>
      </c>
      <c r="E148" s="254" t="s">
        <v>493</v>
      </c>
      <c r="F148" s="250" t="s">
        <v>227</v>
      </c>
      <c r="G148" s="251">
        <v>3</v>
      </c>
      <c r="H148" s="252">
        <f>[2]MERCADO!M37</f>
        <v>24.81</v>
      </c>
      <c r="I148" s="252">
        <f t="shared" si="6"/>
        <v>3.4783619999999997</v>
      </c>
      <c r="J148" s="252">
        <f t="shared" si="8"/>
        <v>28.288361999999999</v>
      </c>
      <c r="K148" s="253">
        <f t="shared" si="7"/>
        <v>84.865085999999991</v>
      </c>
    </row>
    <row r="149" spans="1:11">
      <c r="A149" s="248" t="s">
        <v>471</v>
      </c>
      <c r="B149" s="290">
        <v>4023</v>
      </c>
      <c r="C149" s="256" t="s">
        <v>291</v>
      </c>
      <c r="D149" s="256" t="s">
        <v>291</v>
      </c>
      <c r="E149" s="254" t="s">
        <v>494</v>
      </c>
      <c r="F149" s="250" t="s">
        <v>227</v>
      </c>
      <c r="G149" s="251">
        <v>3</v>
      </c>
      <c r="H149" s="252">
        <f>[2]MERCADO!M38</f>
        <v>30.31</v>
      </c>
      <c r="I149" s="252">
        <f t="shared" si="6"/>
        <v>4.2494619999999994</v>
      </c>
      <c r="J149" s="252">
        <f t="shared" si="8"/>
        <v>34.559461999999996</v>
      </c>
      <c r="K149" s="253">
        <f t="shared" si="7"/>
        <v>103.67838599999999</v>
      </c>
    </row>
    <row r="150" spans="1:11">
      <c r="A150" s="248" t="s">
        <v>471</v>
      </c>
      <c r="B150" s="290">
        <v>4024</v>
      </c>
      <c r="C150" s="256" t="s">
        <v>291</v>
      </c>
      <c r="D150" s="256" t="s">
        <v>291</v>
      </c>
      <c r="E150" s="249" t="s">
        <v>495</v>
      </c>
      <c r="F150" s="250" t="s">
        <v>227</v>
      </c>
      <c r="G150" s="251">
        <v>3</v>
      </c>
      <c r="H150" s="252">
        <f>[2]MERCADO!M39</f>
        <v>21.15</v>
      </c>
      <c r="I150" s="252">
        <f t="shared" si="6"/>
        <v>2.9652299999999996</v>
      </c>
      <c r="J150" s="252">
        <f t="shared" si="8"/>
        <v>24.115229999999997</v>
      </c>
      <c r="K150" s="253">
        <f t="shared" si="7"/>
        <v>72.345689999999991</v>
      </c>
    </row>
    <row r="151" spans="1:11">
      <c r="A151" s="248" t="s">
        <v>471</v>
      </c>
      <c r="B151" s="290">
        <v>4025</v>
      </c>
      <c r="C151" s="256" t="s">
        <v>291</v>
      </c>
      <c r="D151" s="256" t="s">
        <v>291</v>
      </c>
      <c r="E151" s="249" t="s">
        <v>496</v>
      </c>
      <c r="F151" s="250" t="s">
        <v>227</v>
      </c>
      <c r="G151" s="251">
        <v>3</v>
      </c>
      <c r="H151" s="252">
        <f>[2]MERCADO!M40</f>
        <v>30.29</v>
      </c>
      <c r="I151" s="252">
        <f t="shared" si="6"/>
        <v>4.246658</v>
      </c>
      <c r="J151" s="252">
        <f t="shared" si="8"/>
        <v>34.536658000000003</v>
      </c>
      <c r="K151" s="253">
        <f t="shared" si="7"/>
        <v>103.60997400000001</v>
      </c>
    </row>
    <row r="152" spans="1:11" ht="15" customHeight="1">
      <c r="A152" s="248" t="s">
        <v>471</v>
      </c>
      <c r="B152" s="290">
        <v>4026</v>
      </c>
      <c r="C152" s="256" t="s">
        <v>291</v>
      </c>
      <c r="D152" s="256" t="s">
        <v>291</v>
      </c>
      <c r="E152" s="249" t="s">
        <v>497</v>
      </c>
      <c r="F152" s="250" t="s">
        <v>227</v>
      </c>
      <c r="G152" s="251">
        <v>3</v>
      </c>
      <c r="H152" s="252">
        <f>[2]MERCADO!M41</f>
        <v>13.23</v>
      </c>
      <c r="I152" s="252">
        <f t="shared" si="6"/>
        <v>1.854846</v>
      </c>
      <c r="J152" s="252">
        <f t="shared" si="8"/>
        <v>15.084846000000001</v>
      </c>
      <c r="K152" s="253">
        <f t="shared" si="7"/>
        <v>45.254538000000004</v>
      </c>
    </row>
    <row r="153" spans="1:11" ht="15" customHeight="1">
      <c r="A153" s="248" t="s">
        <v>471</v>
      </c>
      <c r="B153" s="290">
        <v>4027</v>
      </c>
      <c r="C153" s="256" t="s">
        <v>291</v>
      </c>
      <c r="D153" s="256" t="s">
        <v>291</v>
      </c>
      <c r="E153" s="249" t="s">
        <v>498</v>
      </c>
      <c r="F153" s="250" t="s">
        <v>227</v>
      </c>
      <c r="G153" s="251">
        <v>3</v>
      </c>
      <c r="H153" s="252">
        <f>[2]MERCADO!M42</f>
        <v>32.020000000000003</v>
      </c>
      <c r="I153" s="252">
        <f t="shared" si="6"/>
        <v>4.489204</v>
      </c>
      <c r="J153" s="252">
        <f t="shared" si="8"/>
        <v>36.509204000000004</v>
      </c>
      <c r="K153" s="253">
        <f t="shared" si="7"/>
        <v>109.527612</v>
      </c>
    </row>
    <row r="154" spans="1:11">
      <c r="A154" s="248" t="s">
        <v>471</v>
      </c>
      <c r="B154" s="290">
        <v>4028</v>
      </c>
      <c r="C154" s="256" t="s">
        <v>291</v>
      </c>
      <c r="D154" s="256" t="s">
        <v>291</v>
      </c>
      <c r="E154" s="249" t="s">
        <v>499</v>
      </c>
      <c r="F154" s="250" t="s">
        <v>227</v>
      </c>
      <c r="G154" s="251">
        <v>3</v>
      </c>
      <c r="H154" s="252">
        <f>[2]MERCADO!M43</f>
        <v>45.46</v>
      </c>
      <c r="I154" s="252">
        <f t="shared" si="6"/>
        <v>6.3734919999999997</v>
      </c>
      <c r="J154" s="252">
        <f t="shared" si="8"/>
        <v>51.833492</v>
      </c>
      <c r="K154" s="253">
        <f t="shared" si="7"/>
        <v>155.50047599999999</v>
      </c>
    </row>
    <row r="155" spans="1:11">
      <c r="A155" s="248" t="s">
        <v>471</v>
      </c>
      <c r="B155" s="290">
        <v>4029</v>
      </c>
      <c r="C155" s="256" t="s">
        <v>291</v>
      </c>
      <c r="D155" s="256" t="s">
        <v>291</v>
      </c>
      <c r="E155" s="249" t="s">
        <v>500</v>
      </c>
      <c r="F155" s="250" t="s">
        <v>227</v>
      </c>
      <c r="G155" s="251">
        <v>3</v>
      </c>
      <c r="H155" s="252">
        <f>[2]MERCADO!M44</f>
        <v>11.54</v>
      </c>
      <c r="I155" s="252">
        <f t="shared" si="6"/>
        <v>1.6179079999999997</v>
      </c>
      <c r="J155" s="252">
        <f t="shared" si="8"/>
        <v>13.157907999999999</v>
      </c>
      <c r="K155" s="253">
        <f t="shared" si="7"/>
        <v>39.473723999999997</v>
      </c>
    </row>
    <row r="156" spans="1:11">
      <c r="A156" s="248" t="s">
        <v>471</v>
      </c>
      <c r="B156" s="290">
        <v>4030</v>
      </c>
      <c r="C156" s="256" t="s">
        <v>291</v>
      </c>
      <c r="D156" s="256" t="s">
        <v>291</v>
      </c>
      <c r="E156" s="249" t="s">
        <v>501</v>
      </c>
      <c r="F156" s="250" t="s">
        <v>227</v>
      </c>
      <c r="G156" s="251">
        <v>2</v>
      </c>
      <c r="H156" s="252">
        <f>[2]MERCADO!M45</f>
        <v>146.43</v>
      </c>
      <c r="I156" s="252">
        <f t="shared" si="6"/>
        <v>20.529485999999999</v>
      </c>
      <c r="J156" s="252">
        <f t="shared" si="8"/>
        <v>166.959486</v>
      </c>
      <c r="K156" s="253">
        <f t="shared" si="7"/>
        <v>333.918972</v>
      </c>
    </row>
    <row r="157" spans="1:11">
      <c r="A157" s="248" t="s">
        <v>471</v>
      </c>
      <c r="B157" s="290">
        <v>4031</v>
      </c>
      <c r="C157" s="256" t="s">
        <v>291</v>
      </c>
      <c r="D157" s="256" t="s">
        <v>291</v>
      </c>
      <c r="E157" s="249" t="s">
        <v>502</v>
      </c>
      <c r="F157" s="250" t="s">
        <v>227</v>
      </c>
      <c r="G157" s="251">
        <v>2</v>
      </c>
      <c r="H157" s="252">
        <f>[2]MERCADO!M46</f>
        <v>195.15</v>
      </c>
      <c r="I157" s="252">
        <f t="shared" si="6"/>
        <v>27.360029999999998</v>
      </c>
      <c r="J157" s="252">
        <f t="shared" si="8"/>
        <v>222.51003</v>
      </c>
      <c r="K157" s="253">
        <f t="shared" si="7"/>
        <v>445.02006</v>
      </c>
    </row>
    <row r="158" spans="1:11">
      <c r="A158" s="248" t="s">
        <v>471</v>
      </c>
      <c r="B158" s="290">
        <v>4032</v>
      </c>
      <c r="C158" s="256" t="s">
        <v>291</v>
      </c>
      <c r="D158" s="256" t="s">
        <v>291</v>
      </c>
      <c r="E158" s="249" t="s">
        <v>503</v>
      </c>
      <c r="F158" s="250" t="s">
        <v>227</v>
      </c>
      <c r="G158" s="251">
        <v>2</v>
      </c>
      <c r="H158" s="252">
        <f>[2]MERCADO!M47</f>
        <v>309.3</v>
      </c>
      <c r="I158" s="252">
        <f t="shared" si="6"/>
        <v>43.363859999999995</v>
      </c>
      <c r="J158" s="252">
        <f t="shared" si="8"/>
        <v>352.66386</v>
      </c>
      <c r="K158" s="253">
        <f t="shared" si="7"/>
        <v>705.32772</v>
      </c>
    </row>
    <row r="159" spans="1:11">
      <c r="A159" s="248" t="s">
        <v>471</v>
      </c>
      <c r="B159" s="290">
        <v>4033</v>
      </c>
      <c r="C159" s="256" t="s">
        <v>291</v>
      </c>
      <c r="D159" s="256" t="s">
        <v>291</v>
      </c>
      <c r="E159" s="249" t="s">
        <v>504</v>
      </c>
      <c r="F159" s="250" t="s">
        <v>227</v>
      </c>
      <c r="G159" s="251">
        <v>2</v>
      </c>
      <c r="H159" s="252">
        <f>[2]MERCADO!M48</f>
        <v>380.57</v>
      </c>
      <c r="I159" s="252">
        <f t="shared" si="6"/>
        <v>53.355913999999999</v>
      </c>
      <c r="J159" s="252">
        <f t="shared" si="8"/>
        <v>433.92591399999998</v>
      </c>
      <c r="K159" s="253">
        <f t="shared" si="7"/>
        <v>867.85182799999995</v>
      </c>
    </row>
    <row r="160" spans="1:11">
      <c r="A160" s="248" t="s">
        <v>471</v>
      </c>
      <c r="B160" s="290">
        <v>4034</v>
      </c>
      <c r="C160" s="256" t="s">
        <v>291</v>
      </c>
      <c r="D160" s="256" t="s">
        <v>291</v>
      </c>
      <c r="E160" s="249" t="s">
        <v>505</v>
      </c>
      <c r="F160" s="250" t="s">
        <v>227</v>
      </c>
      <c r="G160" s="251">
        <v>2</v>
      </c>
      <c r="H160" s="252">
        <f>[2]MERCADO!M49</f>
        <v>505.93</v>
      </c>
      <c r="I160" s="252">
        <f t="shared" si="6"/>
        <v>70.931386000000003</v>
      </c>
      <c r="J160" s="252">
        <f t="shared" si="8"/>
        <v>576.86138600000004</v>
      </c>
      <c r="K160" s="253">
        <f t="shared" si="7"/>
        <v>1153.7227720000001</v>
      </c>
    </row>
    <row r="161" spans="1:11">
      <c r="A161" s="248" t="s">
        <v>471</v>
      </c>
      <c r="B161" s="290">
        <v>4035</v>
      </c>
      <c r="C161" s="256" t="s">
        <v>291</v>
      </c>
      <c r="D161" s="256" t="s">
        <v>291</v>
      </c>
      <c r="E161" s="254" t="s">
        <v>506</v>
      </c>
      <c r="F161" s="250" t="s">
        <v>227</v>
      </c>
      <c r="G161" s="251">
        <v>3</v>
      </c>
      <c r="H161" s="252">
        <f>[2]MERCADO!M50</f>
        <v>16.7</v>
      </c>
      <c r="I161" s="252">
        <f t="shared" si="6"/>
        <v>2.3413399999999998</v>
      </c>
      <c r="J161" s="252">
        <f t="shared" si="8"/>
        <v>19.041339999999998</v>
      </c>
      <c r="K161" s="253">
        <f t="shared" si="7"/>
        <v>57.124019999999994</v>
      </c>
    </row>
    <row r="162" spans="1:11">
      <c r="A162" s="248" t="s">
        <v>471</v>
      </c>
      <c r="B162" s="290">
        <v>4036</v>
      </c>
      <c r="C162" s="256" t="s">
        <v>291</v>
      </c>
      <c r="D162" s="256" t="s">
        <v>291</v>
      </c>
      <c r="E162" s="254" t="s">
        <v>507</v>
      </c>
      <c r="F162" s="250" t="s">
        <v>227</v>
      </c>
      <c r="G162" s="251">
        <v>3</v>
      </c>
      <c r="H162" s="252">
        <f>[2]MERCADO!M51</f>
        <v>18.96</v>
      </c>
      <c r="I162" s="252">
        <f t="shared" si="6"/>
        <v>2.6581920000000001</v>
      </c>
      <c r="J162" s="252">
        <f t="shared" si="8"/>
        <v>21.618192000000001</v>
      </c>
      <c r="K162" s="253">
        <f t="shared" si="7"/>
        <v>64.854576000000009</v>
      </c>
    </row>
    <row r="163" spans="1:11">
      <c r="A163" s="248" t="s">
        <v>471</v>
      </c>
      <c r="B163" s="290">
        <v>4037</v>
      </c>
      <c r="C163" s="256" t="s">
        <v>291</v>
      </c>
      <c r="D163" s="256" t="s">
        <v>291</v>
      </c>
      <c r="E163" s="254" t="s">
        <v>508</v>
      </c>
      <c r="F163" s="250" t="s">
        <v>227</v>
      </c>
      <c r="G163" s="251">
        <v>3</v>
      </c>
      <c r="H163" s="252">
        <f>[2]MERCADO!M52</f>
        <v>22.18</v>
      </c>
      <c r="I163" s="252">
        <f t="shared" si="6"/>
        <v>3.1096359999999996</v>
      </c>
      <c r="J163" s="252">
        <f t="shared" si="8"/>
        <v>25.289635999999998</v>
      </c>
      <c r="K163" s="253">
        <f t="shared" si="7"/>
        <v>75.86890799999999</v>
      </c>
    </row>
    <row r="164" spans="1:11">
      <c r="A164" s="248" t="s">
        <v>471</v>
      </c>
      <c r="B164" s="290">
        <v>4038</v>
      </c>
      <c r="C164" s="256" t="s">
        <v>291</v>
      </c>
      <c r="D164" s="256" t="s">
        <v>291</v>
      </c>
      <c r="E164" s="254" t="s">
        <v>509</v>
      </c>
      <c r="F164" s="250" t="s">
        <v>227</v>
      </c>
      <c r="G164" s="251">
        <v>5</v>
      </c>
      <c r="H164" s="252">
        <f>[2]MERCADO!M53</f>
        <v>17.010000000000002</v>
      </c>
      <c r="I164" s="252">
        <f t="shared" si="6"/>
        <v>2.3848020000000001</v>
      </c>
      <c r="J164" s="252">
        <f t="shared" si="8"/>
        <v>19.394802000000002</v>
      </c>
      <c r="K164" s="253">
        <f t="shared" si="7"/>
        <v>96.974010000000007</v>
      </c>
    </row>
    <row r="165" spans="1:11">
      <c r="A165" s="248" t="s">
        <v>471</v>
      </c>
      <c r="B165" s="290">
        <v>4039</v>
      </c>
      <c r="C165" s="256" t="s">
        <v>291</v>
      </c>
      <c r="D165" s="256" t="s">
        <v>291</v>
      </c>
      <c r="E165" s="254" t="s">
        <v>510</v>
      </c>
      <c r="F165" s="250" t="s">
        <v>227</v>
      </c>
      <c r="G165" s="251">
        <v>5</v>
      </c>
      <c r="H165" s="252">
        <f>[2]MERCADO!M54</f>
        <v>18.54</v>
      </c>
      <c r="I165" s="252">
        <f t="shared" si="6"/>
        <v>2.5993079999999997</v>
      </c>
      <c r="J165" s="252">
        <f t="shared" si="8"/>
        <v>21.139308</v>
      </c>
      <c r="K165" s="253">
        <f t="shared" si="7"/>
        <v>105.69654</v>
      </c>
    </row>
    <row r="166" spans="1:11">
      <c r="A166" s="248" t="s">
        <v>471</v>
      </c>
      <c r="B166" s="290">
        <v>4040</v>
      </c>
      <c r="C166" s="256" t="s">
        <v>291</v>
      </c>
      <c r="D166" s="256" t="s">
        <v>291</v>
      </c>
      <c r="E166" s="254" t="s">
        <v>511</v>
      </c>
      <c r="F166" s="250" t="s">
        <v>227</v>
      </c>
      <c r="G166" s="251">
        <v>5</v>
      </c>
      <c r="H166" s="252">
        <f>[2]MERCADO!M55</f>
        <v>19.98</v>
      </c>
      <c r="I166" s="252">
        <f t="shared" si="6"/>
        <v>2.801196</v>
      </c>
      <c r="J166" s="252">
        <f t="shared" si="8"/>
        <v>22.781196000000001</v>
      </c>
      <c r="K166" s="253">
        <f t="shared" si="7"/>
        <v>113.90598</v>
      </c>
    </row>
    <row r="167" spans="1:11">
      <c r="A167" s="248" t="s">
        <v>471</v>
      </c>
      <c r="B167" s="290">
        <v>4041</v>
      </c>
      <c r="C167" s="256" t="s">
        <v>291</v>
      </c>
      <c r="D167" s="256" t="s">
        <v>291</v>
      </c>
      <c r="E167" s="254" t="s">
        <v>512</v>
      </c>
      <c r="F167" s="250" t="s">
        <v>227</v>
      </c>
      <c r="G167" s="251">
        <v>5</v>
      </c>
      <c r="H167" s="252">
        <f>[2]MERCADO!M56</f>
        <v>21.31</v>
      </c>
      <c r="I167" s="252">
        <f t="shared" si="6"/>
        <v>2.9876619999999998</v>
      </c>
      <c r="J167" s="252">
        <f t="shared" si="8"/>
        <v>24.297661999999999</v>
      </c>
      <c r="K167" s="253">
        <f t="shared" si="7"/>
        <v>121.48831</v>
      </c>
    </row>
    <row r="168" spans="1:11">
      <c r="A168" s="248" t="s">
        <v>471</v>
      </c>
      <c r="B168" s="290">
        <v>4042</v>
      </c>
      <c r="C168" s="256" t="s">
        <v>291</v>
      </c>
      <c r="D168" s="256" t="s">
        <v>291</v>
      </c>
      <c r="E168" s="254" t="s">
        <v>513</v>
      </c>
      <c r="F168" s="250" t="s">
        <v>227</v>
      </c>
      <c r="G168" s="251">
        <v>5</v>
      </c>
      <c r="H168" s="252">
        <f>[2]MERCADO!M57</f>
        <v>21.23</v>
      </c>
      <c r="I168" s="252">
        <f t="shared" si="6"/>
        <v>2.9764459999999997</v>
      </c>
      <c r="J168" s="252">
        <f t="shared" si="8"/>
        <v>24.206446</v>
      </c>
      <c r="K168" s="253">
        <f t="shared" si="7"/>
        <v>121.03223</v>
      </c>
    </row>
    <row r="169" spans="1:11">
      <c r="A169" s="248" t="s">
        <v>471</v>
      </c>
      <c r="B169" s="290">
        <v>4043</v>
      </c>
      <c r="C169" s="256" t="s">
        <v>291</v>
      </c>
      <c r="D169" s="256" t="s">
        <v>291</v>
      </c>
      <c r="E169" s="254" t="s">
        <v>514</v>
      </c>
      <c r="F169" s="250" t="s">
        <v>227</v>
      </c>
      <c r="G169" s="251">
        <v>5</v>
      </c>
      <c r="H169" s="252">
        <f>[2]MERCADO!M58</f>
        <v>20.3</v>
      </c>
      <c r="I169" s="252">
        <f t="shared" si="6"/>
        <v>2.84606</v>
      </c>
      <c r="J169" s="252">
        <f t="shared" si="8"/>
        <v>23.146060000000002</v>
      </c>
      <c r="K169" s="253">
        <f t="shared" si="7"/>
        <v>115.73030000000001</v>
      </c>
    </row>
    <row r="170" spans="1:11">
      <c r="A170" s="248" t="s">
        <v>471</v>
      </c>
      <c r="B170" s="290">
        <v>4044</v>
      </c>
      <c r="C170" s="256" t="s">
        <v>291</v>
      </c>
      <c r="D170" s="256" t="s">
        <v>291</v>
      </c>
      <c r="E170" s="254" t="s">
        <v>515</v>
      </c>
      <c r="F170" s="250" t="s">
        <v>227</v>
      </c>
      <c r="G170" s="251">
        <v>5</v>
      </c>
      <c r="H170" s="252">
        <f>[2]MERCADO!M59</f>
        <v>21.66</v>
      </c>
      <c r="I170" s="252">
        <f t="shared" si="6"/>
        <v>3.0367319999999998</v>
      </c>
      <c r="J170" s="252">
        <f t="shared" si="8"/>
        <v>24.696732000000001</v>
      </c>
      <c r="K170" s="253">
        <f t="shared" si="7"/>
        <v>123.48366</v>
      </c>
    </row>
    <row r="171" spans="1:11">
      <c r="A171" s="248" t="s">
        <v>471</v>
      </c>
      <c r="B171" s="290">
        <v>4045</v>
      </c>
      <c r="C171" s="256" t="s">
        <v>291</v>
      </c>
      <c r="D171" s="256" t="s">
        <v>291</v>
      </c>
      <c r="E171" s="254" t="s">
        <v>516</v>
      </c>
      <c r="F171" s="250" t="s">
        <v>227</v>
      </c>
      <c r="G171" s="251">
        <v>5</v>
      </c>
      <c r="H171" s="252">
        <f>[2]MERCADO!M60</f>
        <v>12.9</v>
      </c>
      <c r="I171" s="252">
        <f t="shared" si="6"/>
        <v>1.8085799999999999</v>
      </c>
      <c r="J171" s="252">
        <f t="shared" si="8"/>
        <v>14.70858</v>
      </c>
      <c r="K171" s="253">
        <f t="shared" si="7"/>
        <v>73.542900000000003</v>
      </c>
    </row>
    <row r="172" spans="1:11">
      <c r="A172" s="248" t="s">
        <v>471</v>
      </c>
      <c r="B172" s="290">
        <v>4046</v>
      </c>
      <c r="C172" s="256" t="s">
        <v>291</v>
      </c>
      <c r="D172" s="256" t="s">
        <v>291</v>
      </c>
      <c r="E172" s="254" t="s">
        <v>517</v>
      </c>
      <c r="F172" s="250" t="s">
        <v>227</v>
      </c>
      <c r="G172" s="251">
        <v>5</v>
      </c>
      <c r="H172" s="252">
        <f>[2]MERCADO!M61</f>
        <v>9.51</v>
      </c>
      <c r="I172" s="252">
        <f t="shared" si="6"/>
        <v>1.333302</v>
      </c>
      <c r="J172" s="252">
        <f t="shared" si="8"/>
        <v>10.843302</v>
      </c>
      <c r="K172" s="253">
        <f t="shared" si="7"/>
        <v>54.21651</v>
      </c>
    </row>
    <row r="173" spans="1:11">
      <c r="A173" s="248" t="s">
        <v>471</v>
      </c>
      <c r="B173" s="290">
        <v>4047</v>
      </c>
      <c r="C173" s="256" t="s">
        <v>291</v>
      </c>
      <c r="D173" s="256" t="s">
        <v>291</v>
      </c>
      <c r="E173" s="254" t="s">
        <v>518</v>
      </c>
      <c r="F173" s="250" t="s">
        <v>227</v>
      </c>
      <c r="G173" s="251">
        <v>5</v>
      </c>
      <c r="H173" s="252">
        <f>[2]MERCADO!M62</f>
        <v>15.33</v>
      </c>
      <c r="I173" s="252">
        <f t="shared" si="6"/>
        <v>2.1492659999999999</v>
      </c>
      <c r="J173" s="252">
        <f t="shared" si="8"/>
        <v>17.479265999999999</v>
      </c>
      <c r="K173" s="253">
        <f t="shared" si="7"/>
        <v>87.396329999999992</v>
      </c>
    </row>
    <row r="174" spans="1:11">
      <c r="A174" s="248" t="s">
        <v>471</v>
      </c>
      <c r="B174" s="290">
        <v>4048</v>
      </c>
      <c r="C174" s="256" t="s">
        <v>291</v>
      </c>
      <c r="D174" s="256" t="s">
        <v>291</v>
      </c>
      <c r="E174" s="254" t="s">
        <v>519</v>
      </c>
      <c r="F174" s="250" t="s">
        <v>227</v>
      </c>
      <c r="G174" s="251">
        <v>5</v>
      </c>
      <c r="H174" s="252">
        <f>[2]MERCADO!M63</f>
        <v>13</v>
      </c>
      <c r="I174" s="252">
        <f t="shared" si="6"/>
        <v>1.8226</v>
      </c>
      <c r="J174" s="252">
        <f t="shared" si="8"/>
        <v>14.8226</v>
      </c>
      <c r="K174" s="253">
        <f t="shared" si="7"/>
        <v>74.113</v>
      </c>
    </row>
    <row r="175" spans="1:11">
      <c r="A175" s="248" t="s">
        <v>471</v>
      </c>
      <c r="B175" s="290">
        <v>4049</v>
      </c>
      <c r="C175" s="256" t="s">
        <v>291</v>
      </c>
      <c r="D175" s="256" t="s">
        <v>291</v>
      </c>
      <c r="E175" s="254" t="s">
        <v>520</v>
      </c>
      <c r="F175" s="250" t="s">
        <v>380</v>
      </c>
      <c r="G175" s="251">
        <v>30.6</v>
      </c>
      <c r="H175" s="252">
        <f>([2]MERCADO!M64)/13.6</f>
        <v>53.791911764705887</v>
      </c>
      <c r="I175" s="252">
        <f t="shared" si="6"/>
        <v>7.5416260294117645</v>
      </c>
      <c r="J175" s="252">
        <f t="shared" si="8"/>
        <v>61.333537794117653</v>
      </c>
      <c r="K175" s="253">
        <f t="shared" si="7"/>
        <v>1876.8062565000002</v>
      </c>
    </row>
    <row r="176" spans="1:11">
      <c r="A176" s="248" t="s">
        <v>471</v>
      </c>
      <c r="B176" s="290">
        <v>4050</v>
      </c>
      <c r="C176" s="256" t="s">
        <v>291</v>
      </c>
      <c r="D176" s="256" t="s">
        <v>291</v>
      </c>
      <c r="E176" s="254" t="s">
        <v>521</v>
      </c>
      <c r="F176" s="250" t="s">
        <v>380</v>
      </c>
      <c r="G176" s="251">
        <v>34.020000000000003</v>
      </c>
      <c r="H176" s="252">
        <f>([2]MERCADO!M65)/11.34</f>
        <v>78.915343915343911</v>
      </c>
      <c r="I176" s="252">
        <f t="shared" si="6"/>
        <v>11.063931216931216</v>
      </c>
      <c r="J176" s="252">
        <f t="shared" si="8"/>
        <v>89.97927513227512</v>
      </c>
      <c r="K176" s="253">
        <f t="shared" si="7"/>
        <v>3061.09494</v>
      </c>
    </row>
    <row r="177" spans="1:11">
      <c r="A177" s="248" t="s">
        <v>471</v>
      </c>
      <c r="B177" s="290">
        <v>4051</v>
      </c>
      <c r="C177" s="256" t="s">
        <v>291</v>
      </c>
      <c r="D177" s="256" t="s">
        <v>291</v>
      </c>
      <c r="E177" s="254" t="s">
        <v>522</v>
      </c>
      <c r="F177" s="250" t="s">
        <v>380</v>
      </c>
      <c r="G177" s="251">
        <v>13.6</v>
      </c>
      <c r="H177" s="252">
        <f>([2]MERCADO!M66)/13.6</f>
        <v>47.854411764705887</v>
      </c>
      <c r="I177" s="252">
        <f t="shared" si="6"/>
        <v>6.7091885294117652</v>
      </c>
      <c r="J177" s="252">
        <f t="shared" si="8"/>
        <v>54.563600294117649</v>
      </c>
      <c r="K177" s="253">
        <f t="shared" si="7"/>
        <v>742.06496400000003</v>
      </c>
    </row>
    <row r="178" spans="1:11">
      <c r="A178" s="248" t="s">
        <v>471</v>
      </c>
      <c r="B178" s="290">
        <v>4052</v>
      </c>
      <c r="C178" s="256" t="s">
        <v>291</v>
      </c>
      <c r="D178" s="256" t="s">
        <v>291</v>
      </c>
      <c r="E178" s="254" t="s">
        <v>523</v>
      </c>
      <c r="F178" s="250" t="s">
        <v>380</v>
      </c>
      <c r="G178" s="251">
        <v>27.2</v>
      </c>
      <c r="H178" s="252">
        <f>([2]MERCADO!M67)/13.6</f>
        <v>95.522058823529406</v>
      </c>
      <c r="I178" s="252">
        <f t="shared" si="6"/>
        <v>13.392192647058822</v>
      </c>
      <c r="J178" s="252">
        <f t="shared" si="8"/>
        <v>108.91425147058823</v>
      </c>
      <c r="K178" s="253">
        <f t="shared" si="7"/>
        <v>2962.4676399999998</v>
      </c>
    </row>
    <row r="179" spans="1:11">
      <c r="A179" s="248" t="s">
        <v>471</v>
      </c>
      <c r="B179" s="290">
        <v>4053</v>
      </c>
      <c r="C179" s="256" t="s">
        <v>291</v>
      </c>
      <c r="D179" s="256" t="s">
        <v>291</v>
      </c>
      <c r="E179" s="254" t="s">
        <v>524</v>
      </c>
      <c r="F179" s="250" t="s">
        <v>227</v>
      </c>
      <c r="G179" s="251">
        <v>2</v>
      </c>
      <c r="H179" s="252">
        <f>[2]MERCADO!M68</f>
        <v>20.78</v>
      </c>
      <c r="I179" s="252">
        <f t="shared" si="6"/>
        <v>2.9133559999999998</v>
      </c>
      <c r="J179" s="252">
        <f t="shared" si="8"/>
        <v>23.693356000000001</v>
      </c>
      <c r="K179" s="253">
        <f t="shared" si="7"/>
        <v>47.386712000000003</v>
      </c>
    </row>
    <row r="180" spans="1:11">
      <c r="A180" s="248" t="s">
        <v>471</v>
      </c>
      <c r="B180" s="290">
        <v>4054</v>
      </c>
      <c r="C180" s="256" t="s">
        <v>291</v>
      </c>
      <c r="D180" s="256" t="s">
        <v>291</v>
      </c>
      <c r="E180" s="254" t="s">
        <v>525</v>
      </c>
      <c r="F180" s="250" t="s">
        <v>227</v>
      </c>
      <c r="G180" s="251">
        <v>9</v>
      </c>
      <c r="H180" s="252">
        <f>[2]MERCADO!M69</f>
        <v>93.66</v>
      </c>
      <c r="I180" s="252">
        <f t="shared" si="6"/>
        <v>13.131131999999999</v>
      </c>
      <c r="J180" s="252">
        <f t="shared" si="8"/>
        <v>106.79113199999999</v>
      </c>
      <c r="K180" s="253">
        <f t="shared" si="7"/>
        <v>961.12018799999987</v>
      </c>
    </row>
    <row r="181" spans="1:11">
      <c r="A181" s="248" t="s">
        <v>471</v>
      </c>
      <c r="B181" s="290">
        <v>4055</v>
      </c>
      <c r="C181" s="256" t="s">
        <v>291</v>
      </c>
      <c r="D181" s="256" t="s">
        <v>291</v>
      </c>
      <c r="E181" s="254" t="s">
        <v>526</v>
      </c>
      <c r="F181" s="250" t="s">
        <v>227</v>
      </c>
      <c r="G181" s="251">
        <v>9</v>
      </c>
      <c r="H181" s="252">
        <f>[2]MERCADO!M70</f>
        <v>148.16</v>
      </c>
      <c r="I181" s="252">
        <f t="shared" si="6"/>
        <v>20.772031999999999</v>
      </c>
      <c r="J181" s="252">
        <f t="shared" si="8"/>
        <v>168.93203199999999</v>
      </c>
      <c r="K181" s="253">
        <f t="shared" si="7"/>
        <v>1520.3882879999999</v>
      </c>
    </row>
    <row r="182" spans="1:11">
      <c r="A182" s="248" t="s">
        <v>471</v>
      </c>
      <c r="B182" s="290">
        <v>4056</v>
      </c>
      <c r="C182" s="256" t="s">
        <v>291</v>
      </c>
      <c r="D182" s="256" t="s">
        <v>291</v>
      </c>
      <c r="E182" s="254" t="s">
        <v>527</v>
      </c>
      <c r="F182" s="250" t="s">
        <v>227</v>
      </c>
      <c r="G182" s="251">
        <v>10</v>
      </c>
      <c r="H182" s="252">
        <f>[2]MERCADO!M71</f>
        <v>4.0999999999999996</v>
      </c>
      <c r="I182" s="252">
        <f t="shared" si="6"/>
        <v>0.57481999999999989</v>
      </c>
      <c r="J182" s="252">
        <f t="shared" si="8"/>
        <v>4.6748199999999995</v>
      </c>
      <c r="K182" s="253">
        <f t="shared" si="7"/>
        <v>46.748199999999997</v>
      </c>
    </row>
    <row r="183" spans="1:11">
      <c r="A183" s="248" t="s">
        <v>471</v>
      </c>
      <c r="B183" s="290">
        <v>4057</v>
      </c>
      <c r="C183" s="256" t="s">
        <v>291</v>
      </c>
      <c r="D183" s="256" t="s">
        <v>291</v>
      </c>
      <c r="E183" s="254" t="s">
        <v>528</v>
      </c>
      <c r="F183" s="250" t="s">
        <v>227</v>
      </c>
      <c r="G183" s="251">
        <v>10</v>
      </c>
      <c r="H183" s="252">
        <f>[2]MERCADO!M72</f>
        <v>5.9</v>
      </c>
      <c r="I183" s="252">
        <f t="shared" si="6"/>
        <v>0.82718000000000003</v>
      </c>
      <c r="J183" s="252">
        <f t="shared" si="8"/>
        <v>6.7271800000000006</v>
      </c>
      <c r="K183" s="253">
        <f t="shared" si="7"/>
        <v>67.271800000000013</v>
      </c>
    </row>
    <row r="184" spans="1:11">
      <c r="A184" s="248" t="s">
        <v>471</v>
      </c>
      <c r="B184" s="290">
        <v>4058</v>
      </c>
      <c r="C184" s="256" t="s">
        <v>291</v>
      </c>
      <c r="D184" s="256" t="s">
        <v>291</v>
      </c>
      <c r="E184" s="254" t="s">
        <v>529</v>
      </c>
      <c r="F184" s="250" t="s">
        <v>227</v>
      </c>
      <c r="G184" s="251">
        <v>10</v>
      </c>
      <c r="H184" s="252">
        <f>[2]MERCADO!M73</f>
        <v>8.16</v>
      </c>
      <c r="I184" s="252">
        <f t="shared" si="6"/>
        <v>1.1440319999999999</v>
      </c>
      <c r="J184" s="252">
        <f t="shared" si="8"/>
        <v>9.3040319999999994</v>
      </c>
      <c r="K184" s="253">
        <f t="shared" si="7"/>
        <v>93.040319999999994</v>
      </c>
    </row>
    <row r="185" spans="1:11">
      <c r="A185" s="248" t="s">
        <v>471</v>
      </c>
      <c r="B185" s="290">
        <v>4059</v>
      </c>
      <c r="C185" s="256" t="s">
        <v>291</v>
      </c>
      <c r="D185" s="256" t="s">
        <v>291</v>
      </c>
      <c r="E185" s="254" t="s">
        <v>530</v>
      </c>
      <c r="F185" s="250" t="s">
        <v>227</v>
      </c>
      <c r="G185" s="251">
        <v>10</v>
      </c>
      <c r="H185" s="252">
        <f>[2]MERCADO!M74</f>
        <v>10.14</v>
      </c>
      <c r="I185" s="252">
        <f t="shared" si="6"/>
        <v>1.4216279999999999</v>
      </c>
      <c r="J185" s="252">
        <f t="shared" si="8"/>
        <v>11.561628000000001</v>
      </c>
      <c r="K185" s="253">
        <f t="shared" si="7"/>
        <v>115.61628</v>
      </c>
    </row>
    <row r="186" spans="1:11">
      <c r="A186" s="248" t="s">
        <v>471</v>
      </c>
      <c r="B186" s="290">
        <v>4060</v>
      </c>
      <c r="C186" s="256" t="s">
        <v>291</v>
      </c>
      <c r="D186" s="256" t="s">
        <v>291</v>
      </c>
      <c r="E186" s="254" t="s">
        <v>531</v>
      </c>
      <c r="F186" s="250" t="s">
        <v>227</v>
      </c>
      <c r="G186" s="251">
        <v>10</v>
      </c>
      <c r="H186" s="252">
        <f>[2]MERCADO!M75</f>
        <v>14.52</v>
      </c>
      <c r="I186" s="252">
        <f t="shared" si="6"/>
        <v>2.035704</v>
      </c>
      <c r="J186" s="252">
        <f t="shared" si="8"/>
        <v>16.555703999999999</v>
      </c>
      <c r="K186" s="253">
        <f t="shared" si="7"/>
        <v>165.55703999999997</v>
      </c>
    </row>
    <row r="187" spans="1:11">
      <c r="A187" s="248" t="s">
        <v>471</v>
      </c>
      <c r="B187" s="290">
        <v>4061</v>
      </c>
      <c r="C187" s="256" t="s">
        <v>291</v>
      </c>
      <c r="D187" s="256" t="s">
        <v>291</v>
      </c>
      <c r="E187" s="254" t="s">
        <v>532</v>
      </c>
      <c r="F187" s="250" t="s">
        <v>227</v>
      </c>
      <c r="G187" s="251">
        <v>10</v>
      </c>
      <c r="H187" s="252">
        <f>[2]MERCADO!M76</f>
        <v>27.52</v>
      </c>
      <c r="I187" s="252">
        <f t="shared" si="6"/>
        <v>3.8583039999999995</v>
      </c>
      <c r="J187" s="252">
        <f t="shared" si="8"/>
        <v>31.378304</v>
      </c>
      <c r="K187" s="253">
        <f t="shared" si="7"/>
        <v>313.78304000000003</v>
      </c>
    </row>
    <row r="188" spans="1:11">
      <c r="A188" s="248" t="s">
        <v>471</v>
      </c>
      <c r="B188" s="290">
        <v>4062</v>
      </c>
      <c r="C188" s="256" t="s">
        <v>291</v>
      </c>
      <c r="D188" s="256" t="s">
        <v>291</v>
      </c>
      <c r="E188" s="254" t="s">
        <v>533</v>
      </c>
      <c r="F188" s="250" t="s">
        <v>227</v>
      </c>
      <c r="G188" s="251">
        <v>10</v>
      </c>
      <c r="H188" s="252">
        <f>[2]MERCADO!M77</f>
        <v>4.59</v>
      </c>
      <c r="I188" s="252">
        <f t="shared" si="6"/>
        <v>0.64351799999999992</v>
      </c>
      <c r="J188" s="252">
        <f t="shared" si="8"/>
        <v>5.2335180000000001</v>
      </c>
      <c r="K188" s="253">
        <f t="shared" si="7"/>
        <v>52.335180000000001</v>
      </c>
    </row>
    <row r="189" spans="1:11">
      <c r="A189" s="248" t="s">
        <v>471</v>
      </c>
      <c r="B189" s="290">
        <v>4063</v>
      </c>
      <c r="C189" s="256" t="s">
        <v>291</v>
      </c>
      <c r="D189" s="256" t="s">
        <v>291</v>
      </c>
      <c r="E189" s="254" t="s">
        <v>534</v>
      </c>
      <c r="F189" s="250" t="s">
        <v>227</v>
      </c>
      <c r="G189" s="251">
        <v>10</v>
      </c>
      <c r="H189" s="252">
        <f>[2]MERCADO!M78</f>
        <v>7.7</v>
      </c>
      <c r="I189" s="252">
        <f t="shared" si="6"/>
        <v>1.0795399999999999</v>
      </c>
      <c r="J189" s="252">
        <f t="shared" si="8"/>
        <v>8.7795400000000008</v>
      </c>
      <c r="K189" s="253">
        <f t="shared" si="7"/>
        <v>87.795400000000001</v>
      </c>
    </row>
    <row r="190" spans="1:11">
      <c r="A190" s="248" t="s">
        <v>471</v>
      </c>
      <c r="B190" s="290">
        <v>4064</v>
      </c>
      <c r="C190" s="256" t="s">
        <v>291</v>
      </c>
      <c r="D190" s="256" t="s">
        <v>291</v>
      </c>
      <c r="E190" s="254" t="s">
        <v>535</v>
      </c>
      <c r="F190" s="250" t="s">
        <v>227</v>
      </c>
      <c r="G190" s="251">
        <v>10</v>
      </c>
      <c r="H190" s="252">
        <f>[2]MERCADO!M79</f>
        <v>11.18</v>
      </c>
      <c r="I190" s="252">
        <f t="shared" si="6"/>
        <v>1.5674359999999998</v>
      </c>
      <c r="J190" s="252">
        <f t="shared" si="8"/>
        <v>12.747436</v>
      </c>
      <c r="K190" s="253">
        <f t="shared" si="7"/>
        <v>127.47436</v>
      </c>
    </row>
    <row r="191" spans="1:11">
      <c r="A191" s="248" t="s">
        <v>471</v>
      </c>
      <c r="B191" s="290">
        <v>4065</v>
      </c>
      <c r="C191" s="256" t="s">
        <v>291</v>
      </c>
      <c r="D191" s="256" t="s">
        <v>291</v>
      </c>
      <c r="E191" s="254" t="s">
        <v>536</v>
      </c>
      <c r="F191" s="250" t="s">
        <v>227</v>
      </c>
      <c r="G191" s="251">
        <v>10</v>
      </c>
      <c r="H191" s="252">
        <f>[2]MERCADO!M80</f>
        <v>17.47</v>
      </c>
      <c r="I191" s="252">
        <f t="shared" si="6"/>
        <v>2.4492939999999996</v>
      </c>
      <c r="J191" s="252">
        <f t="shared" si="8"/>
        <v>19.919293999999997</v>
      </c>
      <c r="K191" s="253">
        <f t="shared" si="7"/>
        <v>199.19293999999996</v>
      </c>
    </row>
    <row r="192" spans="1:11">
      <c r="A192" s="248" t="s">
        <v>471</v>
      </c>
      <c r="B192" s="290">
        <v>4066</v>
      </c>
      <c r="C192" s="256" t="s">
        <v>291</v>
      </c>
      <c r="D192" s="256" t="s">
        <v>291</v>
      </c>
      <c r="E192" s="254" t="s">
        <v>537</v>
      </c>
      <c r="F192" s="250" t="s">
        <v>227</v>
      </c>
      <c r="G192" s="251">
        <v>10</v>
      </c>
      <c r="H192" s="252">
        <f>[2]MERCADO!M81</f>
        <v>22.84</v>
      </c>
      <c r="I192" s="252">
        <f t="shared" si="6"/>
        <v>3.2021679999999999</v>
      </c>
      <c r="J192" s="252">
        <f t="shared" si="8"/>
        <v>26.042168</v>
      </c>
      <c r="K192" s="253">
        <f t="shared" si="7"/>
        <v>260.42167999999998</v>
      </c>
    </row>
    <row r="193" spans="1:11">
      <c r="A193" s="248" t="s">
        <v>471</v>
      </c>
      <c r="B193" s="290">
        <v>4067</v>
      </c>
      <c r="C193" s="256" t="s">
        <v>291</v>
      </c>
      <c r="D193" s="256" t="s">
        <v>291</v>
      </c>
      <c r="E193" s="254" t="s">
        <v>538</v>
      </c>
      <c r="F193" s="250" t="s">
        <v>227</v>
      </c>
      <c r="G193" s="251">
        <v>10</v>
      </c>
      <c r="H193" s="252">
        <f>[2]MERCADO!M82</f>
        <v>63.25</v>
      </c>
      <c r="I193" s="252">
        <f t="shared" si="6"/>
        <v>8.8676499999999994</v>
      </c>
      <c r="J193" s="252">
        <f t="shared" si="8"/>
        <v>72.117649999999998</v>
      </c>
      <c r="K193" s="253">
        <f t="shared" si="7"/>
        <v>721.17650000000003</v>
      </c>
    </row>
    <row r="194" spans="1:11">
      <c r="A194" s="248" t="s">
        <v>471</v>
      </c>
      <c r="B194" s="290">
        <v>4068</v>
      </c>
      <c r="C194" s="256" t="s">
        <v>291</v>
      </c>
      <c r="D194" s="256" t="s">
        <v>291</v>
      </c>
      <c r="E194" s="287" t="s">
        <v>539</v>
      </c>
      <c r="F194" s="288" t="s">
        <v>227</v>
      </c>
      <c r="G194" s="251">
        <v>10</v>
      </c>
      <c r="H194" s="289">
        <f>[2]MERCADO!M83</f>
        <v>65.83</v>
      </c>
      <c r="I194" s="289">
        <f t="shared" si="6"/>
        <v>9.2293659999999988</v>
      </c>
      <c r="J194" s="289">
        <f t="shared" si="8"/>
        <v>75.059365999999997</v>
      </c>
      <c r="K194" s="253">
        <f t="shared" si="7"/>
        <v>750.59366</v>
      </c>
    </row>
    <row r="195" spans="1:11">
      <c r="A195" s="248" t="s">
        <v>471</v>
      </c>
      <c r="B195" s="290">
        <v>4069</v>
      </c>
      <c r="C195" s="256" t="s">
        <v>291</v>
      </c>
      <c r="D195" s="256" t="s">
        <v>291</v>
      </c>
      <c r="E195" s="254" t="s">
        <v>540</v>
      </c>
      <c r="F195" s="250" t="s">
        <v>448</v>
      </c>
      <c r="G195" s="251">
        <v>30</v>
      </c>
      <c r="H195" s="252">
        <f>[2]MERCADO!M84</f>
        <v>19.559999999999999</v>
      </c>
      <c r="I195" s="252">
        <f t="shared" si="6"/>
        <v>2.7423119999999996</v>
      </c>
      <c r="J195" s="252">
        <f t="shared" si="8"/>
        <v>22.302311999999997</v>
      </c>
      <c r="K195" s="253">
        <f t="shared" si="7"/>
        <v>669.06935999999996</v>
      </c>
    </row>
    <row r="196" spans="1:11">
      <c r="A196" s="248" t="s">
        <v>471</v>
      </c>
      <c r="B196" s="290">
        <v>4070</v>
      </c>
      <c r="C196" s="256" t="s">
        <v>291</v>
      </c>
      <c r="D196" s="256" t="s">
        <v>291</v>
      </c>
      <c r="E196" s="254" t="s">
        <v>541</v>
      </c>
      <c r="F196" s="250" t="s">
        <v>227</v>
      </c>
      <c r="G196" s="251">
        <v>5</v>
      </c>
      <c r="H196" s="252">
        <f>[2]MERCADO!M85</f>
        <v>103.73</v>
      </c>
      <c r="I196" s="252">
        <f t="shared" si="6"/>
        <v>14.542945999999999</v>
      </c>
      <c r="J196" s="252">
        <f t="shared" si="8"/>
        <v>118.272946</v>
      </c>
      <c r="K196" s="253">
        <f t="shared" si="7"/>
        <v>591.36473000000001</v>
      </c>
    </row>
    <row r="197" spans="1:11">
      <c r="A197" s="248" t="s">
        <v>471</v>
      </c>
      <c r="B197" s="290">
        <v>4071</v>
      </c>
      <c r="C197" s="256" t="s">
        <v>291</v>
      </c>
      <c r="D197" s="256" t="s">
        <v>291</v>
      </c>
      <c r="E197" s="254" t="s">
        <v>542</v>
      </c>
      <c r="F197" s="250" t="s">
        <v>227</v>
      </c>
      <c r="G197" s="251">
        <v>5</v>
      </c>
      <c r="H197" s="252">
        <f>[2]MERCADO!M86</f>
        <v>74.930000000000007</v>
      </c>
      <c r="I197" s="252">
        <f t="shared" si="6"/>
        <v>10.505186</v>
      </c>
      <c r="J197" s="252">
        <f t="shared" si="8"/>
        <v>85.435186000000002</v>
      </c>
      <c r="K197" s="253">
        <f t="shared" si="7"/>
        <v>427.17592999999999</v>
      </c>
    </row>
    <row r="198" spans="1:11">
      <c r="A198" s="248" t="s">
        <v>471</v>
      </c>
      <c r="B198" s="290">
        <v>4072</v>
      </c>
      <c r="C198" s="256" t="s">
        <v>291</v>
      </c>
      <c r="D198" s="256" t="s">
        <v>291</v>
      </c>
      <c r="E198" s="249" t="s">
        <v>543</v>
      </c>
      <c r="F198" s="250" t="s">
        <v>227</v>
      </c>
      <c r="G198" s="251">
        <v>100</v>
      </c>
      <c r="H198" s="252">
        <f>[2]MERCADO!M87</f>
        <v>3.29</v>
      </c>
      <c r="I198" s="252">
        <f t="shared" si="6"/>
        <v>0.461258</v>
      </c>
      <c r="J198" s="252">
        <f t="shared" si="8"/>
        <v>3.751258</v>
      </c>
      <c r="K198" s="253">
        <f t="shared" si="7"/>
        <v>375.12580000000003</v>
      </c>
    </row>
    <row r="199" spans="1:11">
      <c r="A199" s="248" t="s">
        <v>471</v>
      </c>
      <c r="B199" s="290">
        <v>4073</v>
      </c>
      <c r="C199" s="256" t="s">
        <v>291</v>
      </c>
      <c r="D199" s="256" t="s">
        <v>291</v>
      </c>
      <c r="E199" s="249" t="s">
        <v>544</v>
      </c>
      <c r="F199" s="250" t="s">
        <v>227</v>
      </c>
      <c r="G199" s="251">
        <v>100</v>
      </c>
      <c r="H199" s="252">
        <f>[2]MERCADO!M88</f>
        <v>3.64</v>
      </c>
      <c r="I199" s="252">
        <f t="shared" si="6"/>
        <v>0.510328</v>
      </c>
      <c r="J199" s="252">
        <f t="shared" si="8"/>
        <v>4.150328</v>
      </c>
      <c r="K199" s="253">
        <f t="shared" si="7"/>
        <v>415.03280000000001</v>
      </c>
    </row>
    <row r="200" spans="1:11" ht="25.5">
      <c r="A200" s="248" t="s">
        <v>471</v>
      </c>
      <c r="B200" s="290">
        <v>4074</v>
      </c>
      <c r="C200" s="256" t="s">
        <v>291</v>
      </c>
      <c r="D200" s="256" t="s">
        <v>291</v>
      </c>
      <c r="E200" s="249" t="s">
        <v>545</v>
      </c>
      <c r="F200" s="250" t="s">
        <v>227</v>
      </c>
      <c r="G200" s="251">
        <v>1</v>
      </c>
      <c r="H200" s="252">
        <f>[2]MERCADO!M89</f>
        <v>23.31</v>
      </c>
      <c r="I200" s="252">
        <f t="shared" si="6"/>
        <v>3.2680619999999996</v>
      </c>
      <c r="J200" s="252">
        <f t="shared" si="8"/>
        <v>26.578061999999999</v>
      </c>
      <c r="K200" s="253">
        <f t="shared" si="7"/>
        <v>26.578061999999999</v>
      </c>
    </row>
    <row r="201" spans="1:11" ht="25.5">
      <c r="A201" s="248" t="s">
        <v>471</v>
      </c>
      <c r="B201" s="290">
        <v>4075</v>
      </c>
      <c r="C201" s="256" t="s">
        <v>291</v>
      </c>
      <c r="D201" s="256" t="s">
        <v>291</v>
      </c>
      <c r="E201" s="249" t="s">
        <v>546</v>
      </c>
      <c r="F201" s="250" t="s">
        <v>227</v>
      </c>
      <c r="G201" s="251">
        <v>1</v>
      </c>
      <c r="H201" s="252">
        <f>[2]MERCADO!M90</f>
        <v>58.63</v>
      </c>
      <c r="I201" s="252">
        <f t="shared" si="6"/>
        <v>8.2199259999999992</v>
      </c>
      <c r="J201" s="252">
        <f t="shared" ref="J201:J221" si="9">H201+I201</f>
        <v>66.849925999999996</v>
      </c>
      <c r="K201" s="253">
        <f t="shared" si="7"/>
        <v>66.849925999999996</v>
      </c>
    </row>
    <row r="202" spans="1:11" ht="25.5">
      <c r="A202" s="248" t="s">
        <v>471</v>
      </c>
      <c r="B202" s="290">
        <v>4076</v>
      </c>
      <c r="C202" s="256" t="s">
        <v>291</v>
      </c>
      <c r="D202" s="256" t="s">
        <v>291</v>
      </c>
      <c r="E202" s="249" t="s">
        <v>547</v>
      </c>
      <c r="F202" s="250" t="s">
        <v>227</v>
      </c>
      <c r="G202" s="251">
        <v>1</v>
      </c>
      <c r="H202" s="252">
        <f>[2]MERCADO!M91</f>
        <v>150.99</v>
      </c>
      <c r="I202" s="252">
        <f t="shared" si="6"/>
        <v>21.168797999999999</v>
      </c>
      <c r="J202" s="252">
        <f t="shared" si="9"/>
        <v>172.15879800000002</v>
      </c>
      <c r="K202" s="253">
        <f t="shared" si="7"/>
        <v>172.15879800000002</v>
      </c>
    </row>
    <row r="203" spans="1:11" ht="25.5">
      <c r="A203" s="248" t="s">
        <v>471</v>
      </c>
      <c r="B203" s="290">
        <v>4077</v>
      </c>
      <c r="C203" s="256" t="s">
        <v>291</v>
      </c>
      <c r="D203" s="256" t="s">
        <v>291</v>
      </c>
      <c r="E203" s="249" t="s">
        <v>548</v>
      </c>
      <c r="F203" s="250" t="s">
        <v>227</v>
      </c>
      <c r="G203" s="251">
        <v>1</v>
      </c>
      <c r="H203" s="252">
        <f>[2]MERCADO!M92</f>
        <v>29.46</v>
      </c>
      <c r="I203" s="252">
        <f t="shared" si="6"/>
        <v>4.1302919999999999</v>
      </c>
      <c r="J203" s="252">
        <f t="shared" si="9"/>
        <v>33.590291999999998</v>
      </c>
      <c r="K203" s="253">
        <f t="shared" si="7"/>
        <v>33.590291999999998</v>
      </c>
    </row>
    <row r="204" spans="1:11" ht="25.5">
      <c r="A204" s="248" t="s">
        <v>471</v>
      </c>
      <c r="B204" s="290">
        <v>4078</v>
      </c>
      <c r="C204" s="256" t="s">
        <v>291</v>
      </c>
      <c r="D204" s="256" t="s">
        <v>291</v>
      </c>
      <c r="E204" s="249" t="s">
        <v>549</v>
      </c>
      <c r="F204" s="250" t="s">
        <v>227</v>
      </c>
      <c r="G204" s="251">
        <v>1</v>
      </c>
      <c r="H204" s="252">
        <f>[2]MERCADO!M93</f>
        <v>55.98</v>
      </c>
      <c r="I204" s="252">
        <f t="shared" si="6"/>
        <v>7.8483959999999993</v>
      </c>
      <c r="J204" s="252">
        <f t="shared" si="9"/>
        <v>63.828395999999998</v>
      </c>
      <c r="K204" s="253">
        <f t="shared" si="7"/>
        <v>63.828395999999998</v>
      </c>
    </row>
    <row r="205" spans="1:11" ht="25.5">
      <c r="A205" s="248" t="s">
        <v>471</v>
      </c>
      <c r="B205" s="290">
        <v>4079</v>
      </c>
      <c r="C205" s="256" t="s">
        <v>291</v>
      </c>
      <c r="D205" s="256" t="s">
        <v>291</v>
      </c>
      <c r="E205" s="249" t="s">
        <v>550</v>
      </c>
      <c r="F205" s="250" t="s">
        <v>227</v>
      </c>
      <c r="G205" s="251">
        <v>1</v>
      </c>
      <c r="H205" s="252">
        <f>[2]MERCADO!M94</f>
        <v>81.739999999999995</v>
      </c>
      <c r="I205" s="252">
        <f t="shared" si="6"/>
        <v>11.459947999999999</v>
      </c>
      <c r="J205" s="252">
        <f t="shared" si="9"/>
        <v>93.199947999999992</v>
      </c>
      <c r="K205" s="253">
        <f t="shared" si="7"/>
        <v>93.199947999999992</v>
      </c>
    </row>
    <row r="206" spans="1:11" ht="25.5">
      <c r="A206" s="248" t="s">
        <v>471</v>
      </c>
      <c r="B206" s="290">
        <v>4080</v>
      </c>
      <c r="C206" s="256" t="s">
        <v>291</v>
      </c>
      <c r="D206" s="256" t="s">
        <v>291</v>
      </c>
      <c r="E206" s="249" t="s">
        <v>551</v>
      </c>
      <c r="F206" s="250" t="s">
        <v>227</v>
      </c>
      <c r="G206" s="251">
        <v>1</v>
      </c>
      <c r="H206" s="252">
        <f>[2]MERCADO!M95</f>
        <v>35.33</v>
      </c>
      <c r="I206" s="252">
        <f t="shared" si="6"/>
        <v>4.9532659999999993</v>
      </c>
      <c r="J206" s="252">
        <f t="shared" si="9"/>
        <v>40.283265999999998</v>
      </c>
      <c r="K206" s="253">
        <f t="shared" si="7"/>
        <v>40.283265999999998</v>
      </c>
    </row>
    <row r="207" spans="1:11" ht="25.5">
      <c r="A207" s="248" t="s">
        <v>471</v>
      </c>
      <c r="B207" s="290">
        <v>4081</v>
      </c>
      <c r="C207" s="256" t="s">
        <v>291</v>
      </c>
      <c r="D207" s="256" t="s">
        <v>291</v>
      </c>
      <c r="E207" s="249" t="s">
        <v>552</v>
      </c>
      <c r="F207" s="250" t="s">
        <v>227</v>
      </c>
      <c r="G207" s="251">
        <v>1</v>
      </c>
      <c r="H207" s="252">
        <f>[2]MERCADO!M96</f>
        <v>64.8</v>
      </c>
      <c r="I207" s="252">
        <f t="shared" si="6"/>
        <v>9.0849599999999988</v>
      </c>
      <c r="J207" s="252">
        <f t="shared" si="9"/>
        <v>73.884959999999992</v>
      </c>
      <c r="K207" s="253">
        <f t="shared" si="7"/>
        <v>73.884959999999992</v>
      </c>
    </row>
    <row r="208" spans="1:11">
      <c r="A208" s="248" t="s">
        <v>471</v>
      </c>
      <c r="B208" s="290">
        <v>4082</v>
      </c>
      <c r="C208" s="256" t="s">
        <v>291</v>
      </c>
      <c r="D208" s="256" t="s">
        <v>291</v>
      </c>
      <c r="E208" s="249" t="s">
        <v>553</v>
      </c>
      <c r="F208" s="250" t="s">
        <v>227</v>
      </c>
      <c r="G208" s="251">
        <v>50</v>
      </c>
      <c r="H208" s="252">
        <f>[2]MERCADO!M97</f>
        <v>1.61</v>
      </c>
      <c r="I208" s="252">
        <f t="shared" si="6"/>
        <v>0.22572200000000001</v>
      </c>
      <c r="J208" s="252">
        <f t="shared" si="9"/>
        <v>1.8357220000000001</v>
      </c>
      <c r="K208" s="253">
        <f t="shared" si="7"/>
        <v>91.786100000000005</v>
      </c>
    </row>
    <row r="209" spans="1:14">
      <c r="A209" s="248" t="s">
        <v>471</v>
      </c>
      <c r="B209" s="290">
        <v>4083</v>
      </c>
      <c r="C209" s="256" t="s">
        <v>291</v>
      </c>
      <c r="D209" s="256" t="s">
        <v>291</v>
      </c>
      <c r="E209" s="249" t="s">
        <v>554</v>
      </c>
      <c r="F209" s="250" t="s">
        <v>227</v>
      </c>
      <c r="G209" s="251">
        <v>5</v>
      </c>
      <c r="H209" s="252">
        <f>[2]MERCADO!M98</f>
        <v>102.87</v>
      </c>
      <c r="I209" s="252">
        <f t="shared" si="6"/>
        <v>14.422374</v>
      </c>
      <c r="J209" s="252">
        <f t="shared" si="9"/>
        <v>117.29237400000001</v>
      </c>
      <c r="K209" s="253">
        <f t="shared" si="7"/>
        <v>586.46187000000009</v>
      </c>
    </row>
    <row r="210" spans="1:14" ht="15" customHeight="1">
      <c r="A210" s="248" t="s">
        <v>471</v>
      </c>
      <c r="B210" s="290">
        <v>4084</v>
      </c>
      <c r="C210" s="256" t="s">
        <v>291</v>
      </c>
      <c r="D210" s="256" t="s">
        <v>291</v>
      </c>
      <c r="E210" s="249" t="s">
        <v>555</v>
      </c>
      <c r="F210" s="250" t="s">
        <v>227</v>
      </c>
      <c r="G210" s="251">
        <v>2</v>
      </c>
      <c r="H210" s="252">
        <f>[2]MERCADO!M99</f>
        <v>381.33</v>
      </c>
      <c r="I210" s="252">
        <f t="shared" si="6"/>
        <v>53.462465999999992</v>
      </c>
      <c r="J210" s="252">
        <f t="shared" si="9"/>
        <v>434.79246599999999</v>
      </c>
      <c r="K210" s="253">
        <f t="shared" si="7"/>
        <v>869.58493199999998</v>
      </c>
    </row>
    <row r="211" spans="1:14" ht="15" customHeight="1">
      <c r="A211" s="248" t="s">
        <v>471</v>
      </c>
      <c r="B211" s="290">
        <v>4085</v>
      </c>
      <c r="C211" s="256" t="s">
        <v>291</v>
      </c>
      <c r="D211" s="256" t="s">
        <v>291</v>
      </c>
      <c r="E211" s="249" t="s">
        <v>556</v>
      </c>
      <c r="F211" s="250" t="s">
        <v>227</v>
      </c>
      <c r="G211" s="251">
        <v>2</v>
      </c>
      <c r="H211" s="252">
        <f>[2]MERCADO!M100</f>
        <v>173.14</v>
      </c>
      <c r="I211" s="252">
        <f t="shared" si="6"/>
        <v>24.274227999999997</v>
      </c>
      <c r="J211" s="252">
        <f t="shared" si="9"/>
        <v>197.41422799999998</v>
      </c>
      <c r="K211" s="253">
        <f t="shared" si="7"/>
        <v>394.82845599999996</v>
      </c>
    </row>
    <row r="212" spans="1:14">
      <c r="A212" s="248" t="s">
        <v>471</v>
      </c>
      <c r="B212" s="290">
        <v>4086</v>
      </c>
      <c r="C212" s="256" t="s">
        <v>291</v>
      </c>
      <c r="D212" s="256" t="s">
        <v>291</v>
      </c>
      <c r="E212" s="249" t="s">
        <v>557</v>
      </c>
      <c r="F212" s="250" t="s">
        <v>227</v>
      </c>
      <c r="G212" s="251">
        <v>2</v>
      </c>
      <c r="H212" s="252">
        <f>[2]MERCADO!M101</f>
        <v>140.62</v>
      </c>
      <c r="I212" s="252">
        <f t="shared" si="6"/>
        <v>19.714924</v>
      </c>
      <c r="J212" s="252">
        <f t="shared" si="9"/>
        <v>160.334924</v>
      </c>
      <c r="K212" s="253">
        <f t="shared" si="7"/>
        <v>320.669848</v>
      </c>
    </row>
    <row r="213" spans="1:14">
      <c r="A213" s="248" t="s">
        <v>471</v>
      </c>
      <c r="B213" s="290">
        <v>4087</v>
      </c>
      <c r="C213" s="256" t="s">
        <v>291</v>
      </c>
      <c r="D213" s="256" t="s">
        <v>291</v>
      </c>
      <c r="E213" s="249" t="s">
        <v>558</v>
      </c>
      <c r="F213" s="250" t="s">
        <v>227</v>
      </c>
      <c r="G213" s="251">
        <v>2</v>
      </c>
      <c r="H213" s="252">
        <f>[2]MERCADO!M102</f>
        <v>346.27</v>
      </c>
      <c r="I213" s="252">
        <f t="shared" si="6"/>
        <v>48.547053999999996</v>
      </c>
      <c r="J213" s="252">
        <f t="shared" si="9"/>
        <v>394.81705399999998</v>
      </c>
      <c r="K213" s="253">
        <f t="shared" si="7"/>
        <v>789.63410799999997</v>
      </c>
    </row>
    <row r="214" spans="1:14" ht="15" customHeight="1">
      <c r="A214" s="248" t="s">
        <v>471</v>
      </c>
      <c r="B214" s="290">
        <v>4088</v>
      </c>
      <c r="C214" s="256" t="s">
        <v>291</v>
      </c>
      <c r="D214" s="256" t="s">
        <v>291</v>
      </c>
      <c r="E214" s="249" t="s">
        <v>559</v>
      </c>
      <c r="F214" s="250" t="s">
        <v>227</v>
      </c>
      <c r="G214" s="251">
        <v>2</v>
      </c>
      <c r="H214" s="252">
        <f>[2]MERCADO!M103</f>
        <v>171.79</v>
      </c>
      <c r="I214" s="252">
        <f t="shared" si="6"/>
        <v>24.084957999999997</v>
      </c>
      <c r="J214" s="252">
        <f t="shared" si="9"/>
        <v>195.87495799999999</v>
      </c>
      <c r="K214" s="253">
        <f t="shared" si="7"/>
        <v>391.74991599999998</v>
      </c>
    </row>
    <row r="215" spans="1:14" ht="15" customHeight="1">
      <c r="A215" s="248" t="s">
        <v>471</v>
      </c>
      <c r="B215" s="290">
        <v>4089</v>
      </c>
      <c r="C215" s="256" t="s">
        <v>291</v>
      </c>
      <c r="D215" s="256" t="s">
        <v>291</v>
      </c>
      <c r="E215" s="249" t="s">
        <v>560</v>
      </c>
      <c r="F215" s="250" t="s">
        <v>268</v>
      </c>
      <c r="G215" s="251">
        <v>20</v>
      </c>
      <c r="H215" s="252">
        <f>([2]MERCADO!M104)/3</f>
        <v>3.1799999999999997</v>
      </c>
      <c r="I215" s="252">
        <f t="shared" si="6"/>
        <v>0.44583599999999995</v>
      </c>
      <c r="J215" s="252">
        <f t="shared" si="9"/>
        <v>3.6258359999999996</v>
      </c>
      <c r="K215" s="253">
        <f t="shared" si="7"/>
        <v>72.516719999999992</v>
      </c>
    </row>
    <row r="216" spans="1:14" ht="15" customHeight="1">
      <c r="A216" s="248" t="s">
        <v>471</v>
      </c>
      <c r="B216" s="290">
        <v>4090</v>
      </c>
      <c r="C216" s="256" t="s">
        <v>291</v>
      </c>
      <c r="D216" s="256" t="s">
        <v>291</v>
      </c>
      <c r="E216" s="249" t="s">
        <v>561</v>
      </c>
      <c r="F216" s="250" t="s">
        <v>268</v>
      </c>
      <c r="G216" s="251">
        <v>20</v>
      </c>
      <c r="H216" s="252">
        <f>([2]MERCADO!M105)/3</f>
        <v>4</v>
      </c>
      <c r="I216" s="252">
        <f t="shared" si="6"/>
        <v>0.56079999999999997</v>
      </c>
      <c r="J216" s="252">
        <f t="shared" si="9"/>
        <v>4.5608000000000004</v>
      </c>
      <c r="K216" s="253">
        <f t="shared" si="7"/>
        <v>91.216000000000008</v>
      </c>
    </row>
    <row r="217" spans="1:14">
      <c r="A217" s="248" t="s">
        <v>471</v>
      </c>
      <c r="B217" s="290">
        <v>4091</v>
      </c>
      <c r="C217" s="256" t="s">
        <v>291</v>
      </c>
      <c r="D217" s="256" t="s">
        <v>291</v>
      </c>
      <c r="E217" s="249" t="s">
        <v>562</v>
      </c>
      <c r="F217" s="250" t="s">
        <v>268</v>
      </c>
      <c r="G217" s="251">
        <v>20</v>
      </c>
      <c r="H217" s="252">
        <f>([2]MERCADO!M106)/3</f>
        <v>4.3466666666666667</v>
      </c>
      <c r="I217" s="252">
        <f t="shared" si="6"/>
        <v>0.60940266666666665</v>
      </c>
      <c r="J217" s="252">
        <f t="shared" si="9"/>
        <v>4.9560693333333337</v>
      </c>
      <c r="K217" s="253">
        <f t="shared" si="7"/>
        <v>99.121386666666666</v>
      </c>
    </row>
    <row r="218" spans="1:14">
      <c r="A218" s="248" t="s">
        <v>471</v>
      </c>
      <c r="B218" s="290">
        <v>4092</v>
      </c>
      <c r="C218" s="256" t="s">
        <v>291</v>
      </c>
      <c r="D218" s="256" t="s">
        <v>291</v>
      </c>
      <c r="E218" s="249" t="s">
        <v>563</v>
      </c>
      <c r="F218" s="250" t="s">
        <v>268</v>
      </c>
      <c r="G218" s="251">
        <v>20</v>
      </c>
      <c r="H218" s="252">
        <f>([2]MERCADO!M107)/3</f>
        <v>5.0133333333333328</v>
      </c>
      <c r="I218" s="252">
        <f t="shared" si="6"/>
        <v>0.70286933333333323</v>
      </c>
      <c r="J218" s="252">
        <f t="shared" si="9"/>
        <v>5.7162026666666659</v>
      </c>
      <c r="K218" s="253">
        <f t="shared" si="7"/>
        <v>114.32405333333332</v>
      </c>
    </row>
    <row r="219" spans="1:14">
      <c r="A219" s="248" t="s">
        <v>471</v>
      </c>
      <c r="B219" s="309">
        <v>4093</v>
      </c>
      <c r="C219" s="310" t="s">
        <v>291</v>
      </c>
      <c r="D219" s="310" t="s">
        <v>291</v>
      </c>
      <c r="E219" s="311" t="s">
        <v>564</v>
      </c>
      <c r="F219" s="312" t="s">
        <v>268</v>
      </c>
      <c r="G219" s="313">
        <v>20</v>
      </c>
      <c r="H219" s="314">
        <f>([2]MERCADO!M108)/3</f>
        <v>5.91</v>
      </c>
      <c r="I219" s="314">
        <f t="shared" si="6"/>
        <v>0.82858199999999993</v>
      </c>
      <c r="J219" s="314">
        <f t="shared" si="9"/>
        <v>6.7385820000000001</v>
      </c>
      <c r="K219" s="253">
        <f t="shared" si="7"/>
        <v>134.77163999999999</v>
      </c>
    </row>
    <row r="220" spans="1:14" ht="18" customHeight="1">
      <c r="A220" s="248" t="s">
        <v>471</v>
      </c>
      <c r="B220" s="309">
        <v>4094</v>
      </c>
      <c r="C220" s="310" t="s">
        <v>291</v>
      </c>
      <c r="D220" s="310"/>
      <c r="E220" s="311" t="s">
        <v>1015</v>
      </c>
      <c r="F220" s="312" t="s">
        <v>1016</v>
      </c>
      <c r="G220" s="313">
        <v>30</v>
      </c>
      <c r="H220" s="314">
        <v>160</v>
      </c>
      <c r="I220" s="314">
        <f t="shared" si="6"/>
        <v>22.431999999999999</v>
      </c>
      <c r="J220" s="314">
        <f t="shared" si="9"/>
        <v>182.43199999999999</v>
      </c>
      <c r="K220" s="253">
        <f t="shared" si="7"/>
        <v>5472.96</v>
      </c>
      <c r="M220" s="71"/>
      <c r="N220" s="71"/>
    </row>
    <row r="221" spans="1:14">
      <c r="A221" s="248" t="s">
        <v>471</v>
      </c>
      <c r="B221" s="309">
        <v>4095</v>
      </c>
      <c r="C221" s="310" t="s">
        <v>291</v>
      </c>
      <c r="D221" s="310"/>
      <c r="E221" s="311" t="s">
        <v>1017</v>
      </c>
      <c r="F221" s="312" t="s">
        <v>268</v>
      </c>
      <c r="G221" s="313">
        <v>300</v>
      </c>
      <c r="H221" s="314">
        <v>27</v>
      </c>
      <c r="I221" s="314">
        <f t="shared" ref="I221" si="10">H221*$I$3</f>
        <v>3.7853999999999997</v>
      </c>
      <c r="J221" s="314">
        <f t="shared" si="9"/>
        <v>30.785399999999999</v>
      </c>
      <c r="K221" s="253">
        <f t="shared" si="7"/>
        <v>9235.619999999999</v>
      </c>
      <c r="N221" s="71"/>
    </row>
    <row r="222" spans="1:14">
      <c r="A222" s="197"/>
      <c r="B222" s="318" t="s">
        <v>1002</v>
      </c>
      <c r="C222" s="319"/>
      <c r="D222" s="319"/>
      <c r="E222" s="319"/>
      <c r="F222" s="319"/>
      <c r="G222" s="319"/>
      <c r="H222" s="319"/>
      <c r="I222" s="319"/>
      <c r="J222" s="320"/>
      <c r="K222" s="321">
        <f>K232</f>
        <v>46011.257384500015</v>
      </c>
    </row>
    <row r="223" spans="1:14">
      <c r="A223" s="197"/>
      <c r="B223" s="315" t="s">
        <v>1003</v>
      </c>
      <c r="C223" s="316"/>
      <c r="D223" s="316"/>
      <c r="E223" s="316"/>
      <c r="F223" s="316"/>
      <c r="G223" s="316"/>
      <c r="H223" s="316"/>
      <c r="I223" s="316"/>
      <c r="J223" s="317"/>
      <c r="K223" s="308">
        <f>ROUND(K224/12,2)</f>
        <v>9971.41</v>
      </c>
    </row>
    <row r="224" spans="1:14">
      <c r="A224" s="197"/>
      <c r="B224" s="348" t="s">
        <v>1004</v>
      </c>
      <c r="C224" s="349"/>
      <c r="D224" s="349"/>
      <c r="E224" s="349"/>
      <c r="F224" s="349"/>
      <c r="G224" s="349"/>
      <c r="H224" s="349"/>
      <c r="I224" s="349"/>
      <c r="J224" s="350"/>
      <c r="K224" s="351">
        <f>SUM(K4:K219)</f>
        <v>119656.93501249995</v>
      </c>
    </row>
    <row r="225" spans="1:12" s="355" customFormat="1">
      <c r="A225" s="352"/>
      <c r="B225" s="353"/>
      <c r="C225" s="353"/>
      <c r="D225" s="353"/>
      <c r="E225" s="353"/>
      <c r="F225" s="353"/>
      <c r="G225" s="353"/>
      <c r="H225" s="353"/>
      <c r="I225" s="353"/>
      <c r="J225" s="353"/>
      <c r="K225" s="354"/>
    </row>
    <row r="226" spans="1:12">
      <c r="A226" s="197"/>
      <c r="B226" s="331" t="s">
        <v>1018</v>
      </c>
      <c r="C226" s="331"/>
      <c r="D226" s="331"/>
      <c r="E226" s="331"/>
      <c r="F226" s="331"/>
      <c r="G226" s="331"/>
      <c r="H226" s="331"/>
      <c r="I226" s="331"/>
      <c r="J226" s="331"/>
      <c r="K226" s="332"/>
    </row>
    <row r="227" spans="1:12">
      <c r="A227" s="197"/>
      <c r="B227" s="322" t="s">
        <v>1005</v>
      </c>
      <c r="C227" s="323"/>
      <c r="D227" s="323"/>
      <c r="E227" s="323"/>
      <c r="F227" s="323"/>
      <c r="G227" s="323"/>
      <c r="H227" s="323"/>
      <c r="I227" s="323"/>
      <c r="J227" s="324"/>
      <c r="K227" s="334">
        <f>K234+K235+K236</f>
        <v>77754.616368000017</v>
      </c>
      <c r="L227" s="71"/>
    </row>
    <row r="228" spans="1:12">
      <c r="A228" s="197"/>
      <c r="B228" s="322" t="s">
        <v>1009</v>
      </c>
      <c r="C228" s="323"/>
      <c r="D228" s="323"/>
      <c r="E228" s="323"/>
      <c r="F228" s="323"/>
      <c r="G228" s="323"/>
      <c r="H228" s="323"/>
      <c r="I228" s="323"/>
      <c r="J228" s="324"/>
      <c r="K228" s="334">
        <f>K237</f>
        <v>41902.318644499988</v>
      </c>
      <c r="L228" s="71"/>
    </row>
    <row r="229" spans="1:12">
      <c r="B229" s="348" t="s">
        <v>1019</v>
      </c>
      <c r="C229" s="349"/>
      <c r="D229" s="349"/>
      <c r="E229" s="349"/>
      <c r="F229" s="349"/>
      <c r="G229" s="349"/>
      <c r="H229" s="349"/>
      <c r="I229" s="349"/>
      <c r="J229" s="350"/>
      <c r="K229" s="356">
        <f>SUM(K227:K228)</f>
        <v>119656.93501250001</v>
      </c>
      <c r="L229" s="71"/>
    </row>
    <row r="230" spans="1:12" hidden="1">
      <c r="B230" s="305" t="s">
        <v>997</v>
      </c>
      <c r="C230" s="306"/>
      <c r="D230" s="307" t="s">
        <v>999</v>
      </c>
      <c r="E230" s="306"/>
      <c r="F230" s="306"/>
      <c r="G230" s="306"/>
      <c r="H230" s="306"/>
      <c r="I230" s="306"/>
      <c r="J230" s="306"/>
      <c r="K230" s="222">
        <f>SUMIF(D4:D219,D230,K4:K219)</f>
        <v>69735.293315999996</v>
      </c>
    </row>
    <row r="231" spans="1:12" hidden="1">
      <c r="B231" s="305" t="s">
        <v>1001</v>
      </c>
      <c r="C231" s="306"/>
      <c r="D231" s="307" t="s">
        <v>1000</v>
      </c>
      <c r="E231" s="306"/>
      <c r="F231" s="306"/>
      <c r="G231" s="306"/>
      <c r="H231" s="306"/>
      <c r="I231" s="306"/>
      <c r="J231" s="306"/>
      <c r="K231" s="222">
        <f>SUMIF(D4:D219,D231,K4:K219)</f>
        <v>3910.3843120000001</v>
      </c>
    </row>
    <row r="232" spans="1:12" ht="15" hidden="1" customHeight="1">
      <c r="B232" s="305" t="s">
        <v>1002</v>
      </c>
      <c r="C232" s="306"/>
      <c r="D232" s="307" t="s">
        <v>291</v>
      </c>
      <c r="E232" s="306"/>
      <c r="F232" s="306"/>
      <c r="G232" s="306"/>
      <c r="H232" s="306"/>
      <c r="I232" s="306"/>
      <c r="J232" s="306"/>
      <c r="K232" s="222">
        <f>SUMIF(D4:D219,D232,K4:K219)</f>
        <v>46011.257384500015</v>
      </c>
    </row>
    <row r="233" spans="1:12" hidden="1"/>
    <row r="234" spans="1:12" hidden="1">
      <c r="B234" s="333" t="s">
        <v>1008</v>
      </c>
      <c r="C234" s="335"/>
      <c r="D234" s="335" t="s">
        <v>224</v>
      </c>
      <c r="E234" s="336"/>
      <c r="F234" s="335"/>
      <c r="G234" s="335"/>
      <c r="H234" s="337"/>
      <c r="I234" s="337"/>
      <c r="J234" s="338"/>
      <c r="K234" s="339">
        <f>SUMIF(A4:A219,D234,K4:K219)</f>
        <v>21066.403612000002</v>
      </c>
    </row>
    <row r="235" spans="1:12" hidden="1">
      <c r="B235" s="333" t="s">
        <v>1006</v>
      </c>
      <c r="C235" s="335"/>
      <c r="D235" s="335" t="s">
        <v>309</v>
      </c>
      <c r="E235" s="336"/>
      <c r="F235" s="335"/>
      <c r="G235" s="335"/>
      <c r="H235" s="337"/>
      <c r="I235" s="337"/>
      <c r="J235" s="338"/>
      <c r="K235" s="339">
        <f>SUMIF(A4:A219,D235,K4:K219)</f>
        <v>11406.218739999998</v>
      </c>
    </row>
    <row r="236" spans="1:12" hidden="1">
      <c r="B236" s="333" t="s">
        <v>1005</v>
      </c>
      <c r="C236" s="335"/>
      <c r="D236" s="335" t="s">
        <v>375</v>
      </c>
      <c r="E236" s="336"/>
      <c r="F236" s="335"/>
      <c r="G236" s="335"/>
      <c r="H236" s="337"/>
      <c r="I236" s="337"/>
      <c r="J236" s="338"/>
      <c r="K236" s="339">
        <f>SUMIF(A4:A219,D236,K4:K219)</f>
        <v>45281.994016000011</v>
      </c>
    </row>
    <row r="237" spans="1:12" hidden="1">
      <c r="B237" s="333" t="s">
        <v>1007</v>
      </c>
      <c r="C237" s="335"/>
      <c r="D237" s="335" t="s">
        <v>471</v>
      </c>
      <c r="E237" s="336"/>
      <c r="F237" s="335"/>
      <c r="G237" s="335"/>
      <c r="H237" s="337"/>
      <c r="I237" s="337"/>
      <c r="J237" s="338"/>
      <c r="K237" s="339">
        <f>SUMIF(A4:A219,D237,K4:K219)</f>
        <v>41902.318644499988</v>
      </c>
    </row>
  </sheetData>
  <autoFilter ref="A2:K224"/>
  <mergeCells count="11">
    <mergeCell ref="M4:Q10"/>
    <mergeCell ref="A1:K1"/>
    <mergeCell ref="A2:A3"/>
    <mergeCell ref="B2:B3"/>
    <mergeCell ref="C2:C3"/>
    <mergeCell ref="E2:E3"/>
    <mergeCell ref="F2:F3"/>
    <mergeCell ref="G2:G3"/>
    <mergeCell ref="H2:H3"/>
    <mergeCell ref="J2:J3"/>
    <mergeCell ref="K2:K3"/>
  </mergeCells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RESUMO</vt:lpstr>
      <vt:lpstr>CBO</vt:lpstr>
      <vt:lpstr>AJUDANTE</vt:lpstr>
      <vt:lpstr>PEDREIRO</vt:lpstr>
      <vt:lpstr>ELETRICISTA</vt:lpstr>
      <vt:lpstr>BOMBEIRO</vt:lpstr>
      <vt:lpstr>MEC. DE REFRIGERAÇÃO</vt:lpstr>
      <vt:lpstr>ENGENHEIRO CIVIL</vt:lpstr>
      <vt:lpstr>INSUMOS </vt:lpstr>
      <vt:lpstr>MERCADO</vt:lpstr>
      <vt:lpstr>DESLOCAMENTO</vt:lpstr>
      <vt:lpstr>UNIFORME</vt:lpstr>
      <vt:lpstr>EPI</vt:lpstr>
      <vt:lpstr>CAFÉ DA MANHÃ</vt:lpstr>
      <vt:lpstr>TRANSPORTE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Glaucio Novo</dc:creator>
  <cp:keywords/>
  <dc:description/>
  <cp:lastModifiedBy>Ministerio da Economia</cp:lastModifiedBy>
  <cp:revision/>
  <cp:lastPrinted>2022-05-12T14:09:22Z</cp:lastPrinted>
  <dcterms:created xsi:type="dcterms:W3CDTF">2020-03-11T13:12:17Z</dcterms:created>
  <dcterms:modified xsi:type="dcterms:W3CDTF">2022-07-28T18:16:44Z</dcterms:modified>
  <cp:category/>
  <cp:contentStatus/>
</cp:coreProperties>
</file>