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ercial\Ano de 2021\RDJ\LICITAÇÕES E PROPOSTAS 2021\192 - 01.10.2021 - PE 21 - CENTRAL DE COMPRAS-ME\Pregão nº 21 - Diligência 21.10.2021 - Central de Compras\Grupo 10 - IBICT\"/>
    </mc:Choice>
  </mc:AlternateContent>
  <workbookProtection lockStructure="1"/>
  <bookViews>
    <workbookView xWindow="-108" yWindow="-108" windowWidth="23256" windowHeight="12576" tabRatio="671" firstSheet="2" activeTab="9"/>
  </bookViews>
  <sheets>
    <sheet name="Instruções" sheetId="1" r:id="rId1"/>
    <sheet name="Cargo1-Leve22h" sheetId="2" r:id="rId2"/>
    <sheet name="Cargo2-Exec22h" sheetId="3" r:id="rId3"/>
    <sheet name="Cargo3-Exec24h" sheetId="4" r:id="rId4"/>
    <sheet name="Cargo4-Pesado22h" sheetId="5" r:id="rId5"/>
    <sheet name="Cargo5-Pesado24h" sheetId="6" r:id="rId6"/>
    <sheet name="Insumos" sheetId="7" r:id="rId7"/>
    <sheet name="Diárias" sheetId="8" r:id="rId8"/>
    <sheet name="Geral" sheetId="9" r:id="rId9"/>
    <sheet name="Proposta" sheetId="10" r:id="rId10"/>
  </sheets>
  <definedNames>
    <definedName name="_xlnm._FilterDatabase" localSheetId="8" hidden="1">Geral!$A$10:$O$10</definedName>
    <definedName name="_xlnm.Print_Area" localSheetId="1">'Cargo1-Leve22h'!$A$1:$G$173</definedName>
    <definedName name="_xlnm.Print_Area" localSheetId="2">'Cargo2-Exec22h'!$A$1:$G$174</definedName>
    <definedName name="_xlnm.Print_Area" localSheetId="3">'Cargo3-Exec24h'!$A$1:$G$176</definedName>
    <definedName name="_xlnm.Print_Area" localSheetId="4">'Cargo4-Pesado22h'!$A$1:$G$175</definedName>
    <definedName name="_xlnm.Print_Area" localSheetId="5">'Cargo5-Pesado24h'!$A$1:$G$176</definedName>
    <definedName name="_xlnm.Print_Area" localSheetId="7">Diárias!$A$1:$H$50</definedName>
    <definedName name="_xlnm.Print_Area" localSheetId="8">Geral!$A$1:$O$95</definedName>
    <definedName name="_xlnm.Print_Area" localSheetId="6">Insumos!$A$1:$AMJ$43</definedName>
    <definedName name="_xlnm.Print_Area" localSheetId="9">Proposta!$A$1:$AMI$48</definedName>
    <definedName name="_xlnm.Print_Titles" localSheetId="9">Proposta!$1:$1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44" i="6" l="1"/>
  <c r="F143" i="6"/>
  <c r="F142" i="5"/>
  <c r="F141" i="5"/>
  <c r="F144" i="4"/>
  <c r="P95" i="9"/>
  <c r="F26" i="7"/>
  <c r="G26" i="7" s="1"/>
  <c r="F36" i="7"/>
  <c r="G36" i="7" s="1"/>
  <c r="F35" i="7"/>
  <c r="G35" i="7" s="1"/>
  <c r="F34" i="7"/>
  <c r="G34" i="7" s="1"/>
  <c r="F33" i="7"/>
  <c r="G33" i="7" s="1"/>
  <c r="F32" i="7"/>
  <c r="G32" i="7" s="1"/>
  <c r="F27" i="7"/>
  <c r="G27" i="7" s="1"/>
  <c r="F25" i="7"/>
  <c r="G25" i="7" s="1"/>
  <c r="F24" i="7"/>
  <c r="G24" i="7" s="1"/>
  <c r="F23" i="7"/>
  <c r="G23" i="7" s="1"/>
  <c r="F17" i="7"/>
  <c r="G17" i="7" s="1"/>
  <c r="F16" i="7"/>
  <c r="G16" i="7" s="1"/>
  <c r="F15" i="7"/>
  <c r="G15" i="7" s="1"/>
  <c r="F14" i="7"/>
  <c r="G14" i="7" s="1"/>
  <c r="F13" i="7"/>
  <c r="G13" i="7" s="1"/>
  <c r="F12" i="7"/>
  <c r="G12" i="7" s="1"/>
  <c r="G37" i="7" l="1"/>
  <c r="G18" i="7"/>
  <c r="G28" i="7"/>
  <c r="B34" i="8"/>
  <c r="B145" i="6"/>
  <c r="B143" i="5"/>
  <c r="B145" i="4"/>
  <c r="B139" i="3"/>
  <c r="F139" i="2"/>
  <c r="F37" i="8"/>
  <c r="F36" i="8"/>
  <c r="F35" i="8"/>
  <c r="F32" i="8"/>
  <c r="F148" i="6"/>
  <c r="F147" i="6"/>
  <c r="F146" i="6"/>
  <c r="F67" i="6"/>
  <c r="F146" i="5"/>
  <c r="F145" i="5"/>
  <c r="F144" i="5"/>
  <c r="F65" i="5"/>
  <c r="F148" i="4"/>
  <c r="F147" i="4"/>
  <c r="F146" i="4"/>
  <c r="F67" i="4"/>
  <c r="F142" i="3"/>
  <c r="F141" i="3"/>
  <c r="F140" i="3"/>
  <c r="F143" i="4"/>
  <c r="F61" i="3"/>
  <c r="G38" i="7" l="1"/>
  <c r="G135" i="6" s="1"/>
  <c r="F4" i="7"/>
  <c r="F5" i="7"/>
  <c r="F6" i="7"/>
  <c r="F7" i="7"/>
  <c r="F8" i="7"/>
  <c r="F3" i="7"/>
  <c r="G129" i="2" l="1"/>
  <c r="G133" i="5"/>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J8" i="9"/>
  <c r="J7" i="9"/>
  <c r="J6" i="9"/>
  <c r="J5" i="9"/>
  <c r="J4" i="9"/>
  <c r="J3" i="9"/>
  <c r="J2" i="9"/>
  <c r="E45" i="8"/>
  <c r="E44" i="8"/>
  <c r="H32" i="8"/>
  <c r="G32" i="8"/>
  <c r="G33" i="8" s="1"/>
  <c r="E170" i="6"/>
  <c r="G123" i="6"/>
  <c r="G124" i="6" s="1"/>
  <c r="G130" i="6" s="1"/>
  <c r="F103" i="6"/>
  <c r="F102" i="6"/>
  <c r="F101" i="6"/>
  <c r="G83" i="6"/>
  <c r="G82" i="6"/>
  <c r="G81" i="6"/>
  <c r="G80" i="6"/>
  <c r="F73" i="6"/>
  <c r="F104" i="6" s="1"/>
  <c r="F55" i="6"/>
  <c r="G48" i="6"/>
  <c r="G47" i="6"/>
  <c r="E28" i="6"/>
  <c r="A28" i="6"/>
  <c r="E168" i="5"/>
  <c r="G121" i="5"/>
  <c r="G122" i="5" s="1"/>
  <c r="G128" i="5" s="1"/>
  <c r="G115" i="5"/>
  <c r="F101" i="5"/>
  <c r="F100" i="5"/>
  <c r="F99" i="5"/>
  <c r="G81" i="5"/>
  <c r="G80" i="5"/>
  <c r="G79" i="5"/>
  <c r="G78" i="5"/>
  <c r="F71" i="5"/>
  <c r="F110" i="5" s="1"/>
  <c r="F53" i="5"/>
  <c r="G48" i="5"/>
  <c r="E28" i="5"/>
  <c r="A28" i="5"/>
  <c r="E170" i="4"/>
  <c r="G123" i="4"/>
  <c r="G124" i="4" s="1"/>
  <c r="G130" i="4" s="1"/>
  <c r="F103" i="4"/>
  <c r="F102" i="4"/>
  <c r="F101" i="4"/>
  <c r="G83" i="4"/>
  <c r="G82" i="4"/>
  <c r="G81" i="4"/>
  <c r="G80" i="4"/>
  <c r="F73" i="4"/>
  <c r="F112" i="4" s="1"/>
  <c r="F55" i="4"/>
  <c r="G48" i="4"/>
  <c r="G47" i="4"/>
  <c r="G50" i="4" s="1"/>
  <c r="G156" i="4" s="1"/>
  <c r="E28" i="4"/>
  <c r="A28" i="4"/>
  <c r="E164" i="3"/>
  <c r="G117" i="3"/>
  <c r="G118" i="3" s="1"/>
  <c r="G124" i="3" s="1"/>
  <c r="F97" i="3"/>
  <c r="F96" i="3"/>
  <c r="F95" i="3"/>
  <c r="G77" i="3"/>
  <c r="G76" i="3"/>
  <c r="G75" i="3"/>
  <c r="G74" i="3"/>
  <c r="F67" i="3"/>
  <c r="F106" i="3" s="1"/>
  <c r="F49" i="3"/>
  <c r="G44" i="3"/>
  <c r="G97" i="3" s="1"/>
  <c r="E24" i="3"/>
  <c r="A24" i="3"/>
  <c r="E164" i="2"/>
  <c r="G117" i="2"/>
  <c r="G118" i="2" s="1"/>
  <c r="G124" i="2" s="1"/>
  <c r="F97" i="2"/>
  <c r="F96" i="2"/>
  <c r="F95" i="2"/>
  <c r="G77" i="2"/>
  <c r="G76" i="2"/>
  <c r="G75" i="2"/>
  <c r="G74" i="2"/>
  <c r="F67" i="2"/>
  <c r="F106" i="2" s="1"/>
  <c r="F49" i="2"/>
  <c r="G44" i="2"/>
  <c r="G111" i="2" s="1"/>
  <c r="E24" i="2"/>
  <c r="A24" i="2"/>
  <c r="A104" i="9"/>
  <c r="A117" i="9"/>
  <c r="A120" i="9"/>
  <c r="A101" i="9"/>
  <c r="A107" i="9"/>
  <c r="A113" i="9"/>
  <c r="A106" i="9"/>
  <c r="A99" i="9"/>
  <c r="A100" i="9"/>
  <c r="A102" i="9"/>
  <c r="A115" i="9"/>
  <c r="A97" i="9"/>
  <c r="A116" i="9"/>
  <c r="A114" i="9"/>
  <c r="A118" i="9"/>
  <c r="A105" i="9"/>
  <c r="A109" i="9"/>
  <c r="A121" i="9"/>
  <c r="A98" i="9"/>
  <c r="A103" i="9"/>
  <c r="A119" i="9"/>
  <c r="A122" i="9"/>
  <c r="A112" i="9"/>
  <c r="A108" i="9"/>
  <c r="A110" i="9"/>
  <c r="A111" i="9"/>
  <c r="G101" i="5" l="1"/>
  <c r="G50" i="6"/>
  <c r="G82" i="3"/>
  <c r="G90" i="3" s="1"/>
  <c r="G50" i="2"/>
  <c r="F143" i="2"/>
  <c r="F144" i="2" s="1"/>
  <c r="F143" i="5"/>
  <c r="F147" i="5" s="1"/>
  <c r="F148" i="5" s="1"/>
  <c r="F145" i="6"/>
  <c r="F149" i="6" s="1"/>
  <c r="F150" i="6" s="1"/>
  <c r="F145" i="4"/>
  <c r="F149" i="4" s="1"/>
  <c r="F150" i="4" s="1"/>
  <c r="F34" i="8"/>
  <c r="F38" i="8" s="1"/>
  <c r="G37" i="8" s="1"/>
  <c r="F139" i="3"/>
  <c r="F143" i="3" s="1"/>
  <c r="F144" i="3" s="1"/>
  <c r="F102" i="5"/>
  <c r="G102" i="5" s="1"/>
  <c r="G8" i="7"/>
  <c r="G3" i="7"/>
  <c r="G4" i="7"/>
  <c r="G5" i="7"/>
  <c r="G6" i="7"/>
  <c r="G7" i="7"/>
  <c r="G56" i="6"/>
  <c r="G115" i="6"/>
  <c r="G103" i="6"/>
  <c r="G104" i="6" s="1"/>
  <c r="G86" i="5"/>
  <c r="G94" i="5" s="1"/>
  <c r="F104" i="4"/>
  <c r="G117" i="4"/>
  <c r="F98" i="3"/>
  <c r="G98" i="3" s="1"/>
  <c r="F112" i="6"/>
  <c r="O30" i="9"/>
  <c r="O71" i="9"/>
  <c r="O60" i="9"/>
  <c r="O84" i="9"/>
  <c r="O62" i="9"/>
  <c r="O11" i="9"/>
  <c r="O41" i="9"/>
  <c r="O51" i="9"/>
  <c r="G82" i="2"/>
  <c r="G90" i="2" s="1"/>
  <c r="G113" i="5"/>
  <c r="G111" i="5"/>
  <c r="G154" i="5"/>
  <c r="G109" i="5"/>
  <c r="G99" i="5"/>
  <c r="G53" i="5"/>
  <c r="G50" i="3"/>
  <c r="G105" i="3"/>
  <c r="G103" i="5"/>
  <c r="O69" i="9"/>
  <c r="G105" i="2"/>
  <c r="G95" i="2"/>
  <c r="G107" i="2"/>
  <c r="G150" i="2"/>
  <c r="G107" i="3"/>
  <c r="G150" i="3"/>
  <c r="G55" i="4"/>
  <c r="G111" i="4"/>
  <c r="G54" i="5"/>
  <c r="O43" i="9"/>
  <c r="G109" i="3"/>
  <c r="G88" i="4"/>
  <c r="G96" i="4" s="1"/>
  <c r="G101" i="4"/>
  <c r="G113" i="4"/>
  <c r="G112" i="5"/>
  <c r="G114" i="6"/>
  <c r="G113" i="6"/>
  <c r="G55" i="6"/>
  <c r="G57" i="6" s="1"/>
  <c r="G94" i="6" s="1"/>
  <c r="G156" i="6"/>
  <c r="G111" i="6"/>
  <c r="G101" i="6"/>
  <c r="G117" i="6"/>
  <c r="G105" i="6"/>
  <c r="G116" i="6"/>
  <c r="G116" i="4"/>
  <c r="G105" i="4"/>
  <c r="G115" i="4"/>
  <c r="G103" i="4"/>
  <c r="G110" i="2"/>
  <c r="G99" i="2"/>
  <c r="G109" i="2"/>
  <c r="G108" i="2"/>
  <c r="G108" i="3"/>
  <c r="G56" i="4"/>
  <c r="G97" i="2"/>
  <c r="G49" i="2"/>
  <c r="F98" i="2"/>
  <c r="G114" i="4"/>
  <c r="G114" i="5"/>
  <c r="G88" i="6"/>
  <c r="G96" i="6" s="1"/>
  <c r="O87" i="9"/>
  <c r="G111" i="3"/>
  <c r="G95" i="3"/>
  <c r="G49" i="3"/>
  <c r="G110" i="3"/>
  <c r="G99" i="3"/>
  <c r="O12" i="9"/>
  <c r="O14" i="9"/>
  <c r="O37" i="9"/>
  <c r="O67" i="9"/>
  <c r="O80" i="9"/>
  <c r="O18" i="9"/>
  <c r="O25" i="9"/>
  <c r="O34" i="9"/>
  <c r="O53" i="9"/>
  <c r="O73" i="9"/>
  <c r="O86" i="9"/>
  <c r="O93" i="9"/>
  <c r="O20" i="9"/>
  <c r="O27" i="9"/>
  <c r="O36" i="9"/>
  <c r="O55" i="9"/>
  <c r="O57" i="9"/>
  <c r="O66" i="9"/>
  <c r="O75" i="9"/>
  <c r="H33" i="8"/>
  <c r="O22" i="9"/>
  <c r="O29" i="9"/>
  <c r="O38" i="9"/>
  <c r="O15" i="9"/>
  <c r="O24" i="9"/>
  <c r="O31" i="9"/>
  <c r="O33" i="9"/>
  <c r="O40" i="9"/>
  <c r="O46" i="9"/>
  <c r="O48" i="9"/>
  <c r="O59" i="9"/>
  <c r="O68" i="9"/>
  <c r="O83" i="9"/>
  <c r="O91" i="9"/>
  <c r="O17" i="9"/>
  <c r="O63" i="9"/>
  <c r="O72" i="9"/>
  <c r="O89" i="9"/>
  <c r="O94" i="9"/>
  <c r="O92" i="9"/>
  <c r="O28" i="9"/>
  <c r="O54" i="9"/>
  <c r="O65" i="9"/>
  <c r="O74" i="9"/>
  <c r="O78" i="9"/>
  <c r="O16" i="9"/>
  <c r="O21" i="9"/>
  <c r="O26" i="9"/>
  <c r="O35" i="9"/>
  <c r="O45" i="9"/>
  <c r="O50" i="9"/>
  <c r="O64" i="9"/>
  <c r="O77" i="9"/>
  <c r="O82" i="9"/>
  <c r="O19" i="9"/>
  <c r="O39" i="9"/>
  <c r="O44" i="9"/>
  <c r="O49" i="9"/>
  <c r="O58" i="9"/>
  <c r="O76" i="9"/>
  <c r="O81" i="9"/>
  <c r="O85" i="9"/>
  <c r="O90" i="9"/>
  <c r="O95" i="9"/>
  <c r="O13" i="9"/>
  <c r="O23" i="9"/>
  <c r="O32" i="9"/>
  <c r="O42" i="9"/>
  <c r="O47" i="9"/>
  <c r="O52" i="9"/>
  <c r="O56" i="9"/>
  <c r="O61" i="9"/>
  <c r="O70" i="9"/>
  <c r="O79" i="9"/>
  <c r="O88" i="9"/>
  <c r="G57" i="4" l="1"/>
  <c r="G94" i="4" s="1"/>
  <c r="G104" i="4"/>
  <c r="G36" i="8"/>
  <c r="G34" i="8"/>
  <c r="G35" i="8"/>
  <c r="G51" i="2"/>
  <c r="G88" i="2" s="1"/>
  <c r="F39" i="8"/>
  <c r="H34" i="8"/>
  <c r="H35" i="8"/>
  <c r="G98" i="2"/>
  <c r="G9" i="7"/>
  <c r="G19" i="7" s="1"/>
  <c r="G62" i="6"/>
  <c r="G71" i="6" s="1"/>
  <c r="A23" i="10"/>
  <c r="B23" i="10" s="1"/>
  <c r="A20" i="10"/>
  <c r="D20" i="10" s="1"/>
  <c r="E20" i="10" s="1"/>
  <c r="A21" i="10"/>
  <c r="A22" i="10"/>
  <c r="G138" i="6"/>
  <c r="G160" i="6" s="1"/>
  <c r="G110" i="5"/>
  <c r="G116" i="5" s="1"/>
  <c r="G127" i="5" s="1"/>
  <c r="G129" i="5" s="1"/>
  <c r="G157" i="5" s="1"/>
  <c r="G66" i="6"/>
  <c r="G70" i="6"/>
  <c r="G67" i="6"/>
  <c r="G65" i="6"/>
  <c r="G72" i="6"/>
  <c r="G68" i="6"/>
  <c r="G96" i="2"/>
  <c r="A17" i="10"/>
  <c r="G51" i="3"/>
  <c r="A18" i="10"/>
  <c r="H37" i="8"/>
  <c r="H36" i="8"/>
  <c r="G96" i="3"/>
  <c r="G100" i="3" s="1"/>
  <c r="G152" i="3" s="1"/>
  <c r="G112" i="4"/>
  <c r="G118" i="4" s="1"/>
  <c r="G129" i="4" s="1"/>
  <c r="G131" i="4" s="1"/>
  <c r="G159" i="4" s="1"/>
  <c r="G106" i="2"/>
  <c r="G112" i="2" s="1"/>
  <c r="G123" i="2" s="1"/>
  <c r="G125" i="2" s="1"/>
  <c r="G153" i="2" s="1"/>
  <c r="G106" i="3"/>
  <c r="G112" i="3" s="1"/>
  <c r="G123" i="3" s="1"/>
  <c r="G125" i="3" s="1"/>
  <c r="G153" i="3" s="1"/>
  <c r="A19" i="10"/>
  <c r="G102" i="6"/>
  <c r="G106" i="6" s="1"/>
  <c r="G158" i="6" s="1"/>
  <c r="G102" i="4"/>
  <c r="G106" i="4" s="1"/>
  <c r="G158" i="4" s="1"/>
  <c r="G112" i="6"/>
  <c r="G118" i="6" s="1"/>
  <c r="G129" i="6" s="1"/>
  <c r="G131" i="6" s="1"/>
  <c r="G159" i="6" s="1"/>
  <c r="G55" i="5"/>
  <c r="G62" i="4"/>
  <c r="G100" i="5"/>
  <c r="G104" i="5" s="1"/>
  <c r="G156" i="5" s="1"/>
  <c r="G129" i="3" l="1"/>
  <c r="G132" i="3" s="1"/>
  <c r="G154" i="3" s="1"/>
  <c r="G135" i="4"/>
  <c r="G138" i="4" s="1"/>
  <c r="G160" i="4" s="1"/>
  <c r="G132" i="2"/>
  <c r="G154" i="2" s="1"/>
  <c r="G136" i="5"/>
  <c r="G158" i="5" s="1"/>
  <c r="G56" i="2"/>
  <c r="G69" i="6"/>
  <c r="G38" i="8"/>
  <c r="G39" i="8" s="1"/>
  <c r="F44" i="8" s="1"/>
  <c r="H7" i="9" s="1"/>
  <c r="I18" i="9" s="1"/>
  <c r="G100" i="2"/>
  <c r="G152" i="2" s="1"/>
  <c r="H38" i="8"/>
  <c r="H39" i="8" s="1"/>
  <c r="F45" i="8" s="1"/>
  <c r="H8" i="9" s="1"/>
  <c r="D23" i="10"/>
  <c r="E23" i="10" s="1"/>
  <c r="C23" i="10"/>
  <c r="B20" i="10"/>
  <c r="C20" i="10"/>
  <c r="D19" i="10"/>
  <c r="E19" i="10" s="1"/>
  <c r="C19" i="10"/>
  <c r="B19" i="10"/>
  <c r="D21" i="10"/>
  <c r="E21" i="10" s="1"/>
  <c r="C21" i="10"/>
  <c r="B21" i="10"/>
  <c r="D18" i="10"/>
  <c r="E18" i="10" s="1"/>
  <c r="C18" i="10"/>
  <c r="B18" i="10"/>
  <c r="G65" i="2"/>
  <c r="G62" i="2"/>
  <c r="G66" i="2"/>
  <c r="G63" i="2"/>
  <c r="G64" i="2"/>
  <c r="G61" i="2"/>
  <c r="G60" i="2"/>
  <c r="G59" i="2"/>
  <c r="D22" i="10"/>
  <c r="E22" i="10" s="1"/>
  <c r="C22" i="10"/>
  <c r="B22" i="10"/>
  <c r="G92" i="5"/>
  <c r="G60" i="5"/>
  <c r="G88" i="3"/>
  <c r="G56" i="3"/>
  <c r="G73" i="6"/>
  <c r="G95" i="6" s="1"/>
  <c r="G97" i="6" s="1"/>
  <c r="G157" i="6" s="1"/>
  <c r="G161" i="6" s="1"/>
  <c r="G71" i="4"/>
  <c r="G68" i="4"/>
  <c r="G67" i="4"/>
  <c r="G65" i="4"/>
  <c r="G70" i="4"/>
  <c r="G66" i="4"/>
  <c r="G72" i="4"/>
  <c r="G69" i="4"/>
  <c r="D17" i="10"/>
  <c r="E17" i="10" s="1"/>
  <c r="C17" i="10"/>
  <c r="B17" i="10"/>
  <c r="I24" i="9" l="1"/>
  <c r="K24" i="9" s="1"/>
  <c r="L24" i="9" s="1"/>
  <c r="I84" i="9"/>
  <c r="J84" i="9" s="1"/>
  <c r="I41" i="9"/>
  <c r="J41" i="9" s="1"/>
  <c r="I27" i="9"/>
  <c r="K27" i="9" s="1"/>
  <c r="L27" i="9" s="1"/>
  <c r="I77" i="9"/>
  <c r="J77" i="9" s="1"/>
  <c r="I33" i="9"/>
  <c r="J33" i="9" s="1"/>
  <c r="I93" i="9"/>
  <c r="J93" i="9" s="1"/>
  <c r="I66" i="9"/>
  <c r="J66" i="9" s="1"/>
  <c r="I44" i="9"/>
  <c r="J44" i="9" s="1"/>
  <c r="I14" i="9"/>
  <c r="K14" i="9" s="1"/>
  <c r="L14" i="9" s="1"/>
  <c r="I62" i="9"/>
  <c r="J62" i="9" s="1"/>
  <c r="I72" i="9"/>
  <c r="F22" i="10" s="1"/>
  <c r="I47" i="9"/>
  <c r="K47" i="9" s="1"/>
  <c r="L47" i="9" s="1"/>
  <c r="K7" i="9"/>
  <c r="L7" i="9" s="1"/>
  <c r="I56" i="9"/>
  <c r="K56" i="9" s="1"/>
  <c r="L56" i="9" s="1"/>
  <c r="I50" i="9"/>
  <c r="K50" i="9" s="1"/>
  <c r="L50" i="9" s="1"/>
  <c r="G66" i="3"/>
  <c r="G63" i="3"/>
  <c r="G62" i="3"/>
  <c r="G64" i="3"/>
  <c r="G61" i="3"/>
  <c r="G65" i="3"/>
  <c r="G60" i="3"/>
  <c r="G59" i="3"/>
  <c r="F23" i="8"/>
  <c r="G44" i="8" s="1"/>
  <c r="H44" i="8" s="1"/>
  <c r="F24" i="8"/>
  <c r="G45" i="8" s="1"/>
  <c r="H45" i="8" s="1"/>
  <c r="F24" i="3"/>
  <c r="E163" i="3" s="1"/>
  <c r="F28" i="5"/>
  <c r="E167" i="5" s="1"/>
  <c r="F28" i="4"/>
  <c r="E169" i="4" s="1"/>
  <c r="F24" i="2"/>
  <c r="E163" i="2" s="1"/>
  <c r="F28" i="6"/>
  <c r="E169" i="6" s="1"/>
  <c r="G70" i="5"/>
  <c r="G67" i="5"/>
  <c r="G66" i="5"/>
  <c r="G65" i="5"/>
  <c r="G64" i="5"/>
  <c r="G63" i="5"/>
  <c r="G68" i="5"/>
  <c r="G69" i="5"/>
  <c r="G67" i="2"/>
  <c r="G89" i="2" s="1"/>
  <c r="G91" i="2" s="1"/>
  <c r="G151" i="2" s="1"/>
  <c r="G155" i="2" s="1"/>
  <c r="J18" i="9"/>
  <c r="K18" i="9"/>
  <c r="L18" i="9" s="1"/>
  <c r="G73" i="4"/>
  <c r="G95" i="4" s="1"/>
  <c r="G97" i="4" s="1"/>
  <c r="G157" i="4" s="1"/>
  <c r="G161" i="4" s="1"/>
  <c r="G143" i="6"/>
  <c r="G144" i="6" s="1"/>
  <c r="G163" i="6" s="1"/>
  <c r="I85" i="9"/>
  <c r="I19" i="9"/>
  <c r="I73" i="9"/>
  <c r="I42" i="9"/>
  <c r="K8" i="9"/>
  <c r="L8" i="9" s="1"/>
  <c r="I57" i="9"/>
  <c r="I34" i="9"/>
  <c r="I25" i="9"/>
  <c r="I51" i="9"/>
  <c r="I45" i="9"/>
  <c r="I28" i="9"/>
  <c r="I94" i="9"/>
  <c r="I78" i="9"/>
  <c r="I63" i="9"/>
  <c r="I15" i="9"/>
  <c r="J24" i="9" l="1"/>
  <c r="K84" i="9"/>
  <c r="L84" i="9" s="1"/>
  <c r="K66" i="9"/>
  <c r="L66" i="9" s="1"/>
  <c r="K33" i="9"/>
  <c r="L33" i="9" s="1"/>
  <c r="K41" i="9"/>
  <c r="L41" i="9" s="1"/>
  <c r="K62" i="9"/>
  <c r="L62" i="9" s="1"/>
  <c r="K93" i="9"/>
  <c r="L93" i="9" s="1"/>
  <c r="K72" i="9"/>
  <c r="L72" i="9" s="1"/>
  <c r="H22" i="10" s="1"/>
  <c r="J27" i="9"/>
  <c r="J14" i="9"/>
  <c r="K44" i="9"/>
  <c r="L44" i="9" s="1"/>
  <c r="K77" i="9"/>
  <c r="L77" i="9" s="1"/>
  <c r="J50" i="9"/>
  <c r="J47" i="9"/>
  <c r="J72" i="9"/>
  <c r="G22" i="10" s="1"/>
  <c r="J56" i="9"/>
  <c r="H46" i="8"/>
  <c r="G146" i="6"/>
  <c r="H6" i="9"/>
  <c r="G148" i="6"/>
  <c r="G167" i="6"/>
  <c r="G145" i="6"/>
  <c r="G147" i="6"/>
  <c r="J34" i="9"/>
  <c r="K34" i="9"/>
  <c r="L34" i="9" s="1"/>
  <c r="J28" i="9"/>
  <c r="K28" i="9"/>
  <c r="L28" i="9" s="1"/>
  <c r="K45" i="9"/>
  <c r="L45" i="9" s="1"/>
  <c r="J45" i="9"/>
  <c r="K19" i="9"/>
  <c r="L19" i="9" s="1"/>
  <c r="J19" i="9"/>
  <c r="G71" i="5"/>
  <c r="G93" i="5" s="1"/>
  <c r="G95" i="5" s="1"/>
  <c r="G155" i="5" s="1"/>
  <c r="G159" i="5" s="1"/>
  <c r="G67" i="3"/>
  <c r="G89" i="3" s="1"/>
  <c r="G91" i="3" s="1"/>
  <c r="G151" i="3" s="1"/>
  <c r="G155" i="3" s="1"/>
  <c r="J25" i="9"/>
  <c r="K25" i="9"/>
  <c r="L25" i="9" s="1"/>
  <c r="K85" i="9"/>
  <c r="L85" i="9" s="1"/>
  <c r="J85" i="9"/>
  <c r="J63" i="9"/>
  <c r="K63" i="9"/>
  <c r="L63" i="9" s="1"/>
  <c r="G137" i="2"/>
  <c r="G138" i="2" s="1"/>
  <c r="G157" i="2" s="1"/>
  <c r="J51" i="9"/>
  <c r="K51" i="9"/>
  <c r="L51" i="9" s="1"/>
  <c r="J15" i="9"/>
  <c r="K15" i="9"/>
  <c r="L15" i="9" s="1"/>
  <c r="J78" i="9"/>
  <c r="K78" i="9"/>
  <c r="L78" i="9" s="1"/>
  <c r="G143" i="4"/>
  <c r="G144" i="4" s="1"/>
  <c r="G163" i="4" s="1"/>
  <c r="K57" i="9"/>
  <c r="L57" i="9" s="1"/>
  <c r="J57" i="9"/>
  <c r="K94" i="9"/>
  <c r="L94" i="9" s="1"/>
  <c r="J94" i="9"/>
  <c r="K42" i="9"/>
  <c r="L42" i="9" s="1"/>
  <c r="J42" i="9"/>
  <c r="J73" i="9"/>
  <c r="G23" i="10" s="1"/>
  <c r="K73" i="9"/>
  <c r="L73" i="9" s="1"/>
  <c r="H23" i="10" s="1"/>
  <c r="F23" i="10"/>
  <c r="G149" i="6" l="1"/>
  <c r="G150" i="6" s="1"/>
  <c r="G162" i="6" s="1"/>
  <c r="G148" i="4"/>
  <c r="G147" i="4"/>
  <c r="H4" i="9"/>
  <c r="G145" i="4"/>
  <c r="G167" i="4"/>
  <c r="G146" i="4"/>
  <c r="G141" i="5"/>
  <c r="G137" i="3"/>
  <c r="G168" i="6"/>
  <c r="G169" i="6"/>
  <c r="G170" i="6" s="1"/>
  <c r="G142" i="2"/>
  <c r="G141" i="2"/>
  <c r="G139" i="2"/>
  <c r="G161" i="2"/>
  <c r="G140" i="2"/>
  <c r="H2" i="9"/>
  <c r="I39" i="9"/>
  <c r="K6" i="9"/>
  <c r="L6" i="9" s="1"/>
  <c r="I71" i="9"/>
  <c r="G143" i="2" l="1"/>
  <c r="G144" i="2" s="1"/>
  <c r="G156" i="2" s="1"/>
  <c r="G163" i="2"/>
  <c r="G164" i="2" s="1"/>
  <c r="G162" i="2"/>
  <c r="K39" i="9"/>
  <c r="L39" i="9" s="1"/>
  <c r="J39" i="9"/>
  <c r="G169" i="4"/>
  <c r="G170" i="4" s="1"/>
  <c r="G168" i="4"/>
  <c r="G149" i="4"/>
  <c r="G150" i="4" s="1"/>
  <c r="G162" i="4" s="1"/>
  <c r="K71" i="9"/>
  <c r="L71" i="9" s="1"/>
  <c r="H21" i="10" s="1"/>
  <c r="J71" i="9"/>
  <c r="G21" i="10" s="1"/>
  <c r="F21" i="10"/>
  <c r="G142" i="5"/>
  <c r="G161" i="5" s="1"/>
  <c r="I67" i="9"/>
  <c r="I29" i="9"/>
  <c r="I35" i="9"/>
  <c r="I26" i="9"/>
  <c r="I21" i="9"/>
  <c r="I74" i="9"/>
  <c r="K2" i="9"/>
  <c r="L2" i="9" s="1"/>
  <c r="I11" i="9"/>
  <c r="I52" i="9"/>
  <c r="I59" i="9"/>
  <c r="I91" i="9"/>
  <c r="I46" i="9"/>
  <c r="I81" i="9"/>
  <c r="G138" i="3"/>
  <c r="G157" i="3" s="1"/>
  <c r="I90" i="9"/>
  <c r="I76" i="9"/>
  <c r="I49" i="9"/>
  <c r="I87" i="9"/>
  <c r="I69" i="9"/>
  <c r="I31" i="9"/>
  <c r="I61" i="9"/>
  <c r="K4" i="9"/>
  <c r="L4" i="9" s="1"/>
  <c r="I80" i="9"/>
  <c r="I65" i="9"/>
  <c r="I54" i="9"/>
  <c r="I17" i="9"/>
  <c r="I83" i="9"/>
  <c r="K87" i="9" l="1"/>
  <c r="L87" i="9" s="1"/>
  <c r="J87" i="9"/>
  <c r="H5" i="9"/>
  <c r="G145" i="5"/>
  <c r="G146" i="5"/>
  <c r="G165" i="5"/>
  <c r="G143" i="5"/>
  <c r="G144" i="5"/>
  <c r="J54" i="9"/>
  <c r="K54" i="9"/>
  <c r="L54" i="9" s="1"/>
  <c r="K49" i="9"/>
  <c r="L49" i="9" s="1"/>
  <c r="J49" i="9"/>
  <c r="K59" i="9"/>
  <c r="L59" i="9" s="1"/>
  <c r="J59" i="9"/>
  <c r="K35" i="9"/>
  <c r="L35" i="9" s="1"/>
  <c r="M35" i="9" s="1"/>
  <c r="J35" i="9"/>
  <c r="K91" i="9"/>
  <c r="L91" i="9" s="1"/>
  <c r="J91" i="9"/>
  <c r="J29" i="9"/>
  <c r="K29" i="9"/>
  <c r="L29" i="9" s="1"/>
  <c r="K11" i="9"/>
  <c r="L11" i="9" s="1"/>
  <c r="J11" i="9"/>
  <c r="H3" i="9"/>
  <c r="G142" i="3"/>
  <c r="G139" i="3"/>
  <c r="G140" i="3"/>
  <c r="G141" i="3"/>
  <c r="G161" i="3"/>
  <c r="J17" i="9"/>
  <c r="K17" i="9"/>
  <c r="L17" i="9" s="1"/>
  <c r="K76" i="9"/>
  <c r="L76" i="9" s="1"/>
  <c r="J76" i="9"/>
  <c r="K80" i="9"/>
  <c r="L80" i="9" s="1"/>
  <c r="J80" i="9"/>
  <c r="K67" i="9"/>
  <c r="L67" i="9" s="1"/>
  <c r="J67" i="9"/>
  <c r="K61" i="9"/>
  <c r="L61" i="9" s="1"/>
  <c r="J61" i="9"/>
  <c r="K31" i="9"/>
  <c r="L31" i="9" s="1"/>
  <c r="J31" i="9"/>
  <c r="J81" i="9"/>
  <c r="K81" i="9"/>
  <c r="L81" i="9" s="1"/>
  <c r="K74" i="9"/>
  <c r="L74" i="9" s="1"/>
  <c r="J74" i="9"/>
  <c r="J65" i="9"/>
  <c r="K65" i="9"/>
  <c r="L65" i="9" s="1"/>
  <c r="J52" i="9"/>
  <c r="K52" i="9"/>
  <c r="L52" i="9" s="1"/>
  <c r="K90" i="9"/>
  <c r="L90" i="9" s="1"/>
  <c r="J90" i="9"/>
  <c r="J83" i="9"/>
  <c r="K83" i="9"/>
  <c r="L83" i="9" s="1"/>
  <c r="K69" i="9"/>
  <c r="L69" i="9" s="1"/>
  <c r="J69" i="9"/>
  <c r="J46" i="9"/>
  <c r="K46" i="9"/>
  <c r="L46" i="9" s="1"/>
  <c r="M46" i="9" s="1"/>
  <c r="K21" i="9"/>
  <c r="L21" i="9" s="1"/>
  <c r="J21" i="9"/>
  <c r="K26" i="9"/>
  <c r="L26" i="9" s="1"/>
  <c r="M26" i="9" s="1"/>
  <c r="J26" i="9"/>
  <c r="G143" i="3" l="1"/>
  <c r="G144" i="3" s="1"/>
  <c r="G156" i="3" s="1"/>
  <c r="I64" i="9"/>
  <c r="I60" i="9"/>
  <c r="I16" i="9"/>
  <c r="I12" i="9"/>
  <c r="I37" i="9"/>
  <c r="I53" i="9"/>
  <c r="I86" i="9"/>
  <c r="I82" i="9"/>
  <c r="I43" i="9"/>
  <c r="I30" i="9"/>
  <c r="I23" i="9"/>
  <c r="I89" i="9"/>
  <c r="I79" i="9"/>
  <c r="I75" i="9"/>
  <c r="I40" i="9"/>
  <c r="I22" i="9"/>
  <c r="I68" i="9"/>
  <c r="K3" i="9"/>
  <c r="L3" i="9" s="1"/>
  <c r="I48" i="9"/>
  <c r="G147" i="5"/>
  <c r="G148" i="5" s="1"/>
  <c r="G160" i="5" s="1"/>
  <c r="G166" i="5"/>
  <c r="G167" i="5"/>
  <c r="G168" i="5" s="1"/>
  <c r="G163" i="3"/>
  <c r="G164" i="3" s="1"/>
  <c r="G162" i="3"/>
  <c r="I92" i="9"/>
  <c r="I55" i="9"/>
  <c r="I88" i="9"/>
  <c r="I70" i="9"/>
  <c r="I32" i="9"/>
  <c r="I13" i="9"/>
  <c r="F19" i="10" s="1"/>
  <c r="K5" i="9"/>
  <c r="L5" i="9" s="1"/>
  <c r="F17" i="10"/>
  <c r="I38" i="9"/>
  <c r="K13" i="9" l="1"/>
  <c r="L13" i="9" s="1"/>
  <c r="H19" i="10" s="1"/>
  <c r="J13" i="9"/>
  <c r="G19" i="10" s="1"/>
  <c r="J75" i="9"/>
  <c r="K75" i="9"/>
  <c r="L75" i="9" s="1"/>
  <c r="M74" i="9" s="1"/>
  <c r="K48" i="9"/>
  <c r="L48" i="9" s="1"/>
  <c r="M48" i="9" s="1"/>
  <c r="J48" i="9"/>
  <c r="J23" i="9"/>
  <c r="K23" i="9"/>
  <c r="L23" i="9" s="1"/>
  <c r="M23" i="9" s="1"/>
  <c r="K12" i="9"/>
  <c r="L12" i="9" s="1"/>
  <c r="J12" i="9"/>
  <c r="J79" i="9"/>
  <c r="K79" i="9"/>
  <c r="L79" i="9" s="1"/>
  <c r="M79" i="9" s="1"/>
  <c r="K89" i="9"/>
  <c r="L89" i="9" s="1"/>
  <c r="M89" i="9" s="1"/>
  <c r="J89" i="9"/>
  <c r="K88" i="9"/>
  <c r="L88" i="9" s="1"/>
  <c r="J88" i="9"/>
  <c r="J55" i="9"/>
  <c r="K55" i="9"/>
  <c r="L55" i="9" s="1"/>
  <c r="L9" i="9"/>
  <c r="J30" i="9"/>
  <c r="K30" i="9"/>
  <c r="L30" i="9" s="1"/>
  <c r="K16" i="9"/>
  <c r="L16" i="9" s="1"/>
  <c r="M16" i="9" s="1"/>
  <c r="J16" i="9"/>
  <c r="J38" i="9"/>
  <c r="K38" i="9"/>
  <c r="L38" i="9" s="1"/>
  <c r="J68" i="9"/>
  <c r="G18" i="10" s="1"/>
  <c r="K68" i="9"/>
  <c r="L68" i="9" s="1"/>
  <c r="F18" i="10"/>
  <c r="K60" i="9"/>
  <c r="L60" i="9" s="1"/>
  <c r="M59" i="9" s="1"/>
  <c r="J60" i="9"/>
  <c r="K32" i="9"/>
  <c r="L32" i="9" s="1"/>
  <c r="J32" i="9"/>
  <c r="K70" i="9"/>
  <c r="L70" i="9" s="1"/>
  <c r="H20" i="10" s="1"/>
  <c r="J70" i="9"/>
  <c r="G20" i="10" s="1"/>
  <c r="F20" i="10"/>
  <c r="K43" i="9"/>
  <c r="L43" i="9" s="1"/>
  <c r="M43" i="9" s="1"/>
  <c r="J43" i="9"/>
  <c r="J22" i="9"/>
  <c r="K22" i="9"/>
  <c r="L22" i="9" s="1"/>
  <c r="M21" i="9" s="1"/>
  <c r="K82" i="9"/>
  <c r="L82" i="9" s="1"/>
  <c r="M81" i="9" s="1"/>
  <c r="J82" i="9"/>
  <c r="J64" i="9"/>
  <c r="K64" i="9"/>
  <c r="L64" i="9" s="1"/>
  <c r="M64" i="9" s="1"/>
  <c r="K53" i="9"/>
  <c r="L53" i="9" s="1"/>
  <c r="J53" i="9"/>
  <c r="K37" i="9"/>
  <c r="L37" i="9" s="1"/>
  <c r="J37" i="9"/>
  <c r="K92" i="9"/>
  <c r="L92" i="9" s="1"/>
  <c r="M91" i="9" s="1"/>
  <c r="J92" i="9"/>
  <c r="K40" i="9"/>
  <c r="L40" i="9" s="1"/>
  <c r="M40" i="9" s="1"/>
  <c r="J40" i="9"/>
  <c r="K86" i="9"/>
  <c r="L86" i="9" s="1"/>
  <c r="J86" i="9"/>
  <c r="G17" i="10" l="1"/>
  <c r="M86" i="9"/>
  <c r="M52" i="9"/>
  <c r="M29" i="9"/>
  <c r="M11" i="9"/>
  <c r="M37" i="9"/>
  <c r="H17" i="10"/>
  <c r="H18" i="10"/>
  <c r="M67" i="9"/>
  <c r="M95" i="9" l="1"/>
  <c r="H24" i="10"/>
</calcChain>
</file>

<file path=xl/comments1.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9"/>
            <color rgb="FF000000"/>
            <rFont val="Segoe U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2.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11"/>
            <color rgb="FF000000"/>
            <rFont val="Calibr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3.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4.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3"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4"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5"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3" authorId="0" shapeId="0">
      <text>
        <r>
          <rPr>
            <sz val="11"/>
            <color rgb="FF000000"/>
            <rFont val="Calibri"/>
            <family val="2"/>
            <charset val="1"/>
          </rPr>
          <t>Art. 22, Inciso I, da Lei nº 8.212/91.</t>
        </r>
      </text>
    </comment>
    <comment ref="B64" authorId="0" shapeId="0">
      <text>
        <r>
          <rPr>
            <sz val="11"/>
            <color rgb="FF000000"/>
            <rFont val="Calibri"/>
            <family val="2"/>
            <charset val="1"/>
          </rPr>
          <t>Art. 3º, Inciso I, Decreto n.º 87.043/82.</t>
        </r>
      </text>
    </comment>
    <comment ref="B65"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6" authorId="0" shapeId="0">
      <text>
        <r>
          <rPr>
            <sz val="11"/>
            <color rgb="FF000000"/>
            <rFont val="Calibri"/>
            <family val="2"/>
            <charset val="1"/>
          </rPr>
          <t>Art. 15, Lei nº 8.030/90 e Art. 7º, III, CF.</t>
        </r>
      </text>
    </comment>
    <comment ref="B67" authorId="0" shapeId="0">
      <text>
        <r>
          <rPr>
            <sz val="11"/>
            <color rgb="FF000000"/>
            <rFont val="Calibri"/>
            <family val="2"/>
            <charset val="1"/>
          </rPr>
          <t>Art. 3º, Lei n.º 8.036/90.</t>
        </r>
      </text>
    </comment>
    <comment ref="B68" authorId="0" shapeId="0">
      <text>
        <r>
          <rPr>
            <sz val="11"/>
            <color rgb="FF000000"/>
            <rFont val="Calibri"/>
            <family val="2"/>
            <charset val="1"/>
          </rPr>
          <t>Decreto n.º 2.318/86</t>
        </r>
      </text>
    </comment>
    <comment ref="B69" authorId="0" shapeId="0">
      <text>
        <r>
          <rPr>
            <sz val="11"/>
            <color rgb="FF000000"/>
            <rFont val="Calibri"/>
            <family val="2"/>
            <charset val="1"/>
          </rPr>
          <t>Art. 8º, Lei n.º 8.029/90 e Lei n.º 8.154/90.</t>
        </r>
      </text>
    </comment>
    <comment ref="B70" authorId="0" shapeId="0">
      <text>
        <r>
          <rPr>
            <sz val="11"/>
            <color rgb="FF000000"/>
            <rFont val="Calibri"/>
            <family val="2"/>
            <charset val="1"/>
          </rPr>
          <t>Lei n.º 7.787/89 e DL n.º 1.146/70.</t>
        </r>
      </text>
    </comment>
    <comment ref="F71"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8" authorId="0" shapeId="0">
      <text>
        <r>
          <rPr>
            <sz val="11"/>
            <color rgb="FF000000"/>
            <rFont val="Calibri"/>
            <family val="2"/>
            <charset val="1"/>
          </rPr>
          <t>Transporte: Valor da tarifa de transporte público praticada no município de prestação do serviço.</t>
        </r>
      </text>
    </comment>
    <comment ref="B80" authorId="0" shapeId="0">
      <text>
        <r>
          <rPr>
            <sz val="11"/>
            <color rgb="FF000000"/>
            <rFont val="Calibri"/>
            <family val="2"/>
            <charset val="1"/>
          </rPr>
          <t>Auxílio alimentação (Vales, cesta básica etc.): geralmente previsto nos acordos, convenções ou sentenças normativas em dissídios coletivos.</t>
        </r>
      </text>
    </comment>
    <comment ref="G82" authorId="0" shapeId="0">
      <text>
        <r>
          <rPr>
            <sz val="11"/>
            <color rgb="FF000000"/>
            <rFont val="Calibri"/>
            <family val="2"/>
            <charset val="1"/>
          </rPr>
          <t>Não aplicável, pois onera exclusivamente o Tomador(Administração)</t>
        </r>
      </text>
    </comment>
    <comment ref="G83" authorId="0" shapeId="0">
      <text>
        <r>
          <rPr>
            <sz val="11"/>
            <color rgb="FF000000"/>
            <rFont val="Calibri"/>
            <family val="2"/>
            <charset val="1"/>
          </rPr>
          <t>Valor de R$ 32,67 da CCT é descontado do funcionário</t>
        </r>
      </text>
    </comment>
    <comment ref="G84" authorId="0" shapeId="0">
      <text>
        <r>
          <rPr>
            <sz val="11"/>
            <color rgb="FF000000"/>
            <rFont val="Calibri"/>
            <family val="2"/>
            <charset val="1"/>
          </rPr>
          <t>Não aplicável, pois onera exclusivamente o Tomador(Administração)</t>
        </r>
      </text>
    </comment>
    <comment ref="B99"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1"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3"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1"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2"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3"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4"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3"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4" authorId="0" shapeId="0">
      <text>
        <r>
          <rPr>
            <sz val="11"/>
            <color rgb="FF000000"/>
            <rFont val="Calibri"/>
            <family val="2"/>
            <charset val="1"/>
          </rPr>
          <t>DETALHAR VALORES UNITÁRIOS NA ABA "INSUMOS".</t>
        </r>
      </text>
    </comment>
    <comment ref="B141"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1" authorId="0" shapeId="0">
      <text>
        <r>
          <rPr>
            <sz val="11"/>
            <color rgb="FF000000"/>
            <rFont val="Calibri"/>
            <family val="2"/>
            <charset val="1"/>
          </rPr>
          <t>Média dos valores praticados nos contratos analisados pelo Planejamento da Contratação</t>
        </r>
      </text>
    </comment>
    <comment ref="B142"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2" authorId="0" shapeId="0">
      <text>
        <r>
          <rPr>
            <sz val="11"/>
            <color rgb="FF000000"/>
            <rFont val="Calibri"/>
            <family val="2"/>
            <charset val="1"/>
          </rPr>
          <t>Média dos valores praticados nos contratos analisados pelo Planejamento da Contratação</t>
        </r>
      </text>
    </comment>
    <comment ref="B143" authorId="0" shapeId="0">
      <text>
        <r>
          <rPr>
            <sz val="11"/>
            <color rgb="FF000000"/>
            <rFont val="Calibri"/>
            <family val="2"/>
            <charset val="1"/>
          </rPr>
          <t>Cálculo:
Apuração do Coeficiente:
1-(Tributos/100) = "Coeficiente"
Cálculo:
Faturamento/Coeficiente x Aliquota</t>
        </r>
      </text>
    </comment>
    <comment ref="F147"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5.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6.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33"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34" authorId="0" shapeId="0">
      <text>
        <r>
          <rPr>
            <sz val="11"/>
            <color rgb="FF000000"/>
            <rFont val="Calibri"/>
            <family val="2"/>
            <charset val="1"/>
          </rPr>
          <t>Cálculo:
Apuração do Coeficiente:
1-(Tributos/100) = "Coeficiente"
Cálculo:
Faturamento/Coeficiente x Aliquota</t>
        </r>
      </text>
    </comment>
    <comment ref="F38"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7.xml><?xml version="1.0" encoding="utf-8"?>
<comments xmlns="http://schemas.openxmlformats.org/spreadsheetml/2006/main">
  <authors>
    <author/>
  </authors>
  <commentList>
    <comment ref="A15" authorId="0" shapeId="0">
      <text>
        <r>
          <rPr>
            <b/>
            <sz val="11"/>
            <color rgb="FF000000"/>
            <rFont val="Calibri"/>
            <family val="2"/>
            <charset val="1"/>
          </rPr>
          <t>Selecione um Grupo na lista.</t>
        </r>
      </text>
    </comment>
    <comment ref="F16" authorId="0" shapeId="0">
      <text>
        <r>
          <rPr>
            <sz val="11"/>
            <color rgb="FF000000"/>
            <rFont val="Calibri"/>
            <family val="2"/>
          </rPr>
          <t xml:space="preserve">Os lances deverão ser registrados no sistema Comprasnet considerando a coluna destacada.
</t>
        </r>
      </text>
    </comment>
  </commentList>
</comments>
</file>

<file path=xl/sharedStrings.xml><?xml version="1.0" encoding="utf-8"?>
<sst xmlns="http://schemas.openxmlformats.org/spreadsheetml/2006/main" count="1967" uniqueCount="354">
  <si>
    <t>PLANILHA DE CUSTOS E FORMAÇÃO DE PREÇOS</t>
  </si>
  <si>
    <t>Esta planilha foi desenvolvida para facilitar o preenchimento por parte das licitantes e decorre de uma adaptação do modelo disposto no Anexo VII-D da IN/SEGES nº 05/2017 e suas alterações (destaque para IN 07/2018), não constituindo uma obrigatoriedade o uso deste modelo (vide disposições do edital).</t>
  </si>
  <si>
    <r>
      <rPr>
        <sz val="11"/>
        <color rgb="FF000000"/>
        <rFont val="Arial"/>
        <family val="2"/>
        <charset val="1"/>
      </rPr>
      <t xml:space="preserve">A </t>
    </r>
    <r>
      <rPr>
        <b/>
        <sz val="11"/>
        <color rgb="FF000000"/>
        <rFont val="Arial"/>
        <family val="2"/>
        <charset val="1"/>
      </rPr>
      <t>utilização e o preenchimento são de inteira responsabilidade da licitante</t>
    </r>
    <r>
      <rPr>
        <sz val="11"/>
        <color rgb="FF000000"/>
        <rFont val="Arial"/>
        <family val="2"/>
        <charset val="1"/>
      </rPr>
      <t>. Ressalta-se que o arquivo segue com células protegidas para preservação de fórmulas, mas não contém senha. Caso seja necessário editar células que contenham fórmula, basta acionar o menu "Revisão &gt; Desproteger planilha" (ou função correspondente no editor de planilhas utilizado).</t>
    </r>
  </si>
  <si>
    <r>
      <rPr>
        <b/>
        <sz val="11"/>
        <color rgb="FF000000"/>
        <rFont val="Arial"/>
        <family val="2"/>
        <charset val="1"/>
      </rPr>
      <t>Passo 1</t>
    </r>
    <r>
      <rPr>
        <sz val="11"/>
        <color rgb="FF000000"/>
        <rFont val="Arial"/>
        <family val="2"/>
        <charset val="1"/>
      </rPr>
      <t xml:space="preserve"> - Realize o preenchimento dos componentes de custos para cada um dos cargos, de acordo com a proposta/lance ofertado. Cada aba/guia corresponde a um cargo/item da licitação. De forma acessória, caso haja custos com insumos para os postos, a aba/guia "Insumos" deverá ser preenchida.</t>
    </r>
  </si>
  <si>
    <r>
      <rPr>
        <b/>
        <sz val="11"/>
        <color rgb="FF000000"/>
        <rFont val="Arial"/>
        <family val="2"/>
        <charset val="1"/>
      </rPr>
      <t>Passo 2</t>
    </r>
    <r>
      <rPr>
        <sz val="11"/>
        <color rgb="FF000000"/>
        <rFont val="Arial"/>
        <family val="2"/>
        <charset val="1"/>
      </rPr>
      <t xml:space="preserve"> - Caso tenha ofertado proposta/lance para o(s) item(ns) diárias de deslocamento (vide grupos de itens constantes do Termo de Referência), realize o preenchimento da aba/guia "Diárias".</t>
    </r>
  </si>
  <si>
    <r>
      <rPr>
        <b/>
        <sz val="11"/>
        <color rgb="FF000000"/>
        <rFont val="Arial"/>
        <family val="2"/>
        <charset val="1"/>
      </rPr>
      <t>Passo 3</t>
    </r>
    <r>
      <rPr>
        <sz val="11"/>
        <color rgb="FF000000"/>
        <rFont val="Arial"/>
        <family val="2"/>
        <charset val="1"/>
      </rPr>
      <t xml:space="preserve"> - Após o preenchimento (e ajustes ao lance vencedor) de todas as abas/guias correspondentes aos itens para os quais ofertou proposta/lance (cargos, insumos e diárias), realize a impressão da proposta comercial. </t>
    </r>
    <r>
      <rPr>
        <b/>
        <sz val="11"/>
        <color rgb="FF000000"/>
        <rFont val="Arial"/>
        <family val="2"/>
        <charset val="1"/>
      </rPr>
      <t>Acesse a aba/guia "Proposta"</t>
    </r>
    <r>
      <rPr>
        <sz val="11"/>
        <color rgb="FF000000"/>
        <rFont val="Arial"/>
        <family val="2"/>
        <charset val="1"/>
      </rPr>
      <t>:</t>
    </r>
  </si>
  <si>
    <t>Passo 3.1 - Realize o preenchimento do cabeçalho, preferencialmente com logotipo da empresa, e dos dados de identificação dispostos no formulário, inclusive do objeto da licitação (indicar nº certame).</t>
  </si>
  <si>
    <t>Passo 3.2 - Indique o grupo para o qual deseja gerar impressão da proposta: 1) selecione a célula destacada; 2) clique na seta à direita da célula; 3) selecione o grupo na lista suspensa.</t>
  </si>
  <si>
    <t>Passo 3.3 - Preencha os demais dados destacados em vermelho, a exemplo de valor por extenso, validade da proposta e dados do signatário.</t>
  </si>
  <si>
    <r>
      <rPr>
        <b/>
        <sz val="11"/>
        <color rgb="FF000000"/>
        <rFont val="Arial"/>
        <family val="2"/>
        <charset val="1"/>
      </rPr>
      <t>Passo 4</t>
    </r>
    <r>
      <rPr>
        <sz val="11"/>
        <color rgb="FF000000"/>
        <rFont val="Arial"/>
        <family val="2"/>
        <charset val="1"/>
      </rPr>
      <t xml:space="preserve"> - Revise a proposta e gere a impressão (menu Arquivo &gt; Imprimir).</t>
    </r>
  </si>
  <si>
    <r>
      <rPr>
        <b/>
        <sz val="11"/>
        <color rgb="FF000000"/>
        <rFont val="Arial"/>
        <family val="2"/>
        <charset val="1"/>
      </rPr>
      <t xml:space="preserve">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desta ferramenta.</t>
    </r>
  </si>
  <si>
    <t>Observação: Esta planilha de custos é uma adaptação do modelo disposto no Anexo VII-D da IN/SEGES nº 05/2017 e alterações (destaque para IN 07/2018) e com ajustes após publicação da Lei n° 13.467/2017 (Reforma Trabalhista). Os valores são referenciais do extinto MPOG, CNJ, TCU, contratos praticados e estimativa de insumos pelo Painel de Preços. Trata-se de modelo inspiracional, cabendo à licitante ajustar no que couber.</t>
  </si>
  <si>
    <t>-</t>
  </si>
  <si>
    <t>Órgão Licitante:</t>
  </si>
  <si>
    <t>CENTRAL DE COMPRAS/ME (UASG 201057)</t>
  </si>
  <si>
    <t>Processo nº:</t>
  </si>
  <si>
    <t>Licitação nº:</t>
  </si>
  <si>
    <t>DISCRIMINAÇÃO DOS SERVIÇOS (DADOS REFERENTES À CONTRATAÇÃO)</t>
  </si>
  <si>
    <t>A</t>
  </si>
  <si>
    <t>Data de apresentação da proposta (dia/mês/ano):</t>
  </si>
  <si>
    <t>B</t>
  </si>
  <si>
    <t>Município/UF:</t>
  </si>
  <si>
    <t>BRASÍLIA/DF</t>
  </si>
  <si>
    <t>C</t>
  </si>
  <si>
    <t>Ano do Acordo, Convenção ou Dissídio Coletivo:</t>
  </si>
  <si>
    <t>DF000262/2021</t>
  </si>
  <si>
    <t>D</t>
  </si>
  <si>
    <t>Número de meses de execução contratual:</t>
  </si>
  <si>
    <t>E</t>
  </si>
  <si>
    <t>Regime tributário:</t>
  </si>
  <si>
    <t>IDENTIFICAÇÃO DO SERVIÇO</t>
  </si>
  <si>
    <t>Tipo de Serviço</t>
  </si>
  <si>
    <t>Unidade de Medida</t>
  </si>
  <si>
    <t>Quantidade de postos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</si>
  <si>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</si>
  <si>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</si>
  <si>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MÃO-DE-OBRA VINCULADA À EXECUÇÃO CONTRATUAL</t>
  </si>
  <si>
    <t>Dados para composição dos custos referentes a mão de obra</t>
  </si>
  <si>
    <t>Tipo de Serviço (mesmo serviço com características distintas)</t>
  </si>
  <si>
    <t>Motorista - Jornada 44h semanais</t>
  </si>
  <si>
    <t>Classificação Brasileira de Ocupações (CBO)</t>
  </si>
  <si>
    <r>
      <rPr>
        <sz val="11"/>
        <rFont val="Arial"/>
        <family val="2"/>
        <charset val="1"/>
      </rPr>
      <t xml:space="preserve">CBO </t>
    </r>
    <r>
      <rPr>
        <sz val="11"/>
        <color rgb="FFFF0000"/>
        <rFont val="Arial"/>
        <family val="2"/>
        <charset val="1"/>
      </rPr>
      <t>7823</t>
    </r>
  </si>
  <si>
    <t>Salário normativo da categoria profissional</t>
  </si>
  <si>
    <t>Categoria profissional (vinculada à execução contratual)</t>
  </si>
  <si>
    <t>Motorista</t>
  </si>
  <si>
    <t>Data base da categoria (dia/mês/ano)</t>
  </si>
  <si>
    <t>Quantidade de dias trabalhados por mês</t>
  </si>
  <si>
    <t>Salário mínimo nacional</t>
  </si>
  <si>
    <t>Nota 1: Deverá ser elaborado um quadro para cada tipo de serviço</t>
  </si>
  <si>
    <t>Nota 2: A planilha será calculada considerando o valor mensal do empregado.</t>
  </si>
  <si>
    <t>MÓDULO 1 - COMPOSIÇÃO DA REMUNERAÇÃO</t>
  </si>
  <si>
    <t>Composição da Remuneração</t>
  </si>
  <si>
    <t>Valor (R$)</t>
  </si>
  <si>
    <r>
      <rPr>
        <sz val="10"/>
        <color rgb="FF000000"/>
        <rFont val="Calibri, Arial"/>
        <charset val="1"/>
      </rPr>
      <t>Salário-Base</t>
    </r>
    <r>
      <rPr>
        <sz val="10"/>
        <color rgb="FFFF0000"/>
        <rFont val="Calibri, Arial"/>
        <charset val="1"/>
      </rPr>
      <t xml:space="preserve"> (Ref. CCT)</t>
    </r>
  </si>
  <si>
    <r>
      <rPr>
        <sz val="11"/>
        <color rgb="FF000000"/>
        <rFont val="Calibri, Arial"/>
        <charset val="1"/>
      </rPr>
      <t>Outros</t>
    </r>
    <r>
      <rPr>
        <sz val="11"/>
        <color rgb="FFFF0000"/>
        <rFont val="Calibri, Arial"/>
        <charset val="1"/>
      </rPr>
      <t xml:space="preserve"> (especificar)</t>
    </r>
  </si>
  <si>
    <t>Total da Remuneração:</t>
  </si>
  <si>
    <t>MÓDULO 2 - ENCARGOS E BENEFÍCIOS ANUAIS, MENSAIS E DIÁRIOS</t>
  </si>
  <si>
    <t>Submódulo 2.1 - 13º (décimo terceiro) Salário, Férias e Adicional de Férias</t>
  </si>
  <si>
    <t>2.1</t>
  </si>
  <si>
    <t>13º (décimo terceiro) Salário, Férias e Adicional de Férias</t>
  </si>
  <si>
    <t>%</t>
  </si>
  <si>
    <r>
      <rPr>
        <sz val="10"/>
        <color rgb="FF000000"/>
        <rFont val="Calibri"/>
        <family val="2"/>
        <charset val="1"/>
      </rPr>
      <t xml:space="preserve">13º (décimo terceiro) Salário </t>
    </r>
    <r>
      <rPr>
        <sz val="10"/>
        <color rgb="FFFF0000"/>
        <rFont val="Calibri"/>
        <family val="2"/>
        <charset val="1"/>
      </rPr>
      <t>(Ref. Manual planilha de custos MPOG)</t>
    </r>
  </si>
  <si>
    <t>Férias e Adicional de Férias</t>
  </si>
  <si>
    <t>Total do Submódulo 2.1:</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</si>
  <si>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</si>
  <si>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</si>
  <si>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</si>
  <si>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Base de cálculo para Submódulo 2.2:</t>
  </si>
  <si>
    <t>Submódulo 2.2 - Encargos Previdenciários (GPS), Fundo de Garantia por Tempo de Serviço (FGTS) e outras contribuições.</t>
  </si>
  <si>
    <t>2.2</t>
  </si>
  <si>
    <t>GPS, FGTS e outras contribuições</t>
  </si>
  <si>
    <r>
      <rPr>
        <sz val="10"/>
        <color rgb="FF000000"/>
        <rFont val="Calibri"/>
        <family val="2"/>
        <charset val="1"/>
      </rPr>
      <t>INSS</t>
    </r>
    <r>
      <rPr>
        <sz val="10"/>
        <color rgb="FFFF0000"/>
        <rFont val="Calibri"/>
        <family val="2"/>
        <charset val="1"/>
      </rPr>
      <t xml:space="preserve"> (Ref. 20%)</t>
    </r>
  </si>
  <si>
    <t>G</t>
  </si>
  <si>
    <r>
      <rPr>
        <sz val="10"/>
        <color rgb="FF000000"/>
        <rFont val="Calibri"/>
        <family val="2"/>
        <charset val="1"/>
      </rPr>
      <t xml:space="preserve">Salário Educação </t>
    </r>
    <r>
      <rPr>
        <sz val="10"/>
        <color rgb="FFFF0000"/>
        <rFont val="Calibri"/>
        <family val="2"/>
        <charset val="1"/>
      </rPr>
      <t>(Ref. 2,5%)</t>
    </r>
  </si>
  <si>
    <t>H</t>
  </si>
  <si>
    <r>
      <rPr>
        <sz val="10"/>
        <color rgb="FF000000"/>
        <rFont val="Calibri, Arial"/>
        <charset val="1"/>
      </rPr>
      <t xml:space="preserve">SAT </t>
    </r>
    <r>
      <rPr>
        <sz val="10"/>
        <color rgb="FFFF0000"/>
        <rFont val="Calibri, Arial"/>
        <charset val="1"/>
      </rPr>
      <t>(Ref. RAP x FAP - Enviar relatório SEFIP/GPS)</t>
    </r>
  </si>
  <si>
    <r>
      <rPr>
        <sz val="10"/>
        <color rgb="FF000000"/>
        <rFont val="Calibri"/>
        <family val="2"/>
        <charset val="1"/>
      </rPr>
      <t>FGTS</t>
    </r>
    <r>
      <rPr>
        <sz val="10"/>
        <color rgb="FFFF0000"/>
        <rFont val="Calibri"/>
        <family val="2"/>
        <charset val="1"/>
      </rPr>
      <t xml:space="preserve"> (Ref. 8%)</t>
    </r>
  </si>
  <si>
    <r>
      <rPr>
        <sz val="10"/>
        <color rgb="FF000000"/>
        <rFont val="Calibri"/>
        <family val="2"/>
        <charset val="1"/>
      </rPr>
      <t>SESI OU SESC</t>
    </r>
    <r>
      <rPr>
        <sz val="10"/>
        <color rgb="FFFF0000"/>
        <rFont val="Calibri"/>
        <family val="2"/>
        <charset val="1"/>
      </rPr>
      <t xml:space="preserve"> (Ref. 1,5%)</t>
    </r>
  </si>
  <si>
    <r>
      <rPr>
        <sz val="10"/>
        <color rgb="FF000000"/>
        <rFont val="Calibri"/>
        <family val="2"/>
        <charset val="1"/>
      </rPr>
      <t xml:space="preserve">SENAI OU SENAC </t>
    </r>
    <r>
      <rPr>
        <sz val="10"/>
        <color rgb="FFFF0000"/>
        <rFont val="Calibri"/>
        <family val="2"/>
        <charset val="1"/>
      </rPr>
      <t>(Ref. 1%)</t>
    </r>
  </si>
  <si>
    <r>
      <rPr>
        <sz val="10"/>
        <color rgb="FF000000"/>
        <rFont val="Calibri"/>
        <family val="2"/>
        <charset val="1"/>
      </rPr>
      <t>SEBRAE</t>
    </r>
    <r>
      <rPr>
        <sz val="10"/>
        <color rgb="FFFF0000"/>
        <rFont val="Calibri"/>
        <family val="2"/>
        <charset val="1"/>
      </rPr>
      <t xml:space="preserve"> (Ref. 0,6%)</t>
    </r>
  </si>
  <si>
    <t>F</t>
  </si>
  <si>
    <r>
      <rPr>
        <sz val="10"/>
        <color rgb="FF000000"/>
        <rFont val="Calibri"/>
        <family val="2"/>
        <charset val="1"/>
      </rPr>
      <t xml:space="preserve">INCRA </t>
    </r>
    <r>
      <rPr>
        <sz val="10"/>
        <color rgb="FFFF0000"/>
        <rFont val="Calibri"/>
        <family val="2"/>
        <charset val="1"/>
      </rPr>
      <t>(Ref. 0,20%)</t>
    </r>
  </si>
  <si>
    <t>Total do Submódulo 2.2:</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</si>
  <si>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</si>
  <si>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</si>
  <si>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 xml:space="preserve">Nota 3: Esses percentuais incidem sobre o Módulo 1, o Submódulo 2.1. </t>
  </si>
  <si>
    <t>Submódulo 2.3 - Benefícios Mensais e Diários.</t>
  </si>
  <si>
    <t>2.3</t>
  </si>
  <si>
    <t>Benefícios Mensais e Diários</t>
  </si>
  <si>
    <t>Transporte</t>
  </si>
  <si>
    <t>Valor Ticket:</t>
  </si>
  <si>
    <t>A1</t>
  </si>
  <si>
    <r>
      <rPr>
        <i/>
        <sz val="10"/>
        <color rgb="FF000000"/>
        <rFont val="Calibri"/>
        <family val="2"/>
        <charset val="1"/>
      </rPr>
      <t>Desconto Auxílio transporte</t>
    </r>
    <r>
      <rPr>
        <i/>
        <sz val="10"/>
        <color rgb="FFFF0000"/>
        <rFont val="Calibri"/>
        <family val="2"/>
        <charset val="1"/>
      </rPr>
      <t xml:space="preserve"> (CLT: 6% do salário base)</t>
    </r>
  </si>
  <si>
    <r>
      <rPr>
        <sz val="10"/>
        <color rgb="FF000000"/>
        <rFont val="Calibri, Arial"/>
        <charset val="1"/>
      </rPr>
      <t>Auxílio-Refeição/Alimentação</t>
    </r>
    <r>
      <rPr>
        <sz val="10"/>
        <color rgb="FFFF0000"/>
        <rFont val="Calibri, Arial"/>
        <charset val="1"/>
      </rPr>
      <t xml:space="preserve"> (Ref. CCT)</t>
    </r>
  </si>
  <si>
    <t>B1</t>
  </si>
  <si>
    <r>
      <rPr>
        <i/>
        <sz val="10"/>
        <color rgb="FF000000"/>
        <rFont val="Calibri, Arial"/>
        <charset val="1"/>
      </rPr>
      <t xml:space="preserve">Desconto Auxílio alimentação </t>
    </r>
    <r>
      <rPr>
        <i/>
        <sz val="10"/>
        <color rgb="FFFF0000"/>
        <rFont val="Calibri, Arial"/>
        <charset val="1"/>
      </rPr>
      <t>(Ref. CCT)</t>
    </r>
  </si>
  <si>
    <t xml:space="preserve">Plano de Saúde </t>
  </si>
  <si>
    <t>Assistência Odontológica</t>
  </si>
  <si>
    <t>Auxílio Morte/Funeral</t>
  </si>
  <si>
    <r>
      <rPr>
        <sz val="10"/>
        <color rgb="FF000000"/>
        <rFont val="Calibri, Arial"/>
        <charset val="1"/>
      </rPr>
      <t>Outros</t>
    </r>
    <r>
      <rPr>
        <sz val="10"/>
        <color rgb="FFFF0000"/>
        <rFont val="Calibri, Arial"/>
        <charset val="1"/>
      </rPr>
      <t xml:space="preserve"> (especificar) </t>
    </r>
  </si>
  <si>
    <t>Total do Submódulo 2.3:</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</si>
  <si>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</si>
  <si>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</si>
  <si>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QUADRO-RESUMO DO MÓDULO 2 - ENCARGOS E BENEFÍCIOS ANUAIS, MENSAIS E DIÁRIOS</t>
  </si>
  <si>
    <t>Encargos e Benefícios Anuais, Mensais e Diários</t>
  </si>
  <si>
    <t>Total dos Encargos e Benefícios Anuais, Mensais e Diários:</t>
  </si>
  <si>
    <t>MÓDULO 3 - PROVISÃO PARA RESCISÃO</t>
  </si>
  <si>
    <t>Provisão para Rescisão</t>
  </si>
  <si>
    <r>
      <rPr>
        <sz val="10"/>
        <color rgb="FF000000"/>
        <rFont val="Calibri, Arial"/>
        <charset val="1"/>
      </rPr>
      <t xml:space="preserve">Aviso Prévio Indenizado - API  </t>
    </r>
    <r>
      <rPr>
        <sz val="10"/>
        <color rgb="FFFF0000"/>
        <rFont val="Calibri, Arial"/>
        <charset val="1"/>
      </rPr>
      <t>(Ref. Acórdão TCU 1904/2007–P, 0,46%)</t>
    </r>
  </si>
  <si>
    <t>Incidência do FGTS sobre Aviso Prévio Indenizado</t>
  </si>
  <si>
    <r>
      <rPr>
        <sz val="11"/>
        <color rgb="FF000000"/>
        <rFont val="Calibri, Arial"/>
        <charset val="1"/>
      </rPr>
      <t xml:space="preserve">Aviso Prévio Trabalhado - APT </t>
    </r>
    <r>
      <rPr>
        <sz val="11"/>
        <color rgb="FFFF0000"/>
        <rFont val="Calibri, Arial"/>
        <charset val="1"/>
      </rPr>
      <t>(Ref. Acórdão TCU 3006/2010–P, 1,94%)</t>
    </r>
  </si>
  <si>
    <t>Incidência de GPS, FGTS e outras contribuições sobre o Aviso Prévio Trabalhado</t>
  </si>
  <si>
    <r>
      <rPr>
        <sz val="11"/>
        <color rgb="FF000000"/>
        <rFont val="Calibri, Arial"/>
        <charset val="1"/>
      </rPr>
      <t xml:space="preserve">Multa do FGTS </t>
    </r>
    <r>
      <rPr>
        <strike/>
        <sz val="11"/>
        <color rgb="FFFF0000"/>
        <rFont val="Calibri, Arial"/>
        <charset val="1"/>
      </rPr>
      <t xml:space="preserve">e contribuição social </t>
    </r>
    <r>
      <rPr>
        <sz val="11"/>
        <color rgb="FF000000"/>
        <rFont val="Calibri, Arial"/>
        <charset val="1"/>
      </rPr>
      <t>sobre o API e APT</t>
    </r>
  </si>
  <si>
    <t>Total da Provisão para Rescisão:</t>
  </si>
  <si>
    <t>MÓDULO 4 - CUSTO DE REPOSIÇÃO DO PROFISSIONAL AUSENTE</t>
  </si>
  <si>
    <t>Submódulo 4.1 - Substituto nas Ausências Legais</t>
  </si>
  <si>
    <t>4.1</t>
  </si>
  <si>
    <t>Ausências Legais</t>
  </si>
  <si>
    <t>Substituto na cobertura de Férias</t>
  </si>
  <si>
    <t>Incidência  do Submódulo 2.2 sobre o custo da reposição</t>
  </si>
  <si>
    <r>
      <rPr>
        <sz val="11"/>
        <color rgb="FF000000"/>
        <rFont val="Calibri, Arial"/>
        <charset val="1"/>
      </rPr>
      <t xml:space="preserve">Substituto na cobertura de Ausências Legais </t>
    </r>
    <r>
      <rPr>
        <sz val="11"/>
        <color rgb="FFFF0000"/>
        <rFont val="Calibri, Arial"/>
        <charset val="1"/>
      </rPr>
      <t>(Ref. Acórdão TCU 1753/2008–P, 0,73%)</t>
    </r>
  </si>
  <si>
    <r>
      <rPr>
        <sz val="10"/>
        <color rgb="FF000000"/>
        <rFont val="Calibri, Arial"/>
        <charset val="1"/>
      </rPr>
      <t xml:space="preserve">Substituto na cobertura de Licença Paternidade </t>
    </r>
    <r>
      <rPr>
        <sz val="10"/>
        <color rgb="FFFF0000"/>
        <rFont val="Calibri, Arial"/>
        <charset val="1"/>
      </rPr>
      <t>(Ref. Acórdão TCU 1753/2008–P, 0,082%)</t>
    </r>
  </si>
  <si>
    <r>
      <rPr>
        <sz val="11"/>
        <color rgb="FF000000"/>
        <rFont val="Calibri, Arial"/>
        <charset val="1"/>
      </rPr>
      <t xml:space="preserve">Substituto na cobertura de Ausência por acidente de trabalho </t>
    </r>
    <r>
      <rPr>
        <sz val="10"/>
        <color rgb="FFFF0000"/>
        <rFont val="Calibri, Arial"/>
        <charset val="1"/>
      </rPr>
      <t>(Ref. Acórdão TCU 1753/2008–P, 0,27%)</t>
    </r>
  </si>
  <si>
    <r>
      <rPr>
        <sz val="10"/>
        <color rgb="FF000000"/>
        <rFont val="Calibri, Arial"/>
        <charset val="1"/>
      </rPr>
      <t xml:space="preserve">Substituto na cobertura de Afastamento Maternidade  </t>
    </r>
    <r>
      <rPr>
        <sz val="10"/>
        <color rgb="FFFF0000"/>
        <rFont val="Calibri, Arial"/>
        <charset val="1"/>
      </rPr>
      <t>(Ref. Nota Técnica 2/2018/CGAC/CISET/SG-PR)</t>
    </r>
  </si>
  <si>
    <t>Substituto na cobertura de Outras ausências (especificar)</t>
  </si>
  <si>
    <t>Total do Submódulo 4.1:</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</si>
  <si>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</si>
  <si>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 xml:space="preserve">Submódulo 4.2 - Substituto na Intrajornada 
</t>
  </si>
  <si>
    <t>4.2</t>
  </si>
  <si>
    <t>Intrajornada</t>
  </si>
  <si>
    <t>V.Hora (R$)</t>
  </si>
  <si>
    <t>Substituto na cobertura de Intervalo para repouso ou alimentação</t>
  </si>
  <si>
    <t>Total do Submódulo 4.2:</t>
  </si>
  <si>
    <t>Nota: Quando houver a necessidade de reposição de um empregado durante sua ausência nos casos de intervalo para repouso ou alimentação deve-se contemplar o Submódulo 4.2.</t>
  </si>
  <si>
    <t>QUADRO-RESUMO DO MÓDULO 4 - CUSTO DE REPOSIÇÃO DO PROFISSIONAL AUSENTE</t>
  </si>
  <si>
    <t>Substituto nas Ausências Legais</t>
  </si>
  <si>
    <t>Substituto na Intrajornada</t>
  </si>
  <si>
    <t>Total do Custo de Reposição do Profissional Ausente:</t>
  </si>
  <si>
    <t>MÓDULO 5 - INSUMOS DIVERSOS</t>
  </si>
  <si>
    <t>Insumos Diversos</t>
  </si>
  <si>
    <r>
      <rPr>
        <sz val="10"/>
        <color rgb="FF000000"/>
        <rFont val="Calibri"/>
        <family val="2"/>
        <charset val="1"/>
      </rPr>
      <t>Uniformes</t>
    </r>
    <r>
      <rPr>
        <sz val="10"/>
        <color rgb="FFFF0000"/>
        <rFont val="Calibri"/>
        <family val="2"/>
        <charset val="1"/>
      </rPr>
      <t xml:space="preserve"> (Ref. Custo dos Uniformes/12 meses)</t>
    </r>
  </si>
  <si>
    <r>
      <rPr>
        <sz val="10"/>
        <color rgb="FF000000"/>
        <rFont val="Calibri, Arial"/>
        <charset val="1"/>
      </rPr>
      <t>Materiais</t>
    </r>
    <r>
      <rPr>
        <sz val="10"/>
        <color rgb="FFFF0000"/>
        <rFont val="Calibri, Arial"/>
        <charset val="1"/>
      </rPr>
      <t xml:space="preserve">  (Ref. Custo materiais por profissional/12 meses)</t>
    </r>
  </si>
  <si>
    <t>Total dos Insumos Diversos:</t>
  </si>
  <si>
    <t>Nota: Valores mensais por empregado.</t>
  </si>
  <si>
    <t>MÓDULO 6 - CUSTOS INDIRETOS, TRIBUTOS E LUCRO</t>
  </si>
  <si>
    <t>Custos Indiretos, Tributos e Lucro</t>
  </si>
  <si>
    <t xml:space="preserve">Custos Indiretos </t>
  </si>
  <si>
    <t xml:space="preserve">Lucro </t>
  </si>
  <si>
    <t>C1</t>
  </si>
  <si>
    <t>C2</t>
  </si>
  <si>
    <t>Tributos Estaduais (especificar)</t>
  </si>
  <si>
    <t>C3</t>
  </si>
  <si>
    <r>
      <rPr>
        <i/>
        <sz val="10"/>
        <color rgb="FF000000"/>
        <rFont val="Calibri"/>
        <family val="2"/>
        <charset val="1"/>
      </rPr>
      <t xml:space="preserve">Tributos Municipais </t>
    </r>
    <r>
      <rPr>
        <i/>
        <sz val="10"/>
        <color rgb="FFFF0000"/>
        <rFont val="Calibri"/>
        <family val="2"/>
        <charset val="1"/>
      </rPr>
      <t>(Ref. ISS 5%)</t>
    </r>
  </si>
  <si>
    <t>C4</t>
  </si>
  <si>
    <r>
      <rPr>
        <i/>
        <sz val="11"/>
        <color rgb="FF000000"/>
        <rFont val="Calibri, Arial"/>
        <charset val="1"/>
      </rPr>
      <t xml:space="preserve">Outros Tributos </t>
    </r>
    <r>
      <rPr>
        <i/>
        <sz val="11"/>
        <color rgb="FFFF0000"/>
        <rFont val="Calibri, Arial"/>
        <charset val="1"/>
      </rPr>
      <t>(especificar)</t>
    </r>
  </si>
  <si>
    <t>Total Tributos:</t>
  </si>
  <si>
    <t>Total dos custos indiretos, tributos e lucro:</t>
  </si>
  <si>
    <t>Nota(1): Custos indiretos, tributos e lucro por empregado.</t>
  </si>
  <si>
    <t>Nota(2): O valor referente a tributos é obtido aplicando-se o percentual sobre o valor do faturamento.</t>
  </si>
  <si>
    <t>QUADRO RESUMO - CUSTO POR EMPREGADO</t>
  </si>
  <si>
    <t>Mão-de-Obra vinculada à execução contratual</t>
  </si>
  <si>
    <t>Módulo 1 - Composição da Remuneração</t>
  </si>
  <si>
    <t>Módulo 2 - Encargos e Benefícios Anuais, Mensais e Diários</t>
  </si>
  <si>
    <t>Módulo 3 - Provisão para Rescisão</t>
  </si>
  <si>
    <t>Módulo 4 - Custo de Reposição do Profissional Ausente</t>
  </si>
  <si>
    <t>Módulo 5 - Insumos Diversos</t>
  </si>
  <si>
    <t>Subtotal:</t>
  </si>
  <si>
    <t>Módulo 6 – Custos Indiretos, Tributos e LucroMódulo 5 - Custos Indiretos, Tributos e Lucro</t>
  </si>
  <si>
    <t>Valor total por empregado:</t>
  </si>
  <si>
    <t>QUADRO DEMONSTRATIVO - VALOR GLOBAL DA PROPOSTA</t>
  </si>
  <si>
    <t>Descrição</t>
  </si>
  <si>
    <t>Valor proposto por unidade de medida</t>
  </si>
  <si>
    <t>Valor diário do serviço</t>
  </si>
  <si>
    <t>Valor mensal do serviço</t>
  </si>
  <si>
    <t>Postos</t>
  </si>
  <si>
    <t>Valor global da proposta</t>
  </si>
  <si>
    <t>Meses</t>
  </si>
  <si>
    <t>Nota (1): Informar o valor da unidade de medida por tipo de serviço.</t>
  </si>
  <si>
    <r>
      <rPr>
        <sz val="11"/>
        <color rgb="FF000000"/>
        <rFont val="Calibri, Arial"/>
        <charset val="1"/>
      </rPr>
      <t xml:space="preserve">Plano de Saúde </t>
    </r>
    <r>
      <rPr>
        <sz val="11"/>
        <color rgb="FFFF0000"/>
        <rFont val="Calibri, Arial"/>
        <charset val="1"/>
      </rPr>
      <t>(Ref. CCT)</t>
    </r>
  </si>
  <si>
    <r>
      <rPr>
        <sz val="11"/>
        <color rgb="FF000000"/>
        <rFont val="Calibri, Arial"/>
        <charset val="1"/>
      </rPr>
      <t xml:space="preserve">Adicional noturno </t>
    </r>
    <r>
      <rPr>
        <sz val="11"/>
        <color rgb="FFFF0000"/>
        <rFont val="Calibri, Arial"/>
        <charset val="1"/>
      </rPr>
      <t>(Ref. 20% - Previsão de 2 horas noturnas por dia. O pagamento será pelo efetivo consumo.)</t>
    </r>
  </si>
  <si>
    <r>
      <rPr>
        <sz val="11"/>
        <color rgb="FF000000"/>
        <rFont val="Calibri"/>
        <family val="2"/>
        <charset val="1"/>
      </rPr>
      <t xml:space="preserve">Adicional de hora noturna reduzida </t>
    </r>
    <r>
      <rPr>
        <sz val="11"/>
        <color rgb="FFFF0000"/>
        <rFont val="Calibri"/>
        <family val="2"/>
        <charset val="1"/>
      </rPr>
      <t>(O pagamento será pelo efetivo consumo.)</t>
    </r>
  </si>
  <si>
    <t>DESCRIÇÃO</t>
  </si>
  <si>
    <t>UND</t>
  </si>
  <si>
    <t>QUANT.*</t>
  </si>
  <si>
    <t>PERIODICIDADE</t>
  </si>
  <si>
    <t>V.UNIT.</t>
  </si>
  <si>
    <t>V.ANUAL</t>
  </si>
  <si>
    <t>CUSTO MENSAL</t>
  </si>
  <si>
    <t>Semestral</t>
  </si>
  <si>
    <t>*Estimativa para 1 profissional</t>
  </si>
  <si>
    <t>Total de Uniformes:</t>
  </si>
  <si>
    <t>Notas:</t>
  </si>
  <si>
    <t>1) Os itens para os quais não foram informadas as quantidades e/ou periodicidade deverão ser disponibilizados conforme a necessidade de suprimento;</t>
  </si>
  <si>
    <t>2) O primeiro conjunto do uniforme deverá ser entregue antes do início dos serviços;</t>
  </si>
  <si>
    <t>3) Todos os uniformes estarão sujeitos à prévia aprovação do Contratante e, a pedido dela, poderão ser substituídos, caso não correspondam às especificações indicadas nesse item;</t>
  </si>
  <si>
    <t>4) Poderá ocorrer eventuais alterações nas especificações dos uniformes, quanto a tecido, cor, modelo, desde que aceitas pela Administração.</t>
  </si>
  <si>
    <t>Quantidade a contratar (em função da unidade de medida)</t>
  </si>
  <si>
    <r>
      <rPr>
        <sz val="11"/>
        <rFont val="Calibri"/>
        <family val="2"/>
        <charset val="1"/>
      </rPr>
      <t xml:space="preserve">Diárias em viagens </t>
    </r>
    <r>
      <rPr>
        <b/>
        <sz val="11"/>
        <rFont val="Calibri"/>
        <family val="2"/>
        <charset val="1"/>
      </rPr>
      <t>sem</t>
    </r>
    <r>
      <rPr>
        <sz val="11"/>
        <rFont val="Calibri"/>
        <family val="2"/>
        <charset val="1"/>
      </rPr>
      <t xml:space="preserve"> pernoite</t>
    </r>
  </si>
  <si>
    <t>Diária</t>
  </si>
  <si>
    <r>
      <rPr>
        <sz val="11"/>
        <rFont val="Calibri"/>
        <family val="2"/>
        <charset val="1"/>
      </rPr>
      <t xml:space="preserve">Diárias em viagens </t>
    </r>
    <r>
      <rPr>
        <b/>
        <sz val="11"/>
        <rFont val="Calibri"/>
        <family val="2"/>
        <charset val="1"/>
      </rPr>
      <t>com</t>
    </r>
    <r>
      <rPr>
        <sz val="11"/>
        <rFont val="Calibri"/>
        <family val="2"/>
        <charset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</si>
  <si>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</si>
  <si>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</si>
  <si>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</si>
  <si>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</si>
  <si>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</si>
  <si>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</si>
  <si>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Lucro</t>
  </si>
  <si>
    <t>Valor da Diária</t>
  </si>
  <si>
    <t>Valor da Diária Faturada</t>
  </si>
  <si>
    <t>Quant.</t>
  </si>
  <si>
    <t>Valor Total</t>
  </si>
  <si>
    <t>Diárias para deslocamento (sem pernoite)</t>
  </si>
  <si>
    <t>Diárias para deslocamento (com pernoite)</t>
  </si>
  <si>
    <t>Total:</t>
  </si>
  <si>
    <t>Un.</t>
  </si>
  <si>
    <t>Valor Unitário</t>
  </si>
  <si>
    <t>Qtde.</t>
  </si>
  <si>
    <t>Valor Mensal</t>
  </si>
  <si>
    <t>Valor Anual</t>
  </si>
  <si>
    <t>Motorista de Veículo Leve (6h00 e 22h00)</t>
  </si>
  <si>
    <t>Posto/mês</t>
  </si>
  <si>
    <t>Motorista Executivo (6h00 - 22h00)</t>
  </si>
  <si>
    <t>Motorista Executivo (14h00 - 24h00)</t>
  </si>
  <si>
    <t>Motorista Veículo Pesado (6h00 - 22h00)</t>
  </si>
  <si>
    <t>Motorista Veículo Pesado (14h00 - 24h00)</t>
  </si>
  <si>
    <t>Diárias em viagens sem pernoite</t>
  </si>
  <si>
    <t>Diária/mês</t>
  </si>
  <si>
    <t>Diárias em viagens com pernoite</t>
  </si>
  <si>
    <t>LOTE</t>
  </si>
  <si>
    <t>ITEM</t>
  </si>
  <si>
    <t>ÓRGÃO</t>
  </si>
  <si>
    <t>UASG</t>
  </si>
  <si>
    <t>UND.</t>
  </si>
  <si>
    <t>QTD</t>
  </si>
  <si>
    <t>VALOR UNITÁRIO DO POSTO R$</t>
  </si>
  <si>
    <t>VALOR TOTAL MENSAL R$</t>
  </si>
  <si>
    <t>VALOR UNITÁRIO ANUAL DO POSTO R$</t>
  </si>
  <si>
    <t>VALOR TOTAL ANUAL R$</t>
  </si>
  <si>
    <t>VALOR TOTAL ANUAL LOTE R$</t>
  </si>
  <si>
    <t>FILTRO1</t>
  </si>
  <si>
    <t>FILTRO2</t>
  </si>
  <si>
    <t>GRUPO 1 - ABIN</t>
  </si>
  <si>
    <t>ABIN</t>
  </si>
  <si>
    <t>GRUPO 2 - AGU</t>
  </si>
  <si>
    <t>AGU</t>
  </si>
  <si>
    <t>ANEEL</t>
  </si>
  <si>
    <t>ANM</t>
  </si>
  <si>
    <t>ANTT</t>
  </si>
  <si>
    <t>CGU</t>
  </si>
  <si>
    <t>DEPEN</t>
  </si>
  <si>
    <t>FUB</t>
  </si>
  <si>
    <t>FUNAI</t>
  </si>
  <si>
    <t>FUNARTE</t>
  </si>
  <si>
    <t>IBICT</t>
  </si>
  <si>
    <t>INCRA</t>
  </si>
  <si>
    <t>INSS</t>
  </si>
  <si>
    <t>MC</t>
  </si>
  <si>
    <t>MCom</t>
  </si>
  <si>
    <t>MCTIC</t>
  </si>
  <si>
    <t>MINFRA</t>
  </si>
  <si>
    <t>MJSP</t>
  </si>
  <si>
    <t>MME</t>
  </si>
  <si>
    <t>MS</t>
  </si>
  <si>
    <t>MTur</t>
  </si>
  <si>
    <t>PF</t>
  </si>
  <si>
    <t>Dados do Representante Comercial</t>
  </si>
  <si>
    <t>PROPOSTA COMERCIAL</t>
  </si>
  <si>
    <t>Selecione o Grupo na célula abaixo:</t>
  </si>
  <si>
    <t>QTD. MENSAL POSTO/DIÁRIA
(A)</t>
  </si>
  <si>
    <t>QTD ANUAL POSTO/DIÁRIA (B) = (A*12 MESES)</t>
  </si>
  <si>
    <t>VALOR UNITÁRIO MENSAL POSTO/DIÁRIA R$
(C)</t>
  </si>
  <si>
    <t>VALOR TOTAL MENSAL POSTO/DIÁRIA R$
(D) = (A*C)</t>
  </si>
  <si>
    <t>VALOR TOTAL ANUAL POSTO/DIÁRIA R$
(E) = (B*C)</t>
  </si>
  <si>
    <t>VALOR GLOBAL DO GRUPO/LOTE:</t>
  </si>
  <si>
    <r>
      <rPr>
        <sz val="10"/>
        <rFont val="Verdana"/>
        <family val="2"/>
        <charset val="1"/>
      </rPr>
      <t xml:space="preserve">- O valor unitário a ser inserido para cada item quando do </t>
    </r>
    <r>
      <rPr>
        <b/>
        <sz val="10"/>
        <rFont val="Verdana"/>
        <family val="2"/>
        <charset val="1"/>
      </rPr>
      <t>cadastramento da proposta no sistema Comprasnet é o VALOR UNITÁRIO MENSAL DO POSTO/DIÁRIA</t>
    </r>
    <r>
      <rPr>
        <sz val="10"/>
        <rFont val="Verdana"/>
        <family val="2"/>
        <charset val="1"/>
      </rPr>
      <t>, correspondente à coluna C da tabela acima.</t>
    </r>
  </si>
  <si>
    <t>O valor unitário a ser inserido para cada item quando do cadastramento da proposta no sistema Comprasnet é o VALOR UNITÁRIO ANUAL DO POSTO, correspondente à coluna D da tabela acima.</t>
  </si>
  <si>
    <r>
      <rPr>
        <sz val="10"/>
        <rFont val="Verdana"/>
        <family val="2"/>
        <charset val="1"/>
      </rPr>
      <t>- Anexar planilhas com o detalhamento dos valores de serviços e materiais (</t>
    </r>
    <r>
      <rPr>
        <b/>
        <sz val="10"/>
        <rFont val="Verdana"/>
        <family val="2"/>
        <charset val="1"/>
      </rPr>
      <t>abas dos cargos 1 a 5, de diárias e de insumos, se houver</t>
    </r>
    <r>
      <rPr>
        <sz val="10"/>
        <rFont val="Verdana"/>
        <family val="2"/>
        <charset val="1"/>
      </rPr>
      <t>);</t>
    </r>
  </si>
  <si>
    <t>- A elaboração das propostas deverá considerar as disposições da Instrução Normativa - IN SEGES/MPDG nº 05/2017, principalmente no que se refere à apuração de custos e formação de preços, bem como a legislação pertinente a matéria;</t>
  </si>
  <si>
    <t>Os pisos salariais dos profissionais colocados à disposição do Contratante para a prestação dos serviços, quando fixados com base em Acordo, Dissídio ou Convenção Coletiva de Trabalho, deverão utilizar como parâmetro aquelas registradas no Ministério do Trabalho e Emprego e em vigor, cujo enquadramento sindical decorre da atividade preponderante da empresa.</t>
  </si>
  <si>
    <t>Declaro, para todos os fins, que:
a) Tomei conhecimento pleno de todas as exigências previstas para esta contratação e que as cumprirei fielmente, tais como:
1. A execução do Contrato deverá atender fielmente o disposto no Termo de Referência e seu anexos, bem como o disposto no ANEXO VIII - DA FISCALIZAÇÃO TÉCNICA E ADMINISTRATIVA da Instrução Normativa - IN SEGES/MPDG nº 05/2017.;
2. É vedado o fornecimento de qualquer mercadoria ou serviço em desacordo com as normas expedidas pelos órgãos oficiais competentes ou, se normas especificadas não existirem, pela Associação Brasileira de Normas Técnicas ou outra entidade credenciada oficial;
3. O fornecedor deverá estar legalmente estabelecido e explorar ramo de atividade pertinente e compatível com o objeto desta contratação;</t>
  </si>
  <si>
    <t>b) No preço ofertado estão inclusos todos os custos necessários, impostos, tributos, custos, encargos trabalhistas, previdenciários, fiscais e comerciais, taxas, frete, deslocamento de pessoal e quaisquer outros que incidam ou venham a incidir sobre o valor do item;
c) Caso nos seja adjudicado o objeto da licitação, nos comprometemos a retirar a Nota de Empenho e/ou assinar o Contrato no prazo determinado;
d) O preço se encontra compatível com o de mercado, bem como o mesmo é praticado indistintamente aos setores público e privado.</t>
  </si>
  <si>
    <t>¹ Observada a validade mínima de 60 dias, conforme Lei nº 8.666/1993.</t>
  </si>
  <si>
    <t>______________________________</t>
  </si>
  <si>
    <t>Nome do responsável</t>
  </si>
  <si>
    <t>Carimbo e assinatura do responsável</t>
  </si>
  <si>
    <t>Observações:</t>
  </si>
  <si>
    <t>1) Emitir preferencialmente em papel que identifique a licitante;</t>
  </si>
  <si>
    <t xml:space="preserve">2) A conta bancária indicada deverá estar em nome da licitante; </t>
  </si>
  <si>
    <t>3) Proposta comercial destinada ao Ministério da Economia.</t>
  </si>
  <si>
    <t>ITEM 10 - ANATEL</t>
  </si>
  <si>
    <t>GRUPO 3 - ANEEL</t>
  </si>
  <si>
    <t>GRUPO 4 - ANM</t>
  </si>
  <si>
    <t>GRUPO 5 - ANTT</t>
  </si>
  <si>
    <t>GRUPO 6 - CGU</t>
  </si>
  <si>
    <t>ITEM 25 - DEPEN</t>
  </si>
  <si>
    <t>ITEM 26 - FNDE</t>
  </si>
  <si>
    <t>GRUPO 7 - FUB</t>
  </si>
  <si>
    <t>GRUPO 8 - FUNAI</t>
  </si>
  <si>
    <t>GRUPO 9 - FUNARTE</t>
  </si>
  <si>
    <t>GRUPO 10 - IBICT</t>
  </si>
  <si>
    <t>GRUPO 11 - INCRA</t>
  </si>
  <si>
    <t>GRUPO 12 - INSS</t>
  </si>
  <si>
    <t>ITEM 48 - MAPA</t>
  </si>
  <si>
    <t>GRUPO 13 - MC</t>
  </si>
  <si>
    <t>GRUPO 14 - MCom</t>
  </si>
  <si>
    <t>GRUPO 15 - MCTIC</t>
  </si>
  <si>
    <t>GRUPO 16 - MINFRA</t>
  </si>
  <si>
    <t>GRUPO 17 - MJSP</t>
  </si>
  <si>
    <t>GRUPO 18 - MME</t>
  </si>
  <si>
    <t>GRUPO 19 - MS</t>
  </si>
  <si>
    <t>GRUPO 20 - MTur</t>
  </si>
  <si>
    <t>GRUPO 21 - PF</t>
  </si>
  <si>
    <t>ITEM 85 - PRF</t>
  </si>
  <si>
    <t>NOME/FANTASIA:  BR BRASIL SERVICE</t>
  </si>
  <si>
    <t>RAZÃO SOCIAL: RDJ ASSESSORIA E GESTÃO EMPRESARIAL EIRELI</t>
  </si>
  <si>
    <t>CNPJ:  06.350.074/0001-34                                                                   I.E:</t>
  </si>
  <si>
    <t>END.: QE 32 CONJUNTO 'C' LOTE 2 - GUARA II - BRASILIA -DF</t>
  </si>
  <si>
    <t xml:space="preserve">CEP:  71065-031                               FONE/FAX: (61) 3386-0081                   E-MAIL:    comercial@brbrasilservice.com.br                    </t>
  </si>
  <si>
    <t xml:space="preserve">BANCO (N.º 104 - Caixas Economica Federal):                            AGÊNCIA:      4316                         C/C:     52-7                                      </t>
  </si>
  <si>
    <t>NOME:   Edilson de Freitas                                                                                                CPF/RG: 087.114.611-87 RG 274.399/SSP-DF</t>
  </si>
  <si>
    <t>UF:  DF                         CEP:        71917-000                   E-MAIL:  comercial@brbrasilservice.com.br             DDD/TELEFONE: 3386-0081</t>
  </si>
  <si>
    <t>CNPJ: 06.350.074/0001-34</t>
  </si>
  <si>
    <t>ENDEREÇO COMPLETO: QE 32 Conjunto "C" Lote 02 - Guara II - Brasília - DF</t>
  </si>
  <si>
    <t>TELEFONE / E-MAIL: comercial@brbrasilservice.com.br</t>
  </si>
  <si>
    <t>1993.108317/2020-76</t>
  </si>
  <si>
    <t>PREGÃO ELETRÔNICO (SRP) 021/2021</t>
  </si>
  <si>
    <t>Real</t>
  </si>
  <si>
    <t>Terno Completo com corte tradicional masculino, compleeendendo calça social preta em tecido tipo microfibra, tergal ou gabardine e paçetó social, com ombreiras em tecido tipo microfibra, tergal ou gabardine, forrado internamente, inclusive na manga, todas as peças na cor preta</t>
  </si>
  <si>
    <t>Camisa social de manga longa em tecido tipo algodão misto na cor branca</t>
  </si>
  <si>
    <t>Gravata Social lisa e de cores escuras em tecido tipo poliester: 02 (duas) unidades</t>
  </si>
  <si>
    <t>Cinto em Couro, na cor preta</t>
  </si>
  <si>
    <t>Sapato Social, em curo na cor preta</t>
  </si>
  <si>
    <t>Meia Social em tecido tipo poliamida ou similar, na cor preta</t>
  </si>
  <si>
    <r>
      <t>OBJETO:</t>
    </r>
    <r>
      <rPr>
        <sz val="11"/>
        <color rgb="FF000000"/>
        <rFont val="Verdana"/>
        <family val="2"/>
        <charset val="1"/>
      </rPr>
      <t xml:space="preserve"> Registro de Preços para eventual contratação da PRESTAÇÃO DE SERVIÇOS DE CONDUÇÃO DE VEÍCULOS DE REPRESENTAÇÃO, DE SERVIÇOS COMUNS E/OU ESPECIAIS, EM CARÁTER PERMANENTE, PARA ATENDIMENTO DOS ÓRGÃOS E ENTIDADES DA ADMINISTRAÇÃO PÚBLICA FEDERAL DIRETA, AUTÁRQUICA E FUNDACIONAL SEDIADAS NO DISTRITO FEDERAL, conforme condições, quantidades e exigências estabelecidas no Edital e Anexos do </t>
    </r>
    <r>
      <rPr>
        <sz val="11"/>
        <color rgb="FFFF0000"/>
        <rFont val="Verdana"/>
        <family val="2"/>
        <charset val="1"/>
      </rPr>
      <t>Pregão nº 21/2021.</t>
    </r>
  </si>
  <si>
    <t>Brasília/[DF) 01/10/2021 - 09h00</t>
  </si>
  <si>
    <t xml:space="preserve">VALIDADE DA PROPOSTA¹: 60 dias. </t>
  </si>
  <si>
    <t>Gerente Comercial</t>
  </si>
  <si>
    <t>Edilson de Freitas</t>
  </si>
  <si>
    <r>
      <t xml:space="preserve">Tributos Federais </t>
    </r>
    <r>
      <rPr>
        <i/>
        <sz val="10"/>
        <color rgb="FFFF0000"/>
        <rFont val="Calibri"/>
        <family val="2"/>
        <charset val="1"/>
      </rPr>
      <t xml:space="preserve"> (Ref. Acórdão TCU 1753/2008–P, PIS 0,24% e COFINS 1,08%)</t>
    </r>
  </si>
  <si>
    <t xml:space="preserve">UNIFORME MASCULINO - ITENS 2 E 3 - MOTORISTA EXECUTIVO </t>
  </si>
  <si>
    <t>Anual</t>
  </si>
  <si>
    <t xml:space="preserve">UNIFORME FEMININO - ITENS 2 E 3 - MOTORISTA EXECUTIVO </t>
  </si>
  <si>
    <t xml:space="preserve">Lenço para bolso superior do paletó em cores escurasem tecido de seda ou cetim </t>
  </si>
  <si>
    <t>Terno Completo com corte tradicional feminino, compreeendendo calça social preta em tecido tipo microfibra, tergal ou gabardine e paçetó social, sem ombreiras em tecido tipo microfibra, tergal ou gabardine, forrado internamente, inclusive na manga, todas as peças na cor preta</t>
  </si>
  <si>
    <t>Total Mensal Estimado do Custo Direto com Uniformes para os postos de Motorista Executivo Masculino/Feminino</t>
  </si>
  <si>
    <t xml:space="preserve">UNIFORME MASCULINO - ITENS 1,4 e 5 - MOTORISTA DE VEÍCULO LEVE E PESADO </t>
  </si>
  <si>
    <t>Calça social com corte tradicional masculino, em tecido tipo microfibra, tergal ou gabardine na cor preta</t>
  </si>
  <si>
    <t xml:space="preserve">Meia social em tecido poliamida ou similar, na cor preta </t>
  </si>
  <si>
    <t xml:space="preserve">UNIFORME FEMININO - ITENS 1,4 e 5 - MOTORISTA DE VEÍCULO LEVE E PESADO </t>
  </si>
  <si>
    <t>Total Mensal Estimado do Custo Direto com Uniformes para os postos de Motorista de Veículo Leve e Pesado Masculino/Feminino</t>
  </si>
  <si>
    <t xml:space="preserve">Calça social preta em tecido tipo microfibra, tergal ou gabardine </t>
  </si>
  <si>
    <t>ok</t>
  </si>
  <si>
    <t>ENDEREÇO:  Av. Flambooyant Lote 04 Apt 104               BAIRRO:              Aguas Claras                                CIDADE: DF</t>
  </si>
  <si>
    <t xml:space="preserve">Valor total por extenso: Cento e setenta e sete mil quatrocentos e cinquenta e seis reais e trinta e seis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</si>
</sst>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R$ -416]#,##0.00"/>
    <numFmt numFmtId="165" formatCode="d/m/yyyy"/>
    <numFmt numFmtId="166" formatCode="0.000%"/>
    <numFmt numFmtId="167" formatCode="_([$R$ -416]* #,##0.00_);_([$R$ -416]* \(#,##0.00\);_([$R$ -416]* \-??_);_(@_)"/>
    <numFmt numFmtId="168" formatCode="_-&quot;R$&quot;* #,##0.00_-;&quot;-R$&quot;* #,##0.00_-;_-&quot;R$&quot;* \-??_-;_-@_-"/>
    <numFmt numFmtId="169" formatCode="_-&quot;R$ &quot;* #,##0.00_-;&quot;-R$ &quot;* #,##0.00_-;_-&quot;R$ &quot;* \-??_-;_-@_-"/>
    <numFmt numFmtId="170" formatCode="&quot;R$&quot;\ #,##0.00"/>
  </numFmts>
  <fonts count="66">
    <font>
      <sz val="11"/>
      <color rgb="FF000000"/>
      <name val="Calibri"/>
      <charset val="1"/>
    </font>
    <font>
      <sz val="11"/>
      <color theme="1"/>
      <name val="Calibri"/>
      <family val="2"/>
      <scheme val="minor"/>
    </font>
    <font>
      <b/>
      <sz val="11"/>
      <color rgb="FF000000"/>
      <name val="Arial"/>
      <family val="2"/>
      <charset val="1"/>
    </font>
    <font>
      <sz val="11"/>
      <color rgb="FF000000"/>
      <name val="Arial"/>
      <family val="2"/>
      <charset val="1"/>
    </font>
    <font>
      <b/>
      <u/>
      <sz val="11"/>
      <color rgb="FF000000"/>
      <name val="Arial"/>
      <family val="2"/>
      <charset val="1"/>
    </font>
    <font>
      <i/>
      <sz val="11"/>
      <name val="Calibri"/>
      <family val="2"/>
      <charset val="1"/>
    </font>
    <font>
      <i/>
      <sz val="35"/>
      <color rgb="FFFF0000"/>
      <name val="Calibri"/>
      <family val="2"/>
      <charset val="1"/>
    </font>
    <font>
      <sz val="11"/>
      <name val="Verdana"/>
      <family val="2"/>
      <charset val="1"/>
    </font>
    <font>
      <b/>
      <sz val="11"/>
      <color rgb="FF000000"/>
      <name val="Calibri"/>
      <family val="2"/>
      <charset val="1"/>
    </font>
    <font>
      <sz val="11"/>
      <color rgb="FFFF0000"/>
      <name val="Calibri"/>
      <family val="2"/>
      <charset val="1"/>
    </font>
    <font>
      <b/>
      <sz val="10"/>
      <color rgb="FF000000"/>
      <name val="Calibri"/>
      <family val="2"/>
      <charset val="1"/>
    </font>
    <font>
      <sz val="11"/>
      <color rgb="FF000000"/>
      <name val="Calibri"/>
      <family val="2"/>
      <charset val="1"/>
    </font>
    <font>
      <sz val="11"/>
      <name val="Calibri"/>
      <family val="2"/>
      <charset val="1"/>
    </font>
    <font>
      <b/>
      <i/>
      <sz val="10"/>
      <color rgb="FF000000"/>
      <name val="Calibri"/>
      <family val="2"/>
      <charset val="1"/>
    </font>
    <font>
      <sz val="10"/>
      <color rgb="FFFF0000"/>
      <name val="Calibri"/>
      <family val="2"/>
      <charset val="1"/>
    </font>
    <font>
      <b/>
      <i/>
      <sz val="8"/>
      <color rgb="FF000000"/>
      <name val="Calibri"/>
      <family val="2"/>
      <charset val="1"/>
    </font>
    <font>
      <i/>
      <sz val="11"/>
      <color rgb="FF000000"/>
      <name val="Calibri"/>
      <family val="2"/>
      <charset val="1"/>
    </font>
    <font>
      <sz val="11"/>
      <name val="Arial"/>
      <family val="2"/>
      <charset val="1"/>
    </font>
    <font>
      <sz val="11"/>
      <color rgb="FFFF0000"/>
      <name val="Arial"/>
      <family val="2"/>
      <charset val="1"/>
    </font>
    <font>
      <b/>
      <i/>
      <sz val="11"/>
      <color rgb="FFFFFFFF"/>
      <name val="Calibri"/>
      <family val="2"/>
      <charset val="1"/>
    </font>
    <font>
      <sz val="10"/>
      <color rgb="FF000000"/>
      <name val="Calibri, Arial"/>
      <charset val="1"/>
    </font>
    <font>
      <sz val="10"/>
      <color rgb="FFFF0000"/>
      <name val="Calibri, Arial"/>
      <charset val="1"/>
    </font>
    <font>
      <b/>
      <sz val="11"/>
      <color rgb="FFFF0000"/>
      <name val="Calibri"/>
      <family val="2"/>
      <charset val="1"/>
    </font>
    <font>
      <sz val="11"/>
      <color rgb="FF000000"/>
      <name val="Calibri, Arial"/>
      <charset val="1"/>
    </font>
    <font>
      <sz val="11"/>
      <color rgb="FFFF0000"/>
      <name val="Calibri, Arial"/>
      <charset val="1"/>
    </font>
    <font>
      <sz val="10"/>
      <color rgb="FF000000"/>
      <name val="Calibri"/>
      <family val="2"/>
      <charset val="1"/>
    </font>
    <font>
      <sz val="10"/>
      <name val="Calibri, Arial"/>
      <charset val="1"/>
    </font>
    <font>
      <b/>
      <i/>
      <sz val="11"/>
      <color rgb="FFFFFF00"/>
      <name val="Calibri"/>
      <family val="2"/>
      <charset val="1"/>
    </font>
    <font>
      <i/>
      <sz val="10"/>
      <color rgb="FF000000"/>
      <name val="Calibri"/>
      <family val="2"/>
      <charset val="1"/>
    </font>
    <font>
      <i/>
      <sz val="10"/>
      <color rgb="FFFF0000"/>
      <name val="Calibri"/>
      <family val="2"/>
      <charset val="1"/>
    </font>
    <font>
      <i/>
      <sz val="11"/>
      <color rgb="FFFF0000"/>
      <name val="Calibri"/>
      <family val="2"/>
      <charset val="1"/>
    </font>
    <font>
      <b/>
      <sz val="11"/>
      <name val="Calibri"/>
      <family val="2"/>
      <charset val="1"/>
    </font>
    <font>
      <i/>
      <sz val="10"/>
      <color rgb="FF000000"/>
      <name val="Calibri, Arial"/>
      <charset val="1"/>
    </font>
    <font>
      <i/>
      <sz val="10"/>
      <color rgb="FFFF0000"/>
      <name val="Calibri, Arial"/>
      <charset val="1"/>
    </font>
    <font>
      <b/>
      <i/>
      <sz val="11"/>
      <color rgb="FF000000"/>
      <name val="Calibri"/>
      <family val="2"/>
      <charset val="1"/>
    </font>
    <font>
      <strike/>
      <sz val="11"/>
      <color rgb="FFFF0000"/>
      <name val="Calibri, Arial"/>
      <charset val="1"/>
    </font>
    <font>
      <b/>
      <i/>
      <sz val="11"/>
      <color rgb="FFFF0000"/>
      <name val="Calibri"/>
      <family val="2"/>
      <charset val="1"/>
    </font>
    <font>
      <i/>
      <sz val="11"/>
      <color rgb="FF000000"/>
      <name val="Calibri, Arial"/>
      <charset val="1"/>
    </font>
    <font>
      <i/>
      <sz val="11"/>
      <color rgb="FFFF0000"/>
      <name val="Calibri, Arial"/>
      <charset val="1"/>
    </font>
    <font>
      <sz val="9"/>
      <color rgb="FF000000"/>
      <name val="Segoe UI"/>
      <family val="2"/>
      <charset val="1"/>
    </font>
    <font>
      <sz val="11"/>
      <name val="&quot;Times New Roman&quot;"/>
      <charset val="1"/>
    </font>
    <font>
      <b/>
      <sz val="9"/>
      <name val="Verdana"/>
      <family val="2"/>
      <charset val="1"/>
    </font>
    <font>
      <b/>
      <sz val="8"/>
      <color rgb="FF000000"/>
      <name val="Calibri"/>
      <family val="2"/>
      <charset val="1"/>
    </font>
    <font>
      <sz val="9"/>
      <name val="Verdana"/>
      <family val="2"/>
      <charset val="1"/>
    </font>
    <font>
      <i/>
      <sz val="24"/>
      <color rgb="FFFF0000"/>
      <name val="Verdana"/>
      <family val="2"/>
      <charset val="1"/>
    </font>
    <font>
      <b/>
      <sz val="11"/>
      <color rgb="FF000000"/>
      <name val="Verdana"/>
      <family val="2"/>
      <charset val="1"/>
    </font>
    <font>
      <b/>
      <sz val="14"/>
      <color rgb="FF000000"/>
      <name val="Verdana"/>
      <family val="2"/>
      <charset val="1"/>
    </font>
    <font>
      <sz val="11"/>
      <color rgb="FF000000"/>
      <name val="Verdana"/>
      <family val="2"/>
      <charset val="1"/>
    </font>
    <font>
      <sz val="11"/>
      <color rgb="FFFF0000"/>
      <name val="Verdana"/>
      <family val="2"/>
      <charset val="1"/>
    </font>
    <font>
      <b/>
      <sz val="11"/>
      <color rgb="FFFF0000"/>
      <name val="Verdana"/>
      <family val="2"/>
      <charset val="1"/>
    </font>
    <font>
      <b/>
      <sz val="24"/>
      <color rgb="FFFF0000"/>
      <name val="Verdana"/>
      <family val="2"/>
      <charset val="1"/>
    </font>
    <font>
      <b/>
      <sz val="7"/>
      <name val="Verdana"/>
      <family val="2"/>
      <charset val="1"/>
    </font>
    <font>
      <b/>
      <sz val="8"/>
      <name val="Verdana"/>
      <family val="2"/>
      <charset val="1"/>
    </font>
    <font>
      <sz val="10"/>
      <name val="Verdana"/>
      <family val="2"/>
      <charset val="1"/>
    </font>
    <font>
      <b/>
      <sz val="10"/>
      <name val="Verdana"/>
      <family val="2"/>
      <charset val="1"/>
    </font>
    <font>
      <sz val="11"/>
      <color rgb="FF000000"/>
      <name val="Calibri"/>
      <family val="2"/>
    </font>
    <font>
      <sz val="12"/>
      <color theme="1"/>
      <name val="Arial Narrow"/>
      <family val="2"/>
    </font>
    <font>
      <sz val="12"/>
      <name val="Arial Narrow"/>
      <family val="2"/>
    </font>
    <font>
      <b/>
      <sz val="12"/>
      <color rgb="FF000000"/>
      <name val="Arial Narrow"/>
      <family val="2"/>
    </font>
    <font>
      <b/>
      <i/>
      <sz val="12"/>
      <color rgb="FF000000"/>
      <name val="Arial Narrow"/>
      <family val="2"/>
    </font>
    <font>
      <i/>
      <sz val="12"/>
      <color rgb="FF000000"/>
      <name val="Arial Narrow"/>
      <family val="2"/>
    </font>
    <font>
      <i/>
      <sz val="12"/>
      <color rgb="FFFF0000"/>
      <name val="Arial Narrow"/>
      <family val="2"/>
    </font>
    <font>
      <b/>
      <i/>
      <sz val="12"/>
      <color rgb="FFFF0000"/>
      <name val="Arial Narrow"/>
      <family val="2"/>
    </font>
    <font>
      <sz val="12"/>
      <color rgb="FF000000"/>
      <name val="Arial Narrow"/>
      <family val="2"/>
    </font>
    <font>
      <b/>
      <sz val="12"/>
      <name val="Arial Narrow"/>
      <family val="2"/>
    </font>
    <font>
      <b/>
      <sz val="14"/>
      <color theme="1"/>
      <name val="Arial Narrow"/>
      <family val="2"/>
    </font>
  </fonts>
  <fills count="17">
    <fill>
      <patternFill patternType="none"/>
    </fill>
    <fill>
      <patternFill patternType="gray125"/>
    </fill>
    <fill>
      <patternFill patternType="solid">
        <fgColor rgb="FFD9D9D9"/>
        <bgColor rgb="FFEFEFEF"/>
      </patternFill>
    </fill>
    <fill>
      <patternFill patternType="solid">
        <fgColor rgb="FFF3F3F3"/>
        <bgColor rgb="FFEFEFEF"/>
      </patternFill>
    </fill>
    <fill>
      <patternFill patternType="solid">
        <fgColor rgb="FFFFFF00"/>
        <bgColor rgb="FFFFFF00"/>
      </patternFill>
    </fill>
    <fill>
      <patternFill patternType="solid">
        <fgColor rgb="FFFF9900"/>
        <bgColor rgb="FFE69138"/>
      </patternFill>
    </fill>
    <fill>
      <patternFill patternType="solid">
        <fgColor rgb="FFE69138"/>
        <bgColor rgb="FFED7D31"/>
      </patternFill>
    </fill>
    <fill>
      <patternFill patternType="solid">
        <fgColor rgb="FFFFFFFF"/>
        <bgColor rgb="FFF3F3F3"/>
      </patternFill>
    </fill>
    <fill>
      <patternFill patternType="solid">
        <fgColor rgb="FFED7D31"/>
        <bgColor rgb="FFE69138"/>
      </patternFill>
    </fill>
    <fill>
      <patternFill patternType="solid">
        <fgColor rgb="FF999999"/>
        <bgColor rgb="FF808080"/>
      </patternFill>
    </fill>
    <fill>
      <patternFill patternType="solid">
        <fgColor rgb="FFEFEFEF"/>
        <bgColor rgb="FFF3F3F3"/>
      </patternFill>
    </fill>
    <fill>
      <patternFill patternType="solid">
        <fgColor rgb="FFFFD966"/>
        <bgColor rgb="FFFFFF99"/>
      </patternFill>
    </fill>
    <fill>
      <patternFill patternType="solid">
        <fgColor theme="7" tint="0.59999389629810485"/>
        <bgColor indexed="64"/>
      </patternFill>
    </fill>
    <fill>
      <patternFill patternType="solid">
        <fgColor rgb="FFFFFF00"/>
        <bgColor indexed="64"/>
      </patternFill>
    </fill>
    <fill>
      <patternFill patternType="solid">
        <fgColor rgb="FFFFFF00"/>
        <bgColor rgb="FFE69138"/>
      </patternFill>
    </fill>
    <fill>
      <patternFill patternType="solid">
        <fgColor rgb="FFFFFF00"/>
        <bgColor rgb="FFED7D31"/>
      </patternFill>
    </fill>
    <fill>
      <patternFill patternType="solid">
        <fgColor rgb="FFFFFF00"/>
        <bgColor rgb="FFEFEFE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359">
    <xf numFmtId="0" fontId="0" fillId="0" borderId="0" xfId="0"/>
    <xf numFmtId="0" fontId="0" fillId="0" borderId="0" xfId="0" applyFont="1" applyAlignment="1" applyProtection="1"/>
    <xf numFmtId="0" fontId="7" fillId="0" borderId="0" xfId="0" applyFont="1" applyAlignment="1" applyProtection="1">
      <alignment vertical="center"/>
      <protection locked="0"/>
    </xf>
    <xf numFmtId="0" fontId="7"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0" fontId="0" fillId="0" borderId="1" xfId="0" applyFont="1" applyBorder="1" applyAlignment="1" applyProtection="1">
      <alignment horizontal="center" vertical="center"/>
    </xf>
    <xf numFmtId="0" fontId="15" fillId="5" borderId="1" xfId="0" applyFont="1" applyFill="1" applyBorder="1" applyAlignment="1" applyProtection="1">
      <alignment horizontal="center" vertical="center" wrapText="1"/>
    </xf>
    <xf numFmtId="3" fontId="12" fillId="0" borderId="1" xfId="0" applyNumberFormat="1" applyFont="1" applyBorder="1" applyAlignment="1" applyProtection="1">
      <alignment horizontal="center" vertical="center"/>
    </xf>
    <xf numFmtId="0" fontId="12" fillId="0" borderId="1" xfId="0" applyFont="1" applyBorder="1" applyAlignment="1" applyProtection="1">
      <alignment horizontal="center" vertical="center"/>
    </xf>
    <xf numFmtId="4" fontId="22" fillId="0" borderId="1" xfId="0" applyNumberFormat="1" applyFont="1" applyBorder="1" applyAlignment="1" applyProtection="1">
      <alignment horizontal="right" vertical="center"/>
      <protection locked="0"/>
    </xf>
    <xf numFmtId="4" fontId="9" fillId="0" borderId="1" xfId="0" applyNumberFormat="1" applyFont="1" applyBorder="1" applyAlignment="1" applyProtection="1">
      <alignment horizontal="right" vertical="center"/>
      <protection locked="0"/>
    </xf>
    <xf numFmtId="4" fontId="8" fillId="2" borderId="1" xfId="0" applyNumberFormat="1" applyFont="1" applyFill="1" applyBorder="1" applyAlignment="1" applyProtection="1">
      <alignment horizontal="right" vertical="center"/>
    </xf>
    <xf numFmtId="10" fontId="9" fillId="0" borderId="1" xfId="0" applyNumberFormat="1" applyFont="1" applyBorder="1" applyAlignment="1" applyProtection="1">
      <alignment horizontal="right" vertical="center"/>
      <protection locked="0"/>
    </xf>
    <xf numFmtId="4" fontId="11" fillId="0" borderId="1" xfId="0" applyNumberFormat="1" applyFont="1" applyBorder="1" applyAlignment="1" applyProtection="1">
      <alignment horizontal="right" vertical="center"/>
    </xf>
    <xf numFmtId="4" fontId="27" fillId="6" borderId="3" xfId="0" applyNumberFormat="1" applyFont="1" applyFill="1" applyBorder="1" applyAlignment="1" applyProtection="1">
      <alignment horizontal="center" vertical="center"/>
    </xf>
    <xf numFmtId="10" fontId="22" fillId="0" borderId="1" xfId="0" applyNumberFormat="1" applyFont="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xf>
    <xf numFmtId="0" fontId="0" fillId="0" borderId="0" xfId="0" applyFont="1" applyAlignment="1" applyProtection="1">
      <alignment wrapText="1"/>
    </xf>
    <xf numFmtId="0" fontId="8" fillId="0" borderId="1" xfId="0" applyFont="1" applyBorder="1" applyAlignment="1" applyProtection="1">
      <alignment vertical="center"/>
    </xf>
    <xf numFmtId="4" fontId="8" fillId="0" borderId="1" xfId="0" applyNumberFormat="1" applyFont="1" applyBorder="1" applyAlignment="1" applyProtection="1">
      <alignment horizontal="right" vertical="center"/>
    </xf>
    <xf numFmtId="0" fontId="16" fillId="0" borderId="1" xfId="0" applyFont="1" applyBorder="1" applyAlignment="1" applyProtection="1">
      <alignment horizontal="center" vertical="center"/>
    </xf>
    <xf numFmtId="10" fontId="30" fillId="0" borderId="1" xfId="0" applyNumberFormat="1" applyFont="1" applyBorder="1" applyAlignment="1" applyProtection="1">
      <alignment horizontal="right" vertical="center"/>
    </xf>
    <xf numFmtId="4" fontId="5" fillId="0" borderId="1" xfId="0" applyNumberFormat="1" applyFont="1" applyBorder="1" applyAlignment="1" applyProtection="1">
      <alignment horizontal="right" vertical="center"/>
    </xf>
    <xf numFmtId="4" fontId="31" fillId="0" borderId="1" xfId="0" applyNumberFormat="1" applyFont="1" applyBorder="1" applyAlignment="1" applyProtection="1">
      <alignment horizontal="right" vertical="center"/>
    </xf>
    <xf numFmtId="4" fontId="9" fillId="0" borderId="1" xfId="0" applyNumberFormat="1" applyFont="1" applyBorder="1" applyAlignment="1" applyProtection="1">
      <alignment horizontal="right" vertical="center"/>
    </xf>
    <xf numFmtId="0" fontId="16" fillId="2" borderId="1" xfId="0" applyFont="1" applyFill="1" applyBorder="1" applyAlignment="1" applyProtection="1">
      <alignment horizontal="center" vertical="center"/>
    </xf>
    <xf numFmtId="4" fontId="34" fillId="2" borderId="1" xfId="0" applyNumberFormat="1" applyFont="1" applyFill="1" applyBorder="1" applyAlignment="1" applyProtection="1">
      <alignment horizontal="right" vertical="center"/>
    </xf>
    <xf numFmtId="10" fontId="8" fillId="0" borderId="1" xfId="0" applyNumberFormat="1" applyFont="1" applyBorder="1" applyAlignment="1" applyProtection="1">
      <alignment horizontal="right" vertical="center"/>
    </xf>
    <xf numFmtId="10" fontId="22" fillId="0" borderId="1" xfId="0" applyNumberFormat="1" applyFont="1" applyBorder="1" applyAlignment="1" applyProtection="1">
      <alignment horizontal="right" vertical="center"/>
      <protection locked="0"/>
    </xf>
    <xf numFmtId="10" fontId="31" fillId="0" borderId="1" xfId="0" applyNumberFormat="1" applyFont="1" applyBorder="1" applyAlignment="1" applyProtection="1">
      <alignment horizontal="right" vertical="center"/>
    </xf>
    <xf numFmtId="166" fontId="9" fillId="0" borderId="1" xfId="0" applyNumberFormat="1" applyFont="1" applyBorder="1" applyAlignment="1" applyProtection="1">
      <alignment horizontal="right" vertical="center"/>
      <protection locked="0"/>
    </xf>
    <xf numFmtId="166" fontId="9" fillId="0" borderId="1" xfId="0" applyNumberFormat="1" applyFont="1" applyBorder="1" applyAlignment="1" applyProtection="1">
      <alignment horizontal="right" vertical="center"/>
      <protection locked="0"/>
    </xf>
    <xf numFmtId="167" fontId="9" fillId="0" borderId="1" xfId="0" applyNumberFormat="1" applyFont="1" applyBorder="1" applyAlignment="1" applyProtection="1">
      <alignment horizontal="right" vertical="center"/>
      <protection locked="0"/>
    </xf>
    <xf numFmtId="10" fontId="34" fillId="2" borderId="1" xfId="0" applyNumberFormat="1" applyFont="1" applyFill="1" applyBorder="1" applyAlignment="1" applyProtection="1">
      <alignment vertical="center"/>
    </xf>
    <xf numFmtId="0" fontId="34" fillId="0" borderId="1" xfId="0" applyFont="1" applyBorder="1" applyAlignment="1" applyProtection="1">
      <alignment horizontal="center" vertical="center"/>
    </xf>
    <xf numFmtId="10" fontId="36" fillId="0" borderId="1" xfId="0" applyNumberFormat="1" applyFont="1" applyBorder="1" applyAlignment="1" applyProtection="1">
      <alignment horizontal="right" vertical="center"/>
      <protection locked="0"/>
    </xf>
    <xf numFmtId="4" fontId="34" fillId="0" borderId="1" xfId="0" applyNumberFormat="1" applyFont="1" applyBorder="1" applyAlignment="1" applyProtection="1">
      <alignment horizontal="right" vertical="center"/>
    </xf>
    <xf numFmtId="10" fontId="30" fillId="0" borderId="1" xfId="0" applyNumberFormat="1" applyFont="1" applyBorder="1" applyAlignment="1" applyProtection="1">
      <alignment horizontal="right" vertical="center"/>
      <protection locked="0"/>
    </xf>
    <xf numFmtId="4" fontId="16" fillId="0" borderId="1" xfId="0" applyNumberFormat="1" applyFont="1" applyBorder="1" applyAlignment="1" applyProtection="1">
      <alignment horizontal="right" vertical="center"/>
    </xf>
    <xf numFmtId="10" fontId="34" fillId="0" borderId="1" xfId="0" applyNumberFormat="1" applyFont="1" applyBorder="1" applyAlignment="1" applyProtection="1">
      <alignment horizontal="righ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vertical="center"/>
    </xf>
    <xf numFmtId="4" fontId="11" fillId="2" borderId="1" xfId="0" applyNumberFormat="1" applyFont="1" applyFill="1" applyBorder="1" applyAlignment="1" applyProtection="1">
      <alignment horizontal="right" vertical="center"/>
    </xf>
    <xf numFmtId="3" fontId="34" fillId="2" borderId="1" xfId="0" applyNumberFormat="1" applyFont="1" applyFill="1" applyBorder="1" applyAlignment="1" applyProtection="1">
      <alignment horizontal="center" vertical="center"/>
    </xf>
    <xf numFmtId="0" fontId="12" fillId="0" borderId="4" xfId="0" applyFont="1" applyBorder="1" applyAlignment="1" applyProtection="1">
      <alignment vertical="center"/>
      <protection locked="0"/>
    </xf>
    <xf numFmtId="0" fontId="12" fillId="0" borderId="0" xfId="0" applyFont="1" applyAlignment="1" applyProtection="1">
      <alignment vertical="center"/>
    </xf>
    <xf numFmtId="0" fontId="0" fillId="0" borderId="0" xfId="0" applyFont="1" applyAlignment="1" applyProtection="1">
      <protection locked="0"/>
    </xf>
    <xf numFmtId="0" fontId="12" fillId="0" borderId="0" xfId="0" applyFont="1" applyAlignment="1" applyProtection="1">
      <alignment vertical="center"/>
      <protection locked="0"/>
    </xf>
    <xf numFmtId="0" fontId="11" fillId="0" borderId="0" xfId="0" applyFont="1" applyAlignment="1" applyProtection="1"/>
    <xf numFmtId="0" fontId="6" fillId="0" borderId="0" xfId="0" applyFont="1" applyAlignment="1" applyProtection="1">
      <alignment horizontal="center" vertical="center"/>
    </xf>
    <xf numFmtId="0" fontId="8" fillId="0" borderId="0" xfId="0" applyFont="1" applyAlignment="1" applyProtection="1">
      <alignment horizontal="left" vertical="center"/>
    </xf>
    <xf numFmtId="0" fontId="9" fillId="0" borderId="0" xfId="0" applyFont="1" applyAlignment="1" applyProtection="1">
      <alignment horizontal="right" vertical="center"/>
    </xf>
    <xf numFmtId="0" fontId="12" fillId="0" borderId="0" xfId="0" applyFont="1" applyAlignment="1" applyProtection="1">
      <alignment horizontal="center" vertical="center"/>
    </xf>
    <xf numFmtId="0" fontId="12" fillId="0" borderId="3" xfId="0" applyFont="1" applyBorder="1" applyAlignment="1" applyProtection="1">
      <alignment horizontal="center"/>
    </xf>
    <xf numFmtId="3" fontId="12" fillId="0" borderId="0" xfId="0" applyNumberFormat="1" applyFont="1" applyAlignment="1" applyProtection="1">
      <alignment horizontal="center"/>
    </xf>
    <xf numFmtId="2" fontId="7" fillId="0" borderId="0" xfId="0" applyNumberFormat="1" applyFont="1" applyAlignment="1" applyProtection="1">
      <alignment vertical="center"/>
    </xf>
    <xf numFmtId="0" fontId="15" fillId="5" borderId="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4" fontId="12"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xf>
    <xf numFmtId="3" fontId="12" fillId="2" borderId="1" xfId="0" applyNumberFormat="1" applyFont="1" applyFill="1" applyBorder="1" applyAlignment="1" applyProtection="1">
      <alignment horizontal="center" vertical="center"/>
    </xf>
    <xf numFmtId="0" fontId="41" fillId="5" borderId="0" xfId="0" applyFont="1" applyFill="1" applyAlignment="1" applyProtection="1">
      <alignment horizontal="center" vertical="center" wrapText="1"/>
    </xf>
    <xf numFmtId="0" fontId="41" fillId="8" borderId="1" xfId="0" applyFont="1" applyFill="1" applyBorder="1" applyAlignment="1" applyProtection="1">
      <alignment horizontal="center" vertical="center" wrapText="1"/>
    </xf>
    <xf numFmtId="4" fontId="42" fillId="0" borderId="0" xfId="0" applyNumberFormat="1" applyFont="1" applyAlignment="1" applyProtection="1">
      <alignment horizontal="center" vertical="center" wrapText="1"/>
    </xf>
    <xf numFmtId="0" fontId="42" fillId="0" borderId="0" xfId="0" applyFont="1" applyAlignment="1" applyProtection="1">
      <alignment horizontal="center" vertical="center" wrapText="1"/>
    </xf>
    <xf numFmtId="0" fontId="43" fillId="7" borderId="0" xfId="0" applyFont="1" applyFill="1" applyAlignment="1" applyProtection="1">
      <alignment vertical="center"/>
    </xf>
    <xf numFmtId="3" fontId="43" fillId="7" borderId="1" xfId="0" applyNumberFormat="1" applyFont="1" applyFill="1" applyBorder="1" applyAlignment="1" applyProtection="1">
      <alignment horizontal="center" vertical="center"/>
    </xf>
    <xf numFmtId="4" fontId="43" fillId="7" borderId="1" xfId="0" applyNumberFormat="1" applyFont="1" applyFill="1" applyBorder="1" applyAlignment="1" applyProtection="1">
      <alignment horizontal="center" vertical="center"/>
    </xf>
    <xf numFmtId="4" fontId="43" fillId="7" borderId="2" xfId="0" applyNumberFormat="1" applyFont="1" applyFill="1" applyBorder="1" applyAlignment="1" applyProtection="1">
      <alignment horizontal="center" vertical="center"/>
    </xf>
    <xf numFmtId="4" fontId="10" fillId="8" borderId="1" xfId="0" applyNumberFormat="1" applyFont="1" applyFill="1" applyBorder="1" applyAlignment="1" applyProtection="1">
      <alignment horizontal="center" vertical="center" wrapText="1"/>
    </xf>
    <xf numFmtId="0" fontId="42" fillId="9" borderId="0" xfId="0" applyFont="1" applyFill="1" applyAlignment="1" applyProtection="1">
      <alignment horizontal="center" vertical="center" wrapText="1"/>
    </xf>
    <xf numFmtId="0" fontId="42" fillId="9" borderId="1" xfId="0" applyFont="1" applyFill="1" applyBorder="1" applyAlignment="1" applyProtection="1">
      <alignment horizontal="center" vertical="center" wrapText="1"/>
    </xf>
    <xf numFmtId="0" fontId="42" fillId="9" borderId="3" xfId="0" applyFont="1" applyFill="1" applyBorder="1" applyAlignment="1" applyProtection="1">
      <alignment horizontal="center" vertical="center" wrapText="1"/>
    </xf>
    <xf numFmtId="4" fontId="42" fillId="9" borderId="3" xfId="0" applyNumberFormat="1" applyFont="1" applyFill="1" applyBorder="1" applyAlignment="1" applyProtection="1">
      <alignment horizontal="center" vertical="center" wrapText="1"/>
    </xf>
    <xf numFmtId="4" fontId="42" fillId="9" borderId="7" xfId="0" applyNumberFormat="1" applyFont="1" applyFill="1" applyBorder="1" applyAlignment="1" applyProtection="1">
      <alignment horizontal="center" vertical="center" wrapText="1"/>
    </xf>
    <xf numFmtId="0" fontId="0" fillId="2" borderId="6" xfId="0" applyFont="1" applyFill="1" applyBorder="1" applyAlignment="1" applyProtection="1">
      <alignment horizontal="center" vertical="center"/>
    </xf>
    <xf numFmtId="0" fontId="12" fillId="2" borderId="6" xfId="0" applyFont="1" applyFill="1" applyBorder="1" applyAlignment="1" applyProtection="1">
      <alignment vertical="center"/>
    </xf>
    <xf numFmtId="0" fontId="12" fillId="2" borderId="6" xfId="0" applyFont="1" applyFill="1" applyBorder="1" applyAlignment="1" applyProtection="1">
      <alignment horizontal="center" vertical="center"/>
    </xf>
    <xf numFmtId="4" fontId="12" fillId="2" borderId="6" xfId="0" applyNumberFormat="1" applyFont="1" applyFill="1" applyBorder="1" applyAlignment="1" applyProtection="1">
      <alignment horizontal="center" vertical="center"/>
    </xf>
    <xf numFmtId="4" fontId="31" fillId="2" borderId="6"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6" xfId="0" applyFont="1" applyBorder="1" applyAlignment="1" applyProtection="1">
      <alignment horizontal="center" vertical="center"/>
    </xf>
    <xf numFmtId="0" fontId="12" fillId="0" borderId="6" xfId="0" applyFont="1" applyBorder="1" applyAlignment="1" applyProtection="1">
      <alignment vertical="center"/>
    </xf>
    <xf numFmtId="0" fontId="12" fillId="0" borderId="6" xfId="0" applyFont="1" applyBorder="1" applyAlignment="1" applyProtection="1">
      <alignment horizontal="center" vertical="center"/>
    </xf>
    <xf numFmtId="4" fontId="12" fillId="0" borderId="6" xfId="0" applyNumberFormat="1" applyFont="1" applyBorder="1" applyAlignment="1" applyProtection="1">
      <alignment horizontal="center" vertical="center"/>
    </xf>
    <xf numFmtId="4" fontId="31" fillId="7" borderId="6"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4" fontId="12" fillId="7" borderId="6" xfId="0" applyNumberFormat="1"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12" fillId="0" borderId="7"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0" fontId="12" fillId="2" borderId="7" xfId="0" applyFont="1" applyFill="1" applyBorder="1" applyAlignment="1" applyProtection="1">
      <alignment vertical="center"/>
    </xf>
    <xf numFmtId="0" fontId="0" fillId="0" borderId="9" xfId="0" applyFont="1" applyBorder="1" applyAlignment="1" applyProtection="1">
      <alignment horizontal="center" vertical="center"/>
    </xf>
    <xf numFmtId="0" fontId="12" fillId="0" borderId="3" xfId="0" applyFont="1" applyBorder="1" applyAlignment="1" applyProtection="1">
      <alignment vertical="center"/>
    </xf>
    <xf numFmtId="0" fontId="12" fillId="0" borderId="3" xfId="0" applyFont="1" applyBorder="1" applyAlignment="1" applyProtection="1">
      <alignment horizontal="center" vertical="center"/>
    </xf>
    <xf numFmtId="0" fontId="0" fillId="2" borderId="3" xfId="0" applyFont="1" applyFill="1" applyBorder="1" applyAlignment="1" applyProtection="1">
      <alignment horizontal="center" vertical="center"/>
    </xf>
    <xf numFmtId="0" fontId="0" fillId="0" borderId="0" xfId="0" applyFont="1" applyAlignment="1" applyProtection="1">
      <alignment horizontal="center" vertical="center"/>
    </xf>
    <xf numFmtId="4" fontId="31" fillId="0" borderId="0" xfId="0" applyNumberFormat="1" applyFont="1" applyAlignment="1" applyProtection="1">
      <alignment horizontal="center" vertical="center"/>
    </xf>
    <xf numFmtId="0" fontId="0" fillId="0" borderId="0" xfId="0" applyFont="1" applyAlignment="1" applyProtection="1">
      <alignment vertical="center"/>
    </xf>
    <xf numFmtId="4"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1" fontId="0" fillId="0" borderId="0" xfId="0" applyNumberFormat="1" applyFont="1" applyAlignment="1" applyProtection="1"/>
    <xf numFmtId="168" fontId="0" fillId="0" borderId="0" xfId="0" applyNumberFormat="1" applyFont="1" applyAlignment="1" applyProtection="1"/>
    <xf numFmtId="0" fontId="49" fillId="0" borderId="4" xfId="0" applyFont="1" applyBorder="1" applyAlignment="1" applyProtection="1">
      <alignment horizontal="left" vertical="center"/>
      <protection locked="0" hidden="1"/>
    </xf>
    <xf numFmtId="0" fontId="47" fillId="0" borderId="4" xfId="0" applyFont="1" applyBorder="1" applyAlignment="1" applyProtection="1">
      <alignment horizontal="center" vertical="center" wrapText="1"/>
      <protection locked="0" hidden="1"/>
    </xf>
    <xf numFmtId="1" fontId="47" fillId="0" borderId="4" xfId="0" applyNumberFormat="1" applyFont="1" applyBorder="1" applyAlignment="1" applyProtection="1">
      <alignment horizontal="center" vertical="center" wrapText="1"/>
      <protection locked="0" hidden="1"/>
    </xf>
    <xf numFmtId="168" fontId="47" fillId="0" borderId="4" xfId="0" applyNumberFormat="1" applyFont="1" applyBorder="1" applyAlignment="1" applyProtection="1">
      <alignment horizontal="center" vertical="center" wrapText="1"/>
      <protection locked="0" hidden="1"/>
    </xf>
    <xf numFmtId="0" fontId="0" fillId="0" borderId="0" xfId="0" applyFont="1" applyAlignment="1" applyProtection="1">
      <protection hidden="1"/>
    </xf>
    <xf numFmtId="0" fontId="51" fillId="5" borderId="1" xfId="0" applyFont="1" applyFill="1" applyBorder="1" applyAlignment="1" applyProtection="1">
      <alignment horizontal="center" vertical="center" wrapText="1"/>
    </xf>
    <xf numFmtId="1" fontId="51" fillId="5" borderId="1" xfId="0" applyNumberFormat="1" applyFont="1" applyFill="1" applyBorder="1" applyAlignment="1" applyProtection="1">
      <alignment horizontal="center" vertical="center" wrapText="1"/>
    </xf>
    <xf numFmtId="168" fontId="51" fillId="5" borderId="1" xfId="0" applyNumberFormat="1" applyFont="1" applyFill="1" applyBorder="1" applyAlignment="1" applyProtection="1">
      <alignment horizontal="center" vertical="center" wrapText="1"/>
    </xf>
    <xf numFmtId="0" fontId="43" fillId="10" borderId="1" xfId="0" applyFont="1" applyFill="1" applyBorder="1" applyAlignment="1" applyProtection="1">
      <alignment horizontal="left" vertical="center"/>
    </xf>
    <xf numFmtId="0" fontId="43" fillId="10" borderId="1" xfId="0" applyFont="1" applyFill="1" applyBorder="1" applyAlignment="1" applyProtection="1">
      <alignment vertical="center" wrapText="1"/>
    </xf>
    <xf numFmtId="3" fontId="43" fillId="10" borderId="1" xfId="0" applyNumberFormat="1" applyFont="1" applyFill="1" applyBorder="1" applyAlignment="1" applyProtection="1">
      <alignment horizontal="center" vertical="center"/>
    </xf>
    <xf numFmtId="168" fontId="43" fillId="11" borderId="1" xfId="0" applyNumberFormat="1" applyFont="1" applyFill="1" applyBorder="1" applyAlignment="1" applyProtection="1">
      <alignment horizontal="center" vertical="center"/>
    </xf>
    <xf numFmtId="169" fontId="43" fillId="10" borderId="1" xfId="0" applyNumberFormat="1" applyFont="1" applyFill="1" applyBorder="1" applyAlignment="1" applyProtection="1">
      <alignment horizontal="center" vertical="center"/>
    </xf>
    <xf numFmtId="169" fontId="52" fillId="10" borderId="1" xfId="0" applyNumberFormat="1" applyFont="1" applyFill="1" applyBorder="1" applyAlignment="1" applyProtection="1">
      <alignment horizontal="center" vertical="center"/>
    </xf>
    <xf numFmtId="0" fontId="7" fillId="0" borderId="0" xfId="0" applyFont="1" applyAlignment="1" applyProtection="1">
      <alignment vertical="top"/>
    </xf>
    <xf numFmtId="1" fontId="7" fillId="0" borderId="0" xfId="0" applyNumberFormat="1" applyFont="1" applyAlignment="1" applyProtection="1">
      <alignment vertical="top"/>
    </xf>
    <xf numFmtId="168" fontId="7" fillId="0" borderId="0" xfId="0" applyNumberFormat="1" applyFont="1" applyAlignment="1" applyProtection="1">
      <alignment vertical="top"/>
    </xf>
    <xf numFmtId="0" fontId="7" fillId="0" borderId="11" xfId="0" applyFont="1" applyBorder="1" applyAlignment="1" applyProtection="1">
      <alignment vertical="top"/>
      <protection locked="0"/>
    </xf>
    <xf numFmtId="1" fontId="7" fillId="0" borderId="11" xfId="0" applyNumberFormat="1" applyFont="1" applyBorder="1" applyAlignment="1" applyProtection="1">
      <alignment vertical="top"/>
      <protection locked="0"/>
    </xf>
    <xf numFmtId="168" fontId="7" fillId="0" borderId="11" xfId="0" applyNumberFormat="1" applyFont="1" applyBorder="1" applyAlignment="1" applyProtection="1">
      <alignment vertical="top"/>
      <protection locked="0"/>
    </xf>
    <xf numFmtId="0" fontId="7" fillId="0" borderId="0" xfId="0" applyFont="1" applyAlignment="1" applyProtection="1">
      <alignment vertical="top"/>
      <protection locked="0"/>
    </xf>
    <xf numFmtId="1" fontId="7" fillId="0" borderId="0" xfId="0" applyNumberFormat="1" applyFont="1" applyAlignment="1" applyProtection="1">
      <alignment vertical="top"/>
      <protection locked="0"/>
    </xf>
    <xf numFmtId="168" fontId="7" fillId="0" borderId="0" xfId="0" applyNumberFormat="1" applyFont="1" applyAlignment="1" applyProtection="1">
      <alignment vertical="top"/>
      <protection locked="0"/>
    </xf>
    <xf numFmtId="0" fontId="16" fillId="0" borderId="0" xfId="0" applyFont="1" applyBorder="1" applyAlignment="1" applyProtection="1">
      <alignment vertical="center" wrapText="1"/>
    </xf>
    <xf numFmtId="0" fontId="40" fillId="0" borderId="0" xfId="0" applyFont="1" applyBorder="1" applyAlignment="1" applyProtection="1">
      <alignment vertical="center" wrapText="1"/>
    </xf>
    <xf numFmtId="0" fontId="40" fillId="0" borderId="0" xfId="0" applyFont="1" applyBorder="1" applyAlignment="1" applyProtection="1">
      <alignment wrapText="1"/>
    </xf>
    <xf numFmtId="0" fontId="40" fillId="0" borderId="0" xfId="0" applyFont="1" applyBorder="1" applyAlignment="1" applyProtection="1">
      <alignment horizontal="left" wrapText="1"/>
    </xf>
    <xf numFmtId="0" fontId="40" fillId="0" borderId="0" xfId="0" applyFont="1" applyBorder="1" applyAlignment="1" applyProtection="1">
      <alignment horizontal="left" vertical="center" wrapText="1"/>
    </xf>
    <xf numFmtId="0" fontId="0" fillId="0" borderId="0" xfId="0" applyFont="1" applyFill="1" applyAlignment="1" applyProtection="1"/>
    <xf numFmtId="0" fontId="56" fillId="0" borderId="5" xfId="0" applyFont="1" applyBorder="1" applyAlignment="1" applyProtection="1">
      <alignment vertical="top" wrapText="1"/>
      <protection locked="0"/>
    </xf>
    <xf numFmtId="0" fontId="57" fillId="0" borderId="6" xfId="0" applyFont="1" applyBorder="1" applyAlignment="1" applyProtection="1">
      <alignment horizontal="center" vertical="center"/>
      <protection locked="0"/>
    </xf>
    <xf numFmtId="0" fontId="57" fillId="0" borderId="5" xfId="0" applyFont="1" applyBorder="1" applyAlignment="1" applyProtection="1">
      <alignment vertical="top" wrapText="1"/>
      <protection locked="0"/>
    </xf>
    <xf numFmtId="0" fontId="57" fillId="0" borderId="5" xfId="0" applyFont="1" applyBorder="1" applyAlignment="1" applyProtection="1">
      <alignment vertical="top"/>
      <protection locked="0"/>
    </xf>
    <xf numFmtId="0" fontId="57" fillId="0" borderId="6" xfId="0" applyFont="1" applyBorder="1" applyAlignment="1" applyProtection="1">
      <alignment horizontal="center" vertical="top"/>
      <protection locked="0"/>
    </xf>
    <xf numFmtId="0" fontId="57" fillId="0" borderId="0" xfId="0" applyFont="1" applyProtection="1"/>
    <xf numFmtId="0" fontId="59" fillId="5" borderId="5" xfId="0" applyFont="1" applyFill="1" applyBorder="1" applyAlignment="1" applyProtection="1">
      <alignment horizontal="center" vertical="center" wrapText="1"/>
    </xf>
    <xf numFmtId="0" fontId="59" fillId="5" borderId="5" xfId="0" applyFont="1" applyFill="1" applyBorder="1" applyAlignment="1" applyProtection="1">
      <alignment horizontal="center" vertical="center"/>
    </xf>
    <xf numFmtId="0" fontId="60" fillId="0" borderId="1" xfId="0" applyFont="1" applyBorder="1" applyAlignment="1" applyProtection="1">
      <alignment horizontal="center" vertical="center"/>
      <protection locked="0"/>
    </xf>
    <xf numFmtId="0" fontId="61" fillId="0" borderId="1" xfId="0" applyFont="1" applyBorder="1" applyAlignment="1" applyProtection="1">
      <alignment horizontal="center" vertical="center"/>
      <protection locked="0"/>
    </xf>
    <xf numFmtId="164" fontId="62" fillId="0" borderId="1" xfId="0" applyNumberFormat="1" applyFont="1" applyBorder="1" applyAlignment="1" applyProtection="1">
      <alignment horizontal="center" vertical="center"/>
      <protection locked="0"/>
    </xf>
    <xf numFmtId="164" fontId="60" fillId="0" borderId="1" xfId="0" applyNumberFormat="1" applyFont="1" applyBorder="1" applyAlignment="1" applyProtection="1">
      <alignment horizontal="center" vertical="center"/>
    </xf>
    <xf numFmtId="0" fontId="63" fillId="0" borderId="0" xfId="0" applyFont="1" applyAlignment="1" applyProtection="1">
      <alignment wrapText="1"/>
    </xf>
    <xf numFmtId="0" fontId="64" fillId="0" borderId="0" xfId="0" applyFont="1" applyAlignment="1" applyProtection="1">
      <alignment horizontal="right"/>
    </xf>
    <xf numFmtId="164" fontId="64" fillId="0" borderId="1" xfId="0" applyNumberFormat="1" applyFont="1" applyBorder="1" applyAlignment="1" applyProtection="1">
      <alignment horizontal="center"/>
    </xf>
    <xf numFmtId="0" fontId="63" fillId="0" borderId="0" xfId="0" applyFont="1" applyAlignment="1" applyProtection="1"/>
    <xf numFmtId="0" fontId="60" fillId="0" borderId="1" xfId="0" applyFont="1" applyBorder="1" applyAlignment="1" applyProtection="1">
      <alignment horizontal="center"/>
      <protection locked="0"/>
    </xf>
    <xf numFmtId="0" fontId="61" fillId="0" borderId="1" xfId="0" applyFont="1" applyBorder="1" applyAlignment="1" applyProtection="1">
      <alignment horizontal="center"/>
      <protection locked="0"/>
    </xf>
    <xf numFmtId="164" fontId="62" fillId="0" borderId="1" xfId="0" applyNumberFormat="1" applyFont="1" applyBorder="1" applyAlignment="1" applyProtection="1">
      <alignment horizontal="center"/>
      <protection locked="0"/>
    </xf>
    <xf numFmtId="164" fontId="60" fillId="0" borderId="1" xfId="0" applyNumberFormat="1" applyFont="1" applyBorder="1" applyAlignment="1" applyProtection="1">
      <alignment horizontal="center"/>
    </xf>
    <xf numFmtId="164" fontId="64" fillId="0" borderId="0" xfId="0" applyNumberFormat="1" applyFont="1" applyBorder="1" applyAlignment="1" applyProtection="1">
      <alignment horizontal="center"/>
    </xf>
    <xf numFmtId="0" fontId="63" fillId="7" borderId="0" xfId="0" applyFont="1" applyFill="1" applyAlignment="1" applyProtection="1">
      <alignment horizontal="left"/>
    </xf>
    <xf numFmtId="0" fontId="57" fillId="0" borderId="0" xfId="0" applyFont="1" applyBorder="1" applyAlignment="1" applyProtection="1">
      <alignment horizontal="left" wrapText="1"/>
    </xf>
    <xf numFmtId="0" fontId="57" fillId="0" borderId="0" xfId="0" applyFont="1" applyAlignment="1" applyProtection="1"/>
    <xf numFmtId="0" fontId="63" fillId="0" borderId="0" xfId="0" applyFont="1" applyFill="1" applyAlignment="1" applyProtection="1"/>
    <xf numFmtId="164" fontId="65" fillId="12" borderId="12" xfId="1" applyNumberFormat="1" applyFont="1" applyFill="1" applyBorder="1" applyAlignment="1">
      <alignment vertical="center" wrapText="1"/>
    </xf>
    <xf numFmtId="0" fontId="57" fillId="0" borderId="0" xfId="0" applyFont="1" applyBorder="1" applyAlignment="1" applyProtection="1">
      <alignment horizontal="left" vertical="top" wrapText="1"/>
    </xf>
    <xf numFmtId="170" fontId="0" fillId="0" borderId="0" xfId="0" applyNumberFormat="1" applyFont="1" applyAlignment="1" applyProtection="1"/>
    <xf numFmtId="170" fontId="0" fillId="0" borderId="0" xfId="0" applyNumberFormat="1" applyFont="1" applyAlignment="1" applyProtection="1">
      <alignment horizontal="center" vertical="center"/>
    </xf>
    <xf numFmtId="0" fontId="55" fillId="0" borderId="0" xfId="0" applyFont="1" applyAlignment="1" applyProtection="1"/>
    <xf numFmtId="164" fontId="58" fillId="0" borderId="1" xfId="0" applyNumberFormat="1" applyFont="1" applyBorder="1" applyAlignment="1" applyProtection="1">
      <alignment horizontal="center" vertical="center"/>
    </xf>
    <xf numFmtId="0" fontId="7" fillId="13" borderId="0" xfId="0" applyFont="1" applyFill="1" applyAlignment="1" applyProtection="1">
      <alignment vertical="center"/>
      <protection locked="0"/>
    </xf>
    <xf numFmtId="0" fontId="7" fillId="13" borderId="0" xfId="0" applyFont="1" applyFill="1" applyAlignment="1" applyProtection="1">
      <alignment vertical="center"/>
    </xf>
    <xf numFmtId="0" fontId="11" fillId="13" borderId="1" xfId="0" applyFont="1" applyFill="1" applyBorder="1" applyAlignment="1" applyProtection="1">
      <alignment horizontal="center" vertical="center"/>
    </xf>
    <xf numFmtId="0" fontId="11"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0" fillId="13"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3" fontId="12" fillId="13" borderId="1" xfId="0" applyNumberFormat="1" applyFont="1" applyFill="1" applyBorder="1" applyAlignment="1" applyProtection="1">
      <alignment horizontal="center" vertical="center"/>
    </xf>
    <xf numFmtId="0" fontId="16" fillId="13" borderId="0" xfId="0" applyFont="1" applyFill="1" applyBorder="1" applyAlignment="1" applyProtection="1">
      <alignment vertical="center" wrapText="1"/>
    </xf>
    <xf numFmtId="0" fontId="12" fillId="13" borderId="1" xfId="0" applyFont="1" applyFill="1" applyBorder="1" applyAlignment="1" applyProtection="1">
      <alignment horizontal="center" vertical="center"/>
    </xf>
    <xf numFmtId="4" fontId="22" fillId="13" borderId="1" xfId="0" applyNumberFormat="1" applyFont="1" applyFill="1" applyBorder="1" applyAlignment="1" applyProtection="1">
      <alignment horizontal="right" vertical="center"/>
      <protection locked="0"/>
    </xf>
    <xf numFmtId="4" fontId="9" fillId="13" borderId="1" xfId="0" applyNumberFormat="1" applyFont="1" applyFill="1" applyBorder="1" applyAlignment="1" applyProtection="1">
      <alignment horizontal="right" vertical="center"/>
    </xf>
    <xf numFmtId="4" fontId="9" fillId="13" borderId="1" xfId="0" applyNumberFormat="1" applyFont="1" applyFill="1" applyBorder="1" applyAlignment="1" applyProtection="1">
      <alignment horizontal="right" vertical="center"/>
      <protection locked="0"/>
    </xf>
    <xf numFmtId="4" fontId="8" fillId="16" borderId="1" xfId="0" applyNumberFormat="1" applyFont="1" applyFill="1" applyBorder="1" applyAlignment="1" applyProtection="1">
      <alignment horizontal="right" vertical="center"/>
    </xf>
    <xf numFmtId="10" fontId="9" fillId="13" borderId="1" xfId="0" applyNumberFormat="1" applyFont="1" applyFill="1" applyBorder="1" applyAlignment="1" applyProtection="1">
      <alignment horizontal="right" vertical="center"/>
      <protection locked="0"/>
    </xf>
    <xf numFmtId="4" fontId="11" fillId="13" borderId="1" xfId="0" applyNumberFormat="1" applyFont="1" applyFill="1" applyBorder="1" applyAlignment="1" applyProtection="1">
      <alignment horizontal="right" vertical="center"/>
    </xf>
    <xf numFmtId="4" fontId="27" fillId="15" borderId="3" xfId="0" applyNumberFormat="1" applyFont="1" applyFill="1" applyBorder="1" applyAlignment="1" applyProtection="1">
      <alignment horizontal="center" vertical="center"/>
    </xf>
    <xf numFmtId="10" fontId="22" fillId="13" borderId="1" xfId="0" applyNumberFormat="1" applyFont="1" applyFill="1" applyBorder="1" applyAlignment="1" applyProtection="1">
      <alignment horizontal="right" vertical="center"/>
    </xf>
    <xf numFmtId="10" fontId="8" fillId="16" borderId="1" xfId="0" applyNumberFormat="1" applyFont="1" applyFill="1" applyBorder="1" applyAlignment="1" applyProtection="1">
      <alignment horizontal="right" vertical="center"/>
    </xf>
    <xf numFmtId="0" fontId="8" fillId="13" borderId="1" xfId="0" applyFont="1" applyFill="1" applyBorder="1" applyAlignment="1" applyProtection="1">
      <alignment vertical="center"/>
    </xf>
    <xf numFmtId="4" fontId="8" fillId="13" borderId="1" xfId="0" applyNumberFormat="1" applyFont="1" applyFill="1" applyBorder="1" applyAlignment="1" applyProtection="1">
      <alignment horizontal="right" vertical="center"/>
    </xf>
    <xf numFmtId="0" fontId="16" fillId="13" borderId="1" xfId="0" applyFont="1" applyFill="1" applyBorder="1" applyAlignment="1" applyProtection="1">
      <alignment horizontal="center" vertical="center"/>
    </xf>
    <xf numFmtId="10" fontId="30" fillId="13" borderId="1" xfId="0" applyNumberFormat="1" applyFont="1" applyFill="1" applyBorder="1" applyAlignment="1" applyProtection="1">
      <alignment horizontal="right" vertical="center"/>
    </xf>
    <xf numFmtId="4" fontId="5" fillId="13" borderId="1" xfId="0" applyNumberFormat="1" applyFont="1" applyFill="1" applyBorder="1" applyAlignment="1" applyProtection="1">
      <alignment horizontal="right" vertical="center"/>
    </xf>
    <xf numFmtId="4" fontId="31" fillId="13" borderId="1" xfId="0" applyNumberFormat="1" applyFont="1" applyFill="1" applyBorder="1" applyAlignment="1" applyProtection="1">
      <alignment horizontal="right" vertical="center"/>
    </xf>
    <xf numFmtId="0" fontId="16" fillId="16" borderId="1" xfId="0" applyFont="1" applyFill="1" applyBorder="1" applyAlignment="1" applyProtection="1">
      <alignment horizontal="center" vertical="center"/>
    </xf>
    <xf numFmtId="4" fontId="34" fillId="16" borderId="1" xfId="0" applyNumberFormat="1" applyFont="1" applyFill="1" applyBorder="1" applyAlignment="1" applyProtection="1">
      <alignment horizontal="right" vertical="center"/>
    </xf>
    <xf numFmtId="10" fontId="8" fillId="13" borderId="1" xfId="0" applyNumberFormat="1" applyFont="1" applyFill="1" applyBorder="1" applyAlignment="1" applyProtection="1">
      <alignment horizontal="right" vertical="center"/>
    </xf>
    <xf numFmtId="10" fontId="22" fillId="13" borderId="1" xfId="0" applyNumberFormat="1" applyFont="1" applyFill="1" applyBorder="1" applyAlignment="1" applyProtection="1">
      <alignment horizontal="right" vertical="center"/>
      <protection locked="0"/>
    </xf>
    <xf numFmtId="10" fontId="31" fillId="13" borderId="1" xfId="0" applyNumberFormat="1" applyFont="1" applyFill="1" applyBorder="1" applyAlignment="1" applyProtection="1">
      <alignment horizontal="right" vertical="center"/>
    </xf>
    <xf numFmtId="166" fontId="9" fillId="13" borderId="1" xfId="0" applyNumberFormat="1" applyFont="1" applyFill="1" applyBorder="1" applyAlignment="1" applyProtection="1">
      <alignment horizontal="right" vertical="center"/>
      <protection locked="0"/>
    </xf>
    <xf numFmtId="167" fontId="9" fillId="13" borderId="1" xfId="0" applyNumberFormat="1" applyFont="1" applyFill="1" applyBorder="1" applyAlignment="1" applyProtection="1">
      <alignment horizontal="right" vertical="center"/>
      <protection locked="0"/>
    </xf>
    <xf numFmtId="10" fontId="34" fillId="16" borderId="1" xfId="0" applyNumberFormat="1" applyFont="1" applyFill="1" applyBorder="1" applyAlignment="1" applyProtection="1">
      <alignment vertical="center"/>
    </xf>
    <xf numFmtId="0" fontId="34" fillId="13" borderId="1" xfId="0" applyFont="1" applyFill="1" applyBorder="1" applyAlignment="1" applyProtection="1">
      <alignment horizontal="center" vertical="center"/>
    </xf>
    <xf numFmtId="10" fontId="36" fillId="13" borderId="1" xfId="0" applyNumberFormat="1" applyFont="1" applyFill="1" applyBorder="1" applyAlignment="1" applyProtection="1">
      <alignment horizontal="right" vertical="center"/>
    </xf>
    <xf numFmtId="4" fontId="34" fillId="13" borderId="1" xfId="0" applyNumberFormat="1" applyFont="1" applyFill="1" applyBorder="1" applyAlignment="1" applyProtection="1">
      <alignment horizontal="right" vertical="center"/>
    </xf>
    <xf numFmtId="4" fontId="16" fillId="13" borderId="1" xfId="0" applyNumberFormat="1" applyFont="1" applyFill="1" applyBorder="1" applyAlignment="1" applyProtection="1">
      <alignment horizontal="right" vertical="center"/>
    </xf>
    <xf numFmtId="10" fontId="34" fillId="13" borderId="1" xfId="0" applyNumberFormat="1" applyFont="1" applyFill="1" applyBorder="1" applyAlignment="1" applyProtection="1">
      <alignment horizontal="right" vertical="center"/>
    </xf>
    <xf numFmtId="0" fontId="11" fillId="16" borderId="1" xfId="0" applyFont="1" applyFill="1" applyBorder="1" applyAlignment="1" applyProtection="1">
      <alignment horizontal="center" vertical="center"/>
    </xf>
    <xf numFmtId="4" fontId="11" fillId="16" borderId="1" xfId="0" applyNumberFormat="1" applyFont="1" applyFill="1" applyBorder="1" applyAlignment="1" applyProtection="1">
      <alignment horizontal="right" vertical="center"/>
    </xf>
    <xf numFmtId="3" fontId="34" fillId="16" borderId="1" xfId="0" applyNumberFormat="1" applyFont="1" applyFill="1" applyBorder="1" applyAlignment="1" applyProtection="1">
      <alignment horizontal="center" vertical="center"/>
    </xf>
    <xf numFmtId="0" fontId="11" fillId="16" borderId="1" xfId="0" applyFont="1" applyFill="1" applyBorder="1" applyAlignment="1" applyProtection="1">
      <alignment vertical="center"/>
    </xf>
    <xf numFmtId="0" fontId="12" fillId="13" borderId="4" xfId="0" applyFont="1" applyFill="1" applyBorder="1" applyAlignment="1" applyProtection="1">
      <alignment vertical="center"/>
      <protection locked="0"/>
    </xf>
    <xf numFmtId="0" fontId="2" fillId="3" borderId="0" xfId="0" applyFont="1" applyFill="1" applyBorder="1" applyAlignment="1" applyProtection="1">
      <alignment vertical="top" wrapText="1"/>
    </xf>
    <xf numFmtId="0" fontId="3" fillId="3" borderId="0" xfId="0" applyFont="1" applyFill="1" applyBorder="1" applyAlignment="1" applyProtection="1">
      <alignment vertical="top" wrapText="1"/>
    </xf>
    <xf numFmtId="0" fontId="2" fillId="2" borderId="0"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5" fillId="5" borderId="1" xfId="0" applyFont="1" applyFill="1" applyBorder="1" applyAlignment="1" applyProtection="1">
      <alignment horizontal="center" vertical="center" wrapText="1"/>
    </xf>
    <xf numFmtId="0" fontId="11" fillId="2" borderId="1" xfId="0" applyFont="1" applyFill="1" applyBorder="1" applyAlignment="1" applyProtection="1">
      <alignment vertical="center"/>
    </xf>
    <xf numFmtId="0" fontId="25" fillId="2" borderId="1" xfId="0" applyFont="1" applyFill="1" applyBorder="1" applyAlignment="1" applyProtection="1">
      <alignment vertical="center"/>
    </xf>
    <xf numFmtId="0" fontId="16" fillId="0" borderId="0" xfId="0" applyFont="1" applyBorder="1" applyAlignment="1" applyProtection="1">
      <alignment vertical="center" wrapText="1"/>
    </xf>
    <xf numFmtId="0" fontId="9" fillId="0" borderId="0" xfId="0" applyFont="1" applyBorder="1" applyAlignment="1" applyProtection="1">
      <alignment horizontal="center" vertical="center"/>
      <protection locked="0"/>
    </xf>
    <xf numFmtId="0" fontId="34" fillId="2" borderId="1" xfId="0" applyFont="1" applyFill="1" applyBorder="1" applyAlignment="1" applyProtection="1">
      <alignment horizontal="right" vertical="center"/>
    </xf>
    <xf numFmtId="0" fontId="8" fillId="2" borderId="1" xfId="0" applyFont="1" applyFill="1" applyBorder="1" applyAlignment="1" applyProtection="1">
      <alignment horizontal="right" vertical="center"/>
    </xf>
    <xf numFmtId="0" fontId="28" fillId="0" borderId="1" xfId="0" applyFont="1" applyBorder="1" applyAlignment="1" applyProtection="1">
      <alignment vertical="center"/>
    </xf>
    <xf numFmtId="0" fontId="16" fillId="0" borderId="1" xfId="0" applyFont="1" applyBorder="1" applyAlignment="1" applyProtection="1">
      <alignment vertical="center"/>
    </xf>
    <xf numFmtId="0" fontId="37" fillId="0" borderId="1" xfId="0" applyFont="1" applyBorder="1" applyAlignment="1" applyProtection="1">
      <alignment vertical="center"/>
    </xf>
    <xf numFmtId="0" fontId="34" fillId="0" borderId="1" xfId="0" applyFont="1" applyBorder="1" applyAlignment="1" applyProtection="1">
      <alignment horizontal="right" vertical="center"/>
    </xf>
    <xf numFmtId="0" fontId="25" fillId="0" borderId="1" xfId="0" applyFont="1" applyBorder="1" applyAlignment="1" applyProtection="1">
      <alignment vertical="center"/>
    </xf>
    <xf numFmtId="0" fontId="20" fillId="0" borderId="1" xfId="0" applyFont="1" applyBorder="1" applyAlignment="1" applyProtection="1">
      <alignment vertical="center"/>
    </xf>
    <xf numFmtId="0" fontId="23" fillId="0" borderId="1" xfId="0" applyFont="1" applyBorder="1" applyAlignment="1" applyProtection="1">
      <alignment vertical="center"/>
    </xf>
    <xf numFmtId="0" fontId="13" fillId="0" borderId="1" xfId="0" applyFont="1" applyBorder="1" applyAlignment="1" applyProtection="1">
      <alignment vertical="center"/>
    </xf>
    <xf numFmtId="0" fontId="16" fillId="2" borderId="1" xfId="0" applyFont="1" applyFill="1" applyBorder="1" applyAlignment="1" applyProtection="1">
      <alignment vertical="center"/>
    </xf>
    <xf numFmtId="0" fontId="11" fillId="0" borderId="1" xfId="0" applyFont="1" applyBorder="1" applyAlignment="1" applyProtection="1">
      <alignment vertical="center" wrapText="1"/>
    </xf>
    <xf numFmtId="0" fontId="15" fillId="5" borderId="1" xfId="0" applyFont="1" applyFill="1" applyBorder="1" applyAlignment="1" applyProtection="1">
      <alignment vertical="center" wrapText="1"/>
    </xf>
    <xf numFmtId="0" fontId="11" fillId="0" borderId="1" xfId="0" applyFont="1" applyBorder="1" applyAlignment="1" applyProtection="1">
      <alignment vertical="center"/>
    </xf>
    <xf numFmtId="0" fontId="16" fillId="0" borderId="0" xfId="0" applyFont="1" applyBorder="1" applyAlignment="1" applyProtection="1">
      <alignment vertical="center"/>
    </xf>
    <xf numFmtId="0" fontId="32" fillId="0" borderId="1" xfId="0" applyFont="1" applyBorder="1" applyAlignment="1" applyProtection="1">
      <alignment vertical="center"/>
    </xf>
    <xf numFmtId="0" fontId="26" fillId="0" borderId="1" xfId="0" applyFont="1" applyBorder="1" applyAlignment="1" applyProtection="1">
      <alignment vertical="center"/>
    </xf>
    <xf numFmtId="0" fontId="5" fillId="0" borderId="0" xfId="0" applyFont="1" applyBorder="1" applyAlignment="1" applyProtection="1">
      <alignment vertical="center" wrapText="1"/>
    </xf>
    <xf numFmtId="0" fontId="19" fillId="6" borderId="2" xfId="0" applyFont="1" applyFill="1" applyBorder="1" applyAlignment="1" applyProtection="1">
      <alignment horizontal="right" vertical="center"/>
    </xf>
    <xf numFmtId="0" fontId="17" fillId="0" borderId="1" xfId="0" applyFont="1" applyBorder="1" applyAlignment="1" applyProtection="1">
      <alignment horizontal="center" vertical="center"/>
      <protection locked="0"/>
    </xf>
    <xf numFmtId="165" fontId="18" fillId="0" borderId="1" xfId="0" applyNumberFormat="1" applyFont="1" applyBorder="1" applyAlignment="1" applyProtection="1">
      <alignment horizontal="center" vertical="center"/>
      <protection locked="0"/>
    </xf>
    <xf numFmtId="0" fontId="12" fillId="0" borderId="1" xfId="0" applyFont="1" applyBorder="1" applyAlignment="1" applyProtection="1">
      <alignment vertical="center"/>
    </xf>
    <xf numFmtId="2" fontId="17" fillId="0" borderId="1" xfId="0" applyNumberFormat="1" applyFont="1" applyBorder="1" applyAlignment="1" applyProtection="1">
      <alignment horizontal="center" vertical="center"/>
      <protection locked="0"/>
    </xf>
    <xf numFmtId="4" fontId="17" fillId="0" borderId="1" xfId="0" applyNumberFormat="1" applyFont="1" applyBorder="1" applyAlignment="1" applyProtection="1">
      <alignment horizontal="center" vertical="center"/>
      <protection locked="0"/>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left" vertical="center" wrapText="1"/>
    </xf>
    <xf numFmtId="164" fontId="17"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0" fillId="0" borderId="1" xfId="0" applyFont="1" applyBorder="1" applyAlignment="1" applyProtection="1">
      <alignment vertical="center"/>
    </xf>
    <xf numFmtId="0" fontId="12" fillId="0" borderId="1" xfId="0" applyFont="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9" fillId="0" borderId="1"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14"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5" fillId="4" borderId="0" xfId="0" applyFont="1" applyFill="1" applyBorder="1" applyAlignment="1" applyProtection="1">
      <alignment vertical="center" wrapText="1"/>
    </xf>
    <xf numFmtId="0" fontId="6"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0" xfId="0" applyFont="1" applyBorder="1" applyAlignment="1" applyProtection="1">
      <alignment horizontal="right" vertical="center"/>
      <protection locked="0"/>
    </xf>
    <xf numFmtId="0" fontId="10" fillId="5" borderId="1" xfId="0" applyFont="1" applyFill="1" applyBorder="1" applyAlignment="1" applyProtection="1">
      <alignment horizontal="center" vertical="center" wrapText="1"/>
    </xf>
    <xf numFmtId="0" fontId="9" fillId="13" borderId="0" xfId="0" applyFont="1" applyFill="1" applyBorder="1" applyAlignment="1" applyProtection="1">
      <alignment horizontal="center" vertical="center"/>
      <protection locked="0"/>
    </xf>
    <xf numFmtId="0" fontId="11" fillId="16" borderId="1" xfId="0" applyFont="1" applyFill="1" applyBorder="1" applyAlignment="1" applyProtection="1">
      <alignment vertical="center"/>
    </xf>
    <xf numFmtId="0" fontId="8" fillId="16" borderId="1" xfId="0" applyFont="1" applyFill="1" applyBorder="1" applyAlignment="1" applyProtection="1">
      <alignment horizontal="right" vertical="center"/>
    </xf>
    <xf numFmtId="0" fontId="19" fillId="15"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0" fontId="25" fillId="16" borderId="1" xfId="0" applyFont="1" applyFill="1" applyBorder="1" applyAlignment="1" applyProtection="1">
      <alignment vertical="center"/>
    </xf>
    <xf numFmtId="0" fontId="16" fillId="13" borderId="0" xfId="0" applyFont="1" applyFill="1" applyBorder="1" applyAlignment="1" applyProtection="1">
      <alignment vertical="center" wrapText="1"/>
    </xf>
    <xf numFmtId="0" fontId="34" fillId="16" borderId="1" xfId="0" applyFont="1" applyFill="1" applyBorder="1" applyAlignment="1" applyProtection="1">
      <alignment horizontal="right" vertical="center"/>
    </xf>
    <xf numFmtId="0" fontId="13" fillId="13" borderId="1" xfId="0" applyFont="1" applyFill="1" applyBorder="1" applyAlignment="1" applyProtection="1">
      <alignment vertical="center"/>
    </xf>
    <xf numFmtId="0" fontId="28" fillId="13" borderId="1" xfId="0" applyFont="1" applyFill="1" applyBorder="1" applyAlignment="1" applyProtection="1">
      <alignment vertical="center"/>
    </xf>
    <xf numFmtId="0" fontId="16" fillId="13" borderId="1" xfId="0" applyFont="1" applyFill="1" applyBorder="1" applyAlignment="1" applyProtection="1">
      <alignment vertical="center"/>
    </xf>
    <xf numFmtId="0" fontId="37" fillId="13" borderId="1" xfId="0" applyFont="1" applyFill="1" applyBorder="1" applyAlignment="1" applyProtection="1">
      <alignment vertical="center"/>
    </xf>
    <xf numFmtId="0" fontId="34" fillId="13" borderId="1" xfId="0" applyFont="1" applyFill="1" applyBorder="1" applyAlignment="1" applyProtection="1">
      <alignment horizontal="right" vertical="center"/>
    </xf>
    <xf numFmtId="0" fontId="25" fillId="13" borderId="1" xfId="0" applyFont="1" applyFill="1" applyBorder="1" applyAlignment="1" applyProtection="1">
      <alignment vertical="center"/>
    </xf>
    <xf numFmtId="0" fontId="20" fillId="13" borderId="1" xfId="0" applyFont="1" applyFill="1" applyBorder="1" applyAlignment="1" applyProtection="1">
      <alignment vertical="center"/>
    </xf>
    <xf numFmtId="0" fontId="23"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16" fillId="16" borderId="1" xfId="0" applyFont="1" applyFill="1" applyBorder="1" applyAlignment="1" applyProtection="1">
      <alignment vertical="center"/>
    </xf>
    <xf numFmtId="0" fontId="11" fillId="13" borderId="1" xfId="0" applyFont="1" applyFill="1" applyBorder="1" applyAlignment="1" applyProtection="1">
      <alignment vertical="center" wrapText="1"/>
    </xf>
    <xf numFmtId="0" fontId="15" fillId="14" borderId="1" xfId="0" applyFont="1" applyFill="1" applyBorder="1" applyAlignment="1" applyProtection="1">
      <alignment vertical="center" wrapText="1"/>
    </xf>
    <xf numFmtId="0" fontId="32" fillId="13" borderId="1" xfId="0" applyFont="1" applyFill="1" applyBorder="1" applyAlignment="1" applyProtection="1">
      <alignment vertical="center"/>
    </xf>
    <xf numFmtId="0" fontId="16" fillId="13" borderId="0" xfId="0" applyFont="1" applyFill="1" applyBorder="1" applyAlignment="1" applyProtection="1">
      <alignment vertical="center"/>
    </xf>
    <xf numFmtId="0" fontId="26" fillId="13" borderId="1" xfId="0" applyFont="1" applyFill="1" applyBorder="1" applyAlignment="1" applyProtection="1">
      <alignment vertical="center"/>
    </xf>
    <xf numFmtId="0" fontId="5" fillId="13" borderId="0" xfId="0" applyFont="1" applyFill="1" applyBorder="1" applyAlignment="1" applyProtection="1">
      <alignment vertical="center" wrapText="1"/>
    </xf>
    <xf numFmtId="0" fontId="19" fillId="15" borderId="2" xfId="0" applyFont="1" applyFill="1" applyBorder="1" applyAlignment="1" applyProtection="1">
      <alignment horizontal="right" vertical="center"/>
    </xf>
    <xf numFmtId="0" fontId="23" fillId="13" borderId="1" xfId="0" applyFont="1" applyFill="1" applyBorder="1" applyAlignment="1" applyProtection="1">
      <alignment vertical="center" wrapText="1"/>
    </xf>
    <xf numFmtId="0" fontId="17" fillId="13" borderId="1" xfId="0" applyFont="1" applyFill="1" applyBorder="1" applyAlignment="1" applyProtection="1">
      <alignment horizontal="center" vertical="center"/>
      <protection locked="0"/>
    </xf>
    <xf numFmtId="165"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vertical="center"/>
    </xf>
    <xf numFmtId="4" fontId="17" fillId="13" borderId="1" xfId="0" applyNumberFormat="1" applyFont="1" applyFill="1" applyBorder="1" applyAlignment="1" applyProtection="1">
      <alignment horizontal="center" vertical="center"/>
      <protection locked="0"/>
    </xf>
    <xf numFmtId="0" fontId="13" fillId="14" borderId="1" xfId="0" applyFont="1" applyFill="1" applyBorder="1" applyAlignment="1" applyProtection="1">
      <alignment horizontal="center" vertical="center" wrapText="1"/>
    </xf>
    <xf numFmtId="0" fontId="13" fillId="14" borderId="1" xfId="0" applyFont="1" applyFill="1" applyBorder="1" applyAlignment="1" applyProtection="1">
      <alignment horizontal="left" vertical="center" wrapText="1"/>
    </xf>
    <xf numFmtId="164"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horizontal="center" vertical="center"/>
      <protection locked="0"/>
    </xf>
    <xf numFmtId="0" fontId="0" fillId="13" borderId="1" xfId="0" applyFont="1" applyFill="1" applyBorder="1" applyAlignment="1" applyProtection="1">
      <alignment vertical="center"/>
    </xf>
    <xf numFmtId="0" fontId="12" fillId="13" borderId="1" xfId="0" applyFont="1" applyFill="1" applyBorder="1" applyAlignment="1" applyProtection="1">
      <alignment horizontal="center" vertical="center" wrapText="1"/>
    </xf>
    <xf numFmtId="0" fontId="9" fillId="13" borderId="1" xfId="0" applyFont="1" applyFill="1" applyBorder="1" applyAlignment="1" applyProtection="1">
      <alignment horizontal="left" vertical="center"/>
      <protection locked="0"/>
    </xf>
    <xf numFmtId="0" fontId="12" fillId="13" borderId="1" xfId="0" applyFont="1" applyFill="1" applyBorder="1" applyAlignment="1" applyProtection="1">
      <alignment horizontal="left" vertical="center"/>
      <protection locked="0"/>
    </xf>
    <xf numFmtId="14" fontId="9" fillId="13" borderId="1" xfId="0" applyNumberFormat="1" applyFont="1" applyFill="1" applyBorder="1" applyAlignment="1" applyProtection="1">
      <alignment horizontal="center" vertical="center"/>
      <protection locked="0"/>
    </xf>
    <xf numFmtId="0" fontId="9" fillId="13"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protection locked="0"/>
    </xf>
    <xf numFmtId="0" fontId="8" fillId="13" borderId="1" xfId="0" applyFont="1" applyFill="1" applyBorder="1" applyAlignment="1" applyProtection="1">
      <alignment horizontal="left" vertical="center"/>
      <protection locked="0"/>
    </xf>
    <xf numFmtId="0" fontId="9" fillId="13" borderId="0" xfId="0" applyFont="1" applyFill="1" applyBorder="1" applyAlignment="1" applyProtection="1">
      <alignment horizontal="right" vertical="center"/>
      <protection locked="0"/>
    </xf>
    <xf numFmtId="0" fontId="10" fillId="14" borderId="1" xfId="0" applyFont="1" applyFill="1" applyBorder="1" applyAlignment="1" applyProtection="1">
      <alignment horizontal="center" vertical="center" wrapText="1"/>
    </xf>
    <xf numFmtId="0" fontId="57" fillId="0" borderId="0" xfId="0" applyFont="1" applyBorder="1" applyAlignment="1" applyProtection="1">
      <alignment horizontal="left" vertical="top" wrapText="1"/>
    </xf>
    <xf numFmtId="0" fontId="57" fillId="0" borderId="0" xfId="0" applyFont="1" applyBorder="1" applyAlignment="1" applyProtection="1">
      <alignment horizontal="left" vertical="center" wrapText="1"/>
    </xf>
    <xf numFmtId="0" fontId="58" fillId="0" borderId="0" xfId="0" applyFont="1" applyAlignment="1" applyProtection="1">
      <alignment horizontal="center" vertical="center"/>
    </xf>
    <xf numFmtId="0" fontId="58" fillId="0" borderId="0" xfId="0" applyFont="1" applyAlignment="1" applyProtection="1">
      <alignment horizontal="center" vertical="center" wrapText="1"/>
    </xf>
    <xf numFmtId="0" fontId="65" fillId="12" borderId="13" xfId="1" applyFont="1" applyFill="1" applyBorder="1" applyAlignment="1">
      <alignment horizontal="center" vertical="center" wrapText="1"/>
    </xf>
    <xf numFmtId="0" fontId="65" fillId="12" borderId="14" xfId="1" applyFont="1" applyFill="1" applyBorder="1" applyAlignment="1">
      <alignment horizontal="center" vertical="center" wrapText="1"/>
    </xf>
    <xf numFmtId="0" fontId="65" fillId="12" borderId="15" xfId="1" applyFont="1" applyFill="1" applyBorder="1" applyAlignment="1">
      <alignment horizontal="center"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wrapText="1"/>
    </xf>
    <xf numFmtId="0" fontId="15" fillId="5" borderId="2"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wrapText="1"/>
    </xf>
    <xf numFmtId="3" fontId="9" fillId="4" borderId="3" xfId="0" applyNumberFormat="1" applyFont="1" applyFill="1" applyBorder="1" applyAlignment="1" applyProtection="1">
      <alignment horizontal="center"/>
      <protection locked="0"/>
    </xf>
    <xf numFmtId="0" fontId="0" fillId="2" borderId="5"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4" fontId="31" fillId="2" borderId="5"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0" fillId="0" borderId="1" xfId="0" applyFont="1" applyBorder="1" applyAlignment="1" applyProtection="1">
      <alignment horizontal="center" vertical="center"/>
    </xf>
    <xf numFmtId="0" fontId="12" fillId="0" borderId="1" xfId="0" applyFont="1" applyBorder="1" applyAlignment="1" applyProtection="1">
      <alignment horizontal="center" vertical="center"/>
    </xf>
    <xf numFmtId="4" fontId="31" fillId="7"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12" fillId="0" borderId="5"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0" fillId="0" borderId="8" xfId="0" applyFont="1" applyBorder="1" applyAlignment="1" applyProtection="1">
      <alignment horizontal="center" vertical="center"/>
    </xf>
    <xf numFmtId="4" fontId="31" fillId="0" borderId="5" xfId="0" applyNumberFormat="1" applyFont="1" applyBorder="1" applyAlignment="1" applyProtection="1">
      <alignment horizontal="center" vertical="center"/>
    </xf>
    <xf numFmtId="0" fontId="43" fillId="7" borderId="1" xfId="0" applyFont="1" applyFill="1" applyBorder="1" applyAlignment="1" applyProtection="1">
      <alignment vertical="center"/>
    </xf>
    <xf numFmtId="4" fontId="43" fillId="7" borderId="1" xfId="0" applyNumberFormat="1" applyFont="1" applyFill="1" applyBorder="1" applyAlignment="1" applyProtection="1">
      <alignment horizontal="center" vertical="center"/>
    </xf>
    <xf numFmtId="0" fontId="41" fillId="8" borderId="1" xfId="0" applyFont="1" applyFill="1" applyBorder="1" applyAlignment="1" applyProtection="1">
      <alignment horizontal="center" vertical="center" wrapText="1"/>
    </xf>
    <xf numFmtId="170" fontId="0" fillId="0" borderId="0" xfId="0" applyNumberFormat="1" applyFont="1" applyAlignment="1" applyProtection="1">
      <alignment horizontal="center" vertical="center"/>
    </xf>
    <xf numFmtId="0" fontId="55" fillId="0" borderId="0" xfId="0" applyFont="1" applyAlignment="1" applyProtection="1">
      <alignment horizontal="left" vertical="center"/>
    </xf>
    <xf numFmtId="0" fontId="0" fillId="0" borderId="0" xfId="0" applyFont="1" applyAlignment="1" applyProtection="1">
      <alignment horizontal="left" vertical="center"/>
    </xf>
    <xf numFmtId="0" fontId="55" fillId="0" borderId="0" xfId="0" applyFont="1" applyAlignment="1" applyProtection="1">
      <alignment vertical="center"/>
    </xf>
    <xf numFmtId="0" fontId="0" fillId="0" borderId="0" xfId="0" applyFont="1" applyAlignment="1" applyProtection="1">
      <alignment vertical="center"/>
    </xf>
    <xf numFmtId="0" fontId="7" fillId="0" borderId="0" xfId="0" applyFont="1" applyBorder="1" applyAlignment="1" applyProtection="1">
      <alignment vertical="top" wrapText="1"/>
    </xf>
    <xf numFmtId="0" fontId="48" fillId="0" borderId="0" xfId="0" applyFont="1" applyBorder="1" applyAlignment="1" applyProtection="1">
      <alignment horizontal="center"/>
      <protection locked="0"/>
    </xf>
    <xf numFmtId="0" fontId="53" fillId="0" borderId="0" xfId="0" applyFont="1" applyBorder="1" applyAlignment="1" applyProtection="1">
      <alignment vertical="top" wrapText="1"/>
    </xf>
    <xf numFmtId="0" fontId="0" fillId="0" borderId="0" xfId="0" applyFont="1" applyBorder="1" applyAlignment="1" applyProtection="1"/>
    <xf numFmtId="0" fontId="48" fillId="0" borderId="0" xfId="0" applyFont="1" applyBorder="1" applyAlignment="1" applyProtection="1">
      <alignment vertical="top" wrapText="1"/>
      <protection locked="0"/>
    </xf>
    <xf numFmtId="0" fontId="45" fillId="0" borderId="0" xfId="0" applyFont="1" applyBorder="1" applyProtection="1">
      <protection locked="0"/>
    </xf>
    <xf numFmtId="0" fontId="45" fillId="0" borderId="0" xfId="0" applyFont="1" applyBorder="1" applyAlignment="1" applyProtection="1"/>
    <xf numFmtId="0" fontId="45" fillId="0" borderId="1" xfId="0" applyFont="1" applyBorder="1" applyProtection="1">
      <protection locked="0"/>
    </xf>
    <xf numFmtId="0" fontId="46" fillId="0" borderId="0" xfId="0" applyFont="1" applyBorder="1" applyAlignment="1" applyProtection="1">
      <alignment horizontal="center"/>
      <protection locked="0"/>
    </xf>
    <xf numFmtId="0" fontId="45" fillId="0" borderId="0" xfId="0" applyFont="1" applyBorder="1" applyAlignment="1" applyProtection="1">
      <alignment horizontal="left" vertical="center" wrapText="1"/>
      <protection locked="0"/>
    </xf>
    <xf numFmtId="0" fontId="50" fillId="4" borderId="2" xfId="0" applyFont="1" applyFill="1" applyBorder="1" applyAlignment="1" applyProtection="1">
      <alignment horizontal="center"/>
      <protection locked="0"/>
    </xf>
    <xf numFmtId="0" fontId="41" fillId="7" borderId="9" xfId="0" applyFont="1" applyFill="1" applyBorder="1" applyAlignment="1" applyProtection="1">
      <alignment horizontal="right"/>
    </xf>
    <xf numFmtId="0" fontId="45" fillId="0" borderId="2" xfId="0" applyFont="1" applyBorder="1" applyProtection="1">
      <protection locked="0"/>
    </xf>
    <xf numFmtId="0" fontId="45" fillId="0" borderId="2" xfId="0" applyFont="1" applyBorder="1" applyAlignment="1" applyProtection="1">
      <alignment horizontal="center"/>
      <protection locked="0"/>
    </xf>
    <xf numFmtId="0" fontId="45" fillId="0" borderId="10" xfId="0" applyFont="1" applyBorder="1" applyProtection="1">
      <protection locked="0"/>
    </xf>
    <xf numFmtId="0" fontId="44" fillId="0" borderId="0" xfId="0" applyFont="1" applyBorder="1" applyAlignment="1" applyProtection="1">
      <alignment horizontal="center"/>
      <protection locked="0"/>
    </xf>
    <xf numFmtId="0" fontId="12" fillId="13" borderId="0" xfId="0" applyFont="1" applyFill="1" applyAlignment="1" applyProtection="1">
      <alignment vertical="center"/>
      <protection locked="0"/>
    </xf>
  </cellXfs>
  <cellStyles count="2">
    <cellStyle name="Normal" xfId="0" builtinId="0"/>
    <cellStyle name="Normal 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660066"/>
      <rgbColor rgb="FFE69138"/>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966"/>
      <rgbColor rgb="FF3366FF"/>
      <rgbColor rgb="FF33CCCC"/>
      <rgbColor rgb="FF99CC00"/>
      <rgbColor rgb="FFFFCC00"/>
      <rgbColor rgb="FFFF9900"/>
      <rgbColor rgb="FFED7D31"/>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933480</xdr:colOff>
      <xdr:row>3</xdr:row>
      <xdr:rowOff>85680</xdr:rowOff>
    </xdr:from>
    <xdr:to>
      <xdr:col>2</xdr:col>
      <xdr:colOff>657000</xdr:colOff>
      <xdr:row>3</xdr:row>
      <xdr:rowOff>1209600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l="8127" r="1436"/>
        <a:stretch/>
      </xdr:blipFill>
      <xdr:spPr>
        <a:xfrm>
          <a:off x="933480" y="1790640"/>
          <a:ext cx="4501080" cy="1123920"/>
        </a:xfrm>
        <a:prstGeom prst="rect">
          <a:avLst/>
        </a:prstGeom>
        <a:ln w="19050">
          <a:solidFill>
            <a:schemeClr val="tx1"/>
          </a:solidFill>
          <a:round/>
        </a:ln>
      </xdr:spPr>
    </xdr:pic>
    <xdr:clientData/>
  </xdr:twoCellAnchor>
  <xdr:twoCellAnchor>
    <xdr:from>
      <xdr:col>1</xdr:col>
      <xdr:colOff>2228760</xdr:colOff>
      <xdr:row>3</xdr:row>
      <xdr:rowOff>285840</xdr:rowOff>
    </xdr:from>
    <xdr:to>
      <xdr:col>2</xdr:col>
      <xdr:colOff>656640</xdr:colOff>
      <xdr:row>3</xdr:row>
      <xdr:rowOff>1066680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4617360" y="1990800"/>
          <a:ext cx="816840" cy="78084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0</xdr:colOff>
      <xdr:row>10</xdr:row>
      <xdr:rowOff>295140</xdr:rowOff>
    </xdr:from>
    <xdr:to>
      <xdr:col>2</xdr:col>
      <xdr:colOff>2320380</xdr:colOff>
      <xdr:row>11</xdr:row>
      <xdr:rowOff>149520</xdr:rowOff>
    </xdr:to>
    <xdr:pic>
      <xdr:nvPicPr>
        <xdr:cNvPr id="4" name="Imagem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xdr:blipFill>
      <xdr:spPr>
        <a:xfrm>
          <a:off x="0" y="8821920"/>
          <a:ext cx="6968580" cy="2574720"/>
        </a:xfrm>
        <a:prstGeom prst="rect">
          <a:avLst/>
        </a:prstGeom>
        <a:ln w="0">
          <a:noFill/>
        </a:ln>
      </xdr:spPr>
    </xdr:pic>
    <xdr:clientData/>
  </xdr:twoCellAnchor>
  <xdr:twoCellAnchor editAs="oneCell">
    <xdr:from>
      <xdr:col>0</xdr:col>
      <xdr:colOff>0</xdr:colOff>
      <xdr:row>8</xdr:row>
      <xdr:rowOff>9360</xdr:rowOff>
    </xdr:from>
    <xdr:to>
      <xdr:col>2</xdr:col>
      <xdr:colOff>2388960</xdr:colOff>
      <xdr:row>8</xdr:row>
      <xdr:rowOff>2888280</xdr:rowOff>
    </xdr:to>
    <xdr:pic>
      <xdr:nvPicPr>
        <xdr:cNvPr id="5" name="Imagem 5">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xdr:blipFill>
      <xdr:spPr>
        <a:xfrm>
          <a:off x="0" y="5105160"/>
          <a:ext cx="7166520" cy="2878920"/>
        </a:xfrm>
        <a:prstGeom prst="rect">
          <a:avLst/>
        </a:prstGeom>
        <a:ln w="0">
          <a:noFill/>
        </a:ln>
      </xdr:spPr>
    </xdr:pic>
    <xdr:clientData/>
  </xdr:twoCellAnchor>
  <xdr:twoCellAnchor>
    <xdr:from>
      <xdr:col>2</xdr:col>
      <xdr:colOff>1808640</xdr:colOff>
      <xdr:row>9</xdr:row>
      <xdr:rowOff>159120</xdr:rowOff>
    </xdr:from>
    <xdr:to>
      <xdr:col>1023</xdr:col>
      <xdr:colOff>19440</xdr:colOff>
      <xdr:row>10</xdr:row>
      <xdr:rowOff>120600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rot="2715600">
          <a:off x="6358680" y="8429400"/>
          <a:ext cx="599760" cy="3902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2</a:t>
          </a:r>
          <a:endParaRPr lang="pt-BR" sz="1100" b="0" strike="noStrike" spc="-1">
            <a:latin typeface="Times New Roman"/>
          </a:endParaRPr>
        </a:p>
      </xdr:txBody>
    </xdr:sp>
    <xdr:clientData/>
  </xdr:twoCellAnchor>
  <xdr:twoCellAnchor>
    <xdr:from>
      <xdr:col>0</xdr:col>
      <xdr:colOff>1094760</xdr:colOff>
      <xdr:row>10</xdr:row>
      <xdr:rowOff>704880</xdr:rowOff>
    </xdr:from>
    <xdr:to>
      <xdr:col>0</xdr:col>
      <xdr:colOff>1666080</xdr:colOff>
      <xdr:row>10</xdr:row>
      <xdr:rowOff>1066320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1094760" y="9248760"/>
          <a:ext cx="571320" cy="3614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3</a:t>
          </a:r>
          <a:endParaRPr lang="pt-BR" sz="1100" b="0" strike="noStrike" spc="-1">
            <a:latin typeface="Times New Roman"/>
          </a:endParaRPr>
        </a:p>
      </xdr:txBody>
    </xdr:sp>
    <xdr:clientData/>
  </xdr:twoCellAnchor>
  <xdr:twoCellAnchor>
    <xdr:from>
      <xdr:col>0</xdr:col>
      <xdr:colOff>379080</xdr:colOff>
      <xdr:row>10</xdr:row>
      <xdr:rowOff>172080</xdr:rowOff>
    </xdr:from>
    <xdr:to>
      <xdr:col>0</xdr:col>
      <xdr:colOff>726480</xdr:colOff>
      <xdr:row>10</xdr:row>
      <xdr:rowOff>488160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379080" y="8715960"/>
          <a:ext cx="347400" cy="31608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1</a:t>
          </a:r>
          <a:endParaRPr lang="pt-BR" sz="1100" b="0" strike="noStrike" spc="-1">
            <a:latin typeface="Times New Roman"/>
          </a:endParaRPr>
        </a:p>
      </xdr:txBody>
    </xdr:sp>
    <xdr:clientData/>
  </xdr:twoCellAnchor>
  <xdr:twoCellAnchor>
    <xdr:from>
      <xdr:col>0</xdr:col>
      <xdr:colOff>0</xdr:colOff>
      <xdr:row>7</xdr:row>
      <xdr:rowOff>380880</xdr:rowOff>
    </xdr:from>
    <xdr:to>
      <xdr:col>2</xdr:col>
      <xdr:colOff>2228400</xdr:colOff>
      <xdr:row>8</xdr:row>
      <xdr:rowOff>2904480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0" y="5076360"/>
          <a:ext cx="7005960" cy="292392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1024</xdr:col>
      <xdr:colOff>325967</xdr:colOff>
      <xdr:row>0</xdr:row>
      <xdr:rowOff>118533</xdr:rowOff>
    </xdr:from>
    <xdr:to>
      <xdr:col>1025</xdr:col>
      <xdr:colOff>440905</xdr:colOff>
      <xdr:row>1</xdr:row>
      <xdr:rowOff>177772</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78167" y="118533"/>
          <a:ext cx="1105538" cy="558772"/>
        </a:xfrm>
        <a:prstGeom prst="rect">
          <a:avLst/>
        </a:prstGeom>
      </xdr:spPr>
    </xdr:pic>
    <xdr:clientData/>
  </xdr:twoCellAnchor>
  <xdr:twoCellAnchor editAs="oneCell">
    <xdr:from>
      <xdr:col>3</xdr:col>
      <xdr:colOff>68580</xdr:colOff>
      <xdr:row>37</xdr:row>
      <xdr:rowOff>45720</xdr:rowOff>
    </xdr:from>
    <xdr:to>
      <xdr:col>5</xdr:col>
      <xdr:colOff>1436022</xdr:colOff>
      <xdr:row>44</xdr:row>
      <xdr:rowOff>60008</xdr:rowOff>
    </xdr:to>
    <xdr:pic>
      <xdr:nvPicPr>
        <xdr:cNvPr id="3" name="Imagem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6640" y="12862560"/>
          <a:ext cx="3889662" cy="12944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928255</xdr:colOff>
      <xdr:row>1</xdr:row>
      <xdr:rowOff>55418</xdr:rowOff>
    </xdr:from>
    <xdr:to>
      <xdr:col>6</xdr:col>
      <xdr:colOff>935186</xdr:colOff>
      <xdr:row>1</xdr:row>
      <xdr:rowOff>567240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703128" y="955963"/>
          <a:ext cx="997531" cy="511822"/>
        </a:xfrm>
        <a:prstGeom prst="rect">
          <a:avLst/>
        </a:prstGeom>
      </xdr:spPr>
    </xdr:pic>
    <xdr:clientData/>
  </xdr:twoCellAnchor>
  <xdr:twoCellAnchor editAs="oneCell">
    <xdr:from>
      <xdr:col>2</xdr:col>
      <xdr:colOff>671948</xdr:colOff>
      <xdr:row>164</xdr:row>
      <xdr:rowOff>170454</xdr:rowOff>
    </xdr:from>
    <xdr:to>
      <xdr:col>4</xdr:col>
      <xdr:colOff>1905001</xdr:colOff>
      <xdr:row>170</xdr:row>
      <xdr:rowOff>161189</xdr:rowOff>
    </xdr:to>
    <xdr:pic>
      <xdr:nvPicPr>
        <xdr:cNvPr id="3" name="Imagem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00748" y="33476781"/>
          <a:ext cx="3699162" cy="11268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xdr:colOff>
      <xdr:row>1</xdr:row>
      <xdr:rowOff>71500</xdr:rowOff>
    </xdr:from>
    <xdr:to>
      <xdr:col>6</xdr:col>
      <xdr:colOff>922020</xdr:colOff>
      <xdr:row>1</xdr:row>
      <xdr:rowOff>536759</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741920" y="833500"/>
          <a:ext cx="906780" cy="4652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1</xdr:row>
      <xdr:rowOff>87339</xdr:rowOff>
    </xdr:from>
    <xdr:to>
      <xdr:col>6</xdr:col>
      <xdr:colOff>899160</xdr:colOff>
      <xdr:row>1</xdr:row>
      <xdr:rowOff>529139</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825740" y="925539"/>
          <a:ext cx="861060" cy="441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975360</xdr:colOff>
      <xdr:row>1</xdr:row>
      <xdr:rowOff>56460</xdr:rowOff>
    </xdr:from>
    <xdr:to>
      <xdr:col>6</xdr:col>
      <xdr:colOff>876300</xdr:colOff>
      <xdr:row>1</xdr:row>
      <xdr:rowOff>513899</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49540" y="841320"/>
          <a:ext cx="891540" cy="45743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xdr:colOff>
      <xdr:row>1</xdr:row>
      <xdr:rowOff>40222</xdr:rowOff>
    </xdr:from>
    <xdr:to>
      <xdr:col>6</xdr:col>
      <xdr:colOff>975360</xdr:colOff>
      <xdr:row>1</xdr:row>
      <xdr:rowOff>536759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703820" y="809842"/>
          <a:ext cx="967740" cy="4965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49700</xdr:colOff>
      <xdr:row>0</xdr:row>
      <xdr:rowOff>34078</xdr:rowOff>
    </xdr:from>
    <xdr:to>
      <xdr:col>6</xdr:col>
      <xdr:colOff>800100</xdr:colOff>
      <xdr:row>0</xdr:row>
      <xdr:rowOff>419099</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8119280" y="34078"/>
          <a:ext cx="750400" cy="3850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22860</xdr:colOff>
      <xdr:row>0</xdr:row>
      <xdr:rowOff>228600</xdr:rowOff>
    </xdr:from>
    <xdr:to>
      <xdr:col>7</xdr:col>
      <xdr:colOff>950183</xdr:colOff>
      <xdr:row>0</xdr:row>
      <xdr:rowOff>704399</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536180" y="228600"/>
          <a:ext cx="927323" cy="475799"/>
        </a:xfrm>
        <a:prstGeom prst="rect">
          <a:avLst/>
        </a:prstGeom>
      </xdr:spPr>
    </xdr:pic>
    <xdr:clientData/>
  </xdr:twoCellAnchor>
  <xdr:twoCellAnchor editAs="oneCell">
    <xdr:from>
      <xdr:col>2</xdr:col>
      <xdr:colOff>381000</xdr:colOff>
      <xdr:row>46</xdr:row>
      <xdr:rowOff>121920</xdr:rowOff>
    </xdr:from>
    <xdr:to>
      <xdr:col>4</xdr:col>
      <xdr:colOff>1112520</xdr:colOff>
      <xdr:row>47</xdr:row>
      <xdr:rowOff>167640</xdr:rowOff>
    </xdr:to>
    <xdr:pic>
      <xdr:nvPicPr>
        <xdr:cNvPr id="4" name="Imagem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09800" y="9189720"/>
          <a:ext cx="3200400" cy="8458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30480</xdr:colOff>
      <xdr:row>0</xdr:row>
      <xdr:rowOff>205740</xdr:rowOff>
    </xdr:from>
    <xdr:to>
      <xdr:col>12</xdr:col>
      <xdr:colOff>1136018</xdr:colOff>
      <xdr:row>3</xdr:row>
      <xdr:rowOff>79559</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27820" y="205740"/>
          <a:ext cx="1105538" cy="56723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openxmlformats.org/officeDocument/2006/relationships/comments" Target="../comments7.xml"/><Relationship Id="rId4"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6.xml"/><Relationship Id="rId4"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
  <sheetViews>
    <sheetView zoomScaleNormal="100" workbookViewId="0">
      <selection activeCell="AMM9" sqref="AMM9"/>
    </sheetView>
  </sheetViews>
  <sheetFormatPr defaultColWidth="9.109375" defaultRowHeight="14.4" zeroHeight="1"/>
  <cols>
    <col min="1" max="3" width="33.88671875" style="1" customWidth="1"/>
    <col min="4" max="1024" width="9.109375" style="1" hidden="1"/>
  </cols>
  <sheetData>
    <row r="1" spans="1:3" ht="24.75" customHeight="1">
      <c r="A1" s="214" t="s">
        <v>0</v>
      </c>
      <c r="B1" s="214"/>
      <c r="C1" s="214"/>
    </row>
    <row r="2" spans="1:3" ht="49.5" customHeight="1">
      <c r="A2" s="213" t="s">
        <v>1</v>
      </c>
      <c r="B2" s="213"/>
      <c r="C2" s="213"/>
    </row>
    <row r="3" spans="1:3" ht="60" customHeight="1">
      <c r="A3" s="213" t="s">
        <v>2</v>
      </c>
      <c r="B3" s="213"/>
      <c r="C3" s="213"/>
    </row>
    <row r="4" spans="1:3" ht="105" customHeight="1">
      <c r="A4" s="213"/>
      <c r="B4" s="213"/>
      <c r="C4" s="213"/>
    </row>
    <row r="5" spans="1:3" ht="49.5" customHeight="1">
      <c r="A5" s="212" t="s">
        <v>3</v>
      </c>
      <c r="B5" s="212"/>
      <c r="C5" s="212"/>
    </row>
    <row r="6" spans="1:3" ht="33" customHeight="1">
      <c r="A6" s="212" t="s">
        <v>4</v>
      </c>
      <c r="B6" s="212"/>
      <c r="C6" s="212"/>
    </row>
    <row r="7" spans="1:3" ht="48" customHeight="1">
      <c r="A7" s="212" t="s">
        <v>5</v>
      </c>
      <c r="B7" s="212"/>
      <c r="C7" s="212"/>
    </row>
    <row r="8" spans="1:3" ht="31.5" customHeight="1">
      <c r="A8" s="213" t="s">
        <v>6</v>
      </c>
      <c r="B8" s="213"/>
      <c r="C8" s="213"/>
    </row>
    <row r="9" spans="1:3" ht="237.75" customHeight="1">
      <c r="A9" s="212"/>
      <c r="B9" s="212"/>
      <c r="C9" s="212"/>
    </row>
    <row r="10" spans="1:3" ht="33.75" customHeight="1">
      <c r="A10" s="213" t="s">
        <v>7</v>
      </c>
      <c r="B10" s="213"/>
      <c r="C10" s="213"/>
    </row>
    <row r="11" spans="1:3" ht="214.5" customHeight="1">
      <c r="A11" s="212"/>
      <c r="B11" s="212"/>
      <c r="C11" s="212"/>
    </row>
    <row r="12" spans="1:3" ht="33" customHeight="1">
      <c r="A12" s="213" t="s">
        <v>8</v>
      </c>
      <c r="B12" s="213"/>
      <c r="C12" s="213"/>
    </row>
    <row r="13" spans="1:3" ht="15" customHeight="1">
      <c r="A13" s="212" t="s">
        <v>9</v>
      </c>
      <c r="B13" s="212"/>
      <c r="C13" s="212"/>
    </row>
    <row r="14" spans="1:3">
      <c r="A14" s="212"/>
      <c r="B14" s="212"/>
      <c r="C14" s="212"/>
    </row>
    <row r="15" spans="1:3" ht="46.5" customHeight="1">
      <c r="A15" s="212" t="s">
        <v>10</v>
      </c>
      <c r="B15" s="212"/>
      <c r="C15" s="212"/>
    </row>
  </sheetData>
  <mergeCells count="1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C1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showGridLines="0" tabSelected="1" view="pageBreakPreview" topLeftCell="A13" zoomScale="90" zoomScaleNormal="100" zoomScaleSheetLayoutView="90" workbookViewId="0">
      <selection activeCell="A26" sqref="A26:H26"/>
    </sheetView>
  </sheetViews>
  <sheetFormatPr defaultColWidth="14.44140625" defaultRowHeight="14.4" zeroHeight="1"/>
  <cols>
    <col min="1" max="1" width="9" style="1" customWidth="1"/>
    <col min="2" max="2" width="32.109375" style="1" customWidth="1"/>
    <col min="3" max="3" width="10.33203125" style="1" customWidth="1"/>
    <col min="4" max="4" width="14.44140625" style="1"/>
    <col min="5" max="5" width="22.33203125" style="107" customWidth="1"/>
    <col min="6" max="6" width="21.44140625" style="108" customWidth="1"/>
    <col min="7" max="7" width="25.5546875" style="1" customWidth="1"/>
    <col min="8" max="8" width="28.77734375" style="1" customWidth="1"/>
    <col min="9" max="9" width="11.5546875" style="1" hidden="1" customWidth="1"/>
    <col min="10" max="1024" width="14.44140625" style="1" hidden="1"/>
  </cols>
  <sheetData>
    <row r="1" spans="1:8" ht="39.75" customHeight="1">
      <c r="A1" s="357"/>
      <c r="B1" s="357"/>
      <c r="C1" s="357"/>
      <c r="D1" s="357"/>
      <c r="E1" s="357"/>
      <c r="F1" s="357"/>
      <c r="G1" s="357"/>
      <c r="H1" s="357"/>
    </row>
    <row r="2" spans="1:8">
      <c r="A2" s="354" t="s">
        <v>313</v>
      </c>
      <c r="B2" s="354"/>
      <c r="C2" s="354"/>
      <c r="D2" s="354"/>
      <c r="E2" s="354"/>
      <c r="F2" s="354"/>
      <c r="G2" s="354"/>
      <c r="H2" s="354"/>
    </row>
    <row r="3" spans="1:8">
      <c r="A3" s="354" t="s">
        <v>314</v>
      </c>
      <c r="B3" s="354"/>
      <c r="C3" s="354"/>
      <c r="D3" s="354"/>
      <c r="E3" s="354"/>
      <c r="F3" s="354"/>
      <c r="G3" s="354"/>
      <c r="H3" s="354"/>
    </row>
    <row r="4" spans="1:8">
      <c r="A4" s="354" t="s">
        <v>315</v>
      </c>
      <c r="B4" s="354"/>
      <c r="C4" s="354"/>
      <c r="D4" s="354"/>
      <c r="E4" s="354"/>
      <c r="F4" s="354"/>
      <c r="G4" s="354"/>
      <c r="H4" s="354"/>
    </row>
    <row r="5" spans="1:8">
      <c r="A5" s="354" t="s">
        <v>316</v>
      </c>
      <c r="B5" s="354"/>
      <c r="C5" s="354"/>
      <c r="D5" s="354"/>
      <c r="E5" s="354"/>
      <c r="F5" s="354"/>
      <c r="G5" s="354"/>
      <c r="H5" s="354"/>
    </row>
    <row r="6" spans="1:8">
      <c r="A6" s="354" t="s">
        <v>317</v>
      </c>
      <c r="B6" s="354"/>
      <c r="C6" s="354"/>
      <c r="D6" s="354"/>
      <c r="E6" s="354"/>
      <c r="F6" s="354"/>
      <c r="G6" s="354"/>
      <c r="H6" s="354"/>
    </row>
    <row r="7" spans="1:8">
      <c r="A7" s="354" t="s">
        <v>318</v>
      </c>
      <c r="B7" s="354"/>
      <c r="C7" s="354"/>
      <c r="D7" s="354"/>
      <c r="E7" s="354"/>
      <c r="F7" s="354"/>
      <c r="G7" s="354"/>
      <c r="H7" s="354"/>
    </row>
    <row r="8" spans="1:8">
      <c r="A8" s="355" t="s">
        <v>265</v>
      </c>
      <c r="B8" s="355"/>
      <c r="C8" s="355"/>
      <c r="D8" s="355"/>
      <c r="E8" s="355"/>
      <c r="F8" s="355"/>
      <c r="G8" s="355"/>
      <c r="H8" s="355"/>
    </row>
    <row r="9" spans="1:8">
      <c r="A9" s="354" t="s">
        <v>319</v>
      </c>
      <c r="B9" s="354"/>
      <c r="C9" s="354"/>
      <c r="D9" s="354"/>
      <c r="E9" s="354"/>
      <c r="F9" s="354"/>
      <c r="G9" s="354"/>
      <c r="H9" s="354"/>
    </row>
    <row r="10" spans="1:8">
      <c r="A10" s="356" t="s">
        <v>352</v>
      </c>
      <c r="B10" s="356"/>
      <c r="C10" s="356"/>
      <c r="D10" s="356"/>
      <c r="E10" s="356"/>
      <c r="F10" s="356"/>
      <c r="G10" s="356"/>
      <c r="H10" s="356"/>
    </row>
    <row r="11" spans="1:8">
      <c r="A11" s="349" t="s">
        <v>320</v>
      </c>
      <c r="B11" s="349"/>
      <c r="C11" s="349"/>
      <c r="D11" s="349"/>
      <c r="E11" s="349"/>
      <c r="F11" s="349"/>
      <c r="G11" s="349"/>
      <c r="H11" s="349"/>
    </row>
    <row r="12" spans="1:8" ht="31.5" customHeight="1">
      <c r="A12" s="350" t="s">
        <v>266</v>
      </c>
      <c r="B12" s="350"/>
      <c r="C12" s="350"/>
      <c r="D12" s="350"/>
      <c r="E12" s="350"/>
      <c r="F12" s="350"/>
      <c r="G12" s="350"/>
      <c r="H12" s="350"/>
    </row>
    <row r="13" spans="1:8" ht="84" customHeight="1">
      <c r="A13" s="351" t="s">
        <v>333</v>
      </c>
      <c r="B13" s="351"/>
      <c r="C13" s="351"/>
      <c r="D13" s="351"/>
      <c r="E13" s="351"/>
      <c r="F13" s="351"/>
      <c r="G13" s="351"/>
      <c r="H13" s="351"/>
    </row>
    <row r="14" spans="1:8" s="113" customFormat="1" ht="20.25" customHeight="1">
      <c r="A14" s="109" t="s">
        <v>267</v>
      </c>
      <c r="B14" s="110"/>
      <c r="C14" s="110"/>
      <c r="D14" s="110"/>
      <c r="E14" s="111"/>
      <c r="F14" s="112"/>
      <c r="G14" s="110"/>
      <c r="H14" s="110"/>
    </row>
    <row r="15" spans="1:8" ht="29.4">
      <c r="A15" s="352" t="s">
        <v>299</v>
      </c>
      <c r="B15" s="352"/>
      <c r="C15" s="352"/>
      <c r="D15" s="352"/>
      <c r="E15" s="352"/>
      <c r="F15" s="352"/>
      <c r="G15" s="352"/>
      <c r="H15" s="352"/>
    </row>
    <row r="16" spans="1:8" ht="45" customHeight="1">
      <c r="A16" s="114" t="s">
        <v>229</v>
      </c>
      <c r="B16" s="114" t="s">
        <v>181</v>
      </c>
      <c r="C16" s="114" t="s">
        <v>182</v>
      </c>
      <c r="D16" s="114" t="s">
        <v>268</v>
      </c>
      <c r="E16" s="115" t="s">
        <v>269</v>
      </c>
      <c r="F16" s="116" t="s">
        <v>270</v>
      </c>
      <c r="G16" s="114" t="s">
        <v>271</v>
      </c>
      <c r="H16" s="114" t="s">
        <v>272</v>
      </c>
    </row>
    <row r="17" spans="1:1017" ht="23.1" customHeight="1">
      <c r="A17" s="117">
        <f>IFERROR(INDEX(Geral!$N$11:$N$95,MATCH(ROW(A1),Geral!$O$11:$O$95,0)),"")</f>
        <v>36</v>
      </c>
      <c r="B17" s="118" t="str">
        <f>IFERROR(VLOOKUP(A17,Geral!$C$10:$L$95,4,FALSE()),"")</f>
        <v>Motorista de Veículo Leve (6h00 e 22h00)</v>
      </c>
      <c r="C17" s="119" t="str">
        <f>IFERROR(VLOOKUP(A17,Geral!$C$10:$L$95,5,FALSE()),"")</f>
        <v>Posto/mês</v>
      </c>
      <c r="D17" s="119">
        <f>IFERROR(VLOOKUP(A17,Geral!$C$10:$L$95,6,FALSE()),"")</f>
        <v>2</v>
      </c>
      <c r="E17" s="119">
        <f t="shared" ref="E17:E23" si="0">IF(D17="","",D17*12)</f>
        <v>24</v>
      </c>
      <c r="F17" s="120">
        <f>IFERROR(VLOOKUP(A17,Geral!$C$10:$L$95,7,FALSE()),"")</f>
        <v>5368.39</v>
      </c>
      <c r="G17" s="121">
        <f>IFERROR(VLOOKUP(A17,Geral!$C$10:$L$95,8,FALSE()),"")</f>
        <v>10736.78</v>
      </c>
      <c r="H17" s="121">
        <f>IFERROR(VLOOKUP(A17,Geral!$C$10:$L$95,10,FALSE()),"")</f>
        <v>128841.36000000002</v>
      </c>
    </row>
    <row r="18" spans="1:1017" ht="23.1" customHeight="1">
      <c r="A18" s="117">
        <f>IFERROR(INDEX(Geral!$N$11:$N$95,MATCH(ROW(A2),Geral!$O$11:$O$95,0)),"")</f>
        <v>37</v>
      </c>
      <c r="B18" s="118" t="str">
        <f>IFERROR(VLOOKUP(A18,Geral!$C$10:$L$95,4,FALSE()),"")</f>
        <v>Diárias em viagens sem pernoite</v>
      </c>
      <c r="C18" s="119" t="str">
        <f>IFERROR(VLOOKUP(A18,Geral!$C$10:$L$95,5,FALSE()),"")</f>
        <v>Diária/mês</v>
      </c>
      <c r="D18" s="119">
        <f>IFERROR(VLOOKUP(A18,Geral!$C$10:$L$95,6,FALSE()),"")</f>
        <v>25</v>
      </c>
      <c r="E18" s="119">
        <f t="shared" si="0"/>
        <v>300</v>
      </c>
      <c r="F18" s="120">
        <f>IFERROR(VLOOKUP(A18,Geral!$C$10:$L$95,7,FALSE()),"")</f>
        <v>162.05000000000001</v>
      </c>
      <c r="G18" s="121">
        <f>IFERROR(VLOOKUP(A18,Geral!$C$10:$L$95,8,FALSE()),"")</f>
        <v>4051.2500000000005</v>
      </c>
      <c r="H18" s="121">
        <f>IFERROR(VLOOKUP(A18,Geral!$C$10:$L$95,10,FALSE()),"")</f>
        <v>48615</v>
      </c>
    </row>
    <row r="19" spans="1:1017" ht="23.1" customHeight="1">
      <c r="A19" s="117" t="str">
        <f>IFERROR(INDEX(Geral!$N$11:$N$95,MATCH(ROW(A3),Geral!$O$11:$O$95,0)),"")</f>
        <v/>
      </c>
      <c r="B19" s="118" t="str">
        <f>IFERROR(VLOOKUP(A19,Geral!$C$10:$L$95,4,FALSE()),"")</f>
        <v/>
      </c>
      <c r="C19" s="119" t="str">
        <f>IFERROR(VLOOKUP(A19,Geral!$C$10:$L$95,5,FALSE()),"")</f>
        <v/>
      </c>
      <c r="D19" s="119" t="str">
        <f>IFERROR(VLOOKUP(A19,Geral!$C$10:$L$95,6,FALSE()),"")</f>
        <v/>
      </c>
      <c r="E19" s="119" t="str">
        <f t="shared" si="0"/>
        <v/>
      </c>
      <c r="F19" s="120" t="str">
        <f>IFERROR(VLOOKUP(A19,Geral!$C$10:$L$95,7,FALSE()),"")</f>
        <v/>
      </c>
      <c r="G19" s="121" t="str">
        <f>IFERROR(VLOOKUP(A19,Geral!$C$10:$L$95,8,FALSE()),"")</f>
        <v/>
      </c>
      <c r="H19" s="121" t="str">
        <f>IFERROR(VLOOKUP(A19,Geral!$C$10:$L$95,10,FALSE()),"")</f>
        <v/>
      </c>
    </row>
    <row r="20" spans="1:1017" ht="23.1" customHeight="1">
      <c r="A20" s="117" t="str">
        <f>IFERROR(INDEX(Geral!$N$11:$N$95,MATCH(ROW(A4),Geral!$O$11:$O$95,0)),"")</f>
        <v/>
      </c>
      <c r="B20" s="118" t="str">
        <f>IFERROR(VLOOKUP(A20,Geral!$C$10:$L$95,4,FALSE()),"")</f>
        <v/>
      </c>
      <c r="C20" s="119" t="str">
        <f>IFERROR(VLOOKUP(A20,Geral!$C$10:$L$95,5,FALSE()),"")</f>
        <v/>
      </c>
      <c r="D20" s="119" t="str">
        <f>IFERROR(VLOOKUP(A20,Geral!$C$10:$L$95,6,FALSE()),"")</f>
        <v/>
      </c>
      <c r="E20" s="119" t="str">
        <f t="shared" si="0"/>
        <v/>
      </c>
      <c r="F20" s="120" t="str">
        <f>IFERROR(VLOOKUP(A20,Geral!$C$10:$L$95,7,FALSE()),"")</f>
        <v/>
      </c>
      <c r="G20" s="121" t="str">
        <f>IFERROR(VLOOKUP(A20,Geral!$C$10:$L$95,8,FALSE()),"")</f>
        <v/>
      </c>
      <c r="H20" s="121" t="str">
        <f>IFERROR(VLOOKUP(A20,Geral!$C$10:$L$95,10,FALSE()),"")</f>
        <v/>
      </c>
    </row>
    <row r="21" spans="1:1017" ht="23.1" customHeight="1">
      <c r="A21" s="117" t="str">
        <f>IFERROR(INDEX(Geral!$N$11:$N$95,MATCH(ROW(A5),Geral!$O$11:$O$95,0)),"")</f>
        <v/>
      </c>
      <c r="B21" s="118" t="str">
        <f>IFERROR(VLOOKUP(A21,Geral!$C$10:$L$95,4,FALSE()),"")</f>
        <v/>
      </c>
      <c r="C21" s="119" t="str">
        <f>IFERROR(VLOOKUP(A21,Geral!$C$10:$L$95,5,FALSE()),"")</f>
        <v/>
      </c>
      <c r="D21" s="119" t="str">
        <f>IFERROR(VLOOKUP(A21,Geral!$C$10:$L$95,6,FALSE()),"")</f>
        <v/>
      </c>
      <c r="E21" s="119" t="str">
        <f t="shared" si="0"/>
        <v/>
      </c>
      <c r="F21" s="120" t="str">
        <f>IFERROR(VLOOKUP(A21,Geral!$C$10:$L$95,7,FALSE()),"")</f>
        <v/>
      </c>
      <c r="G21" s="121" t="str">
        <f>IFERROR(VLOOKUP(A21,Geral!$C$10:$L$95,8,FALSE()),"")</f>
        <v/>
      </c>
      <c r="H21" s="121" t="str">
        <f>IFERROR(VLOOKUP(A21,Geral!$C$10:$L$95,10,FALSE()),"")</f>
        <v/>
      </c>
    </row>
    <row r="22" spans="1:1017" ht="23.1" customHeight="1">
      <c r="A22" s="117" t="str">
        <f>IFERROR(INDEX(Geral!$N$11:$N$95,MATCH(ROW(A6),Geral!$O$11:$O$95,0)),"")</f>
        <v/>
      </c>
      <c r="B22" s="118" t="str">
        <f>IFERROR(VLOOKUP(A22,Geral!$C$10:$L$95,4,FALSE()),"")</f>
        <v/>
      </c>
      <c r="C22" s="119" t="str">
        <f>IFERROR(VLOOKUP(A22,Geral!$C$10:$L$95,5,FALSE()),"")</f>
        <v/>
      </c>
      <c r="D22" s="119" t="str">
        <f>IFERROR(VLOOKUP(A22,Geral!$C$10:$L$95,6,FALSE()),"")</f>
        <v/>
      </c>
      <c r="E22" s="119" t="str">
        <f t="shared" si="0"/>
        <v/>
      </c>
      <c r="F22" s="120" t="str">
        <f>IFERROR(VLOOKUP(A22,Geral!$C$10:$L$95,7,FALSE()),"")</f>
        <v/>
      </c>
      <c r="G22" s="121" t="str">
        <f>IFERROR(VLOOKUP(A22,Geral!$C$10:$L$95,8,FALSE()),"")</f>
        <v/>
      </c>
      <c r="H22" s="121" t="str">
        <f>IFERROR(VLOOKUP(A22,Geral!$C$10:$L$95,10,FALSE()),"")</f>
        <v/>
      </c>
    </row>
    <row r="23" spans="1:1017" ht="23.1" customHeight="1">
      <c r="A23" s="117" t="str">
        <f>IFERROR(INDEX(Geral!$N$11:$N$95,MATCH(ROW(A7),Geral!$O$11:$O$95,0)),"")</f>
        <v/>
      </c>
      <c r="B23" s="118" t="str">
        <f>IFERROR(VLOOKUP(A23,Geral!$C$10:$L$95,4,FALSE()),"")</f>
        <v/>
      </c>
      <c r="C23" s="119" t="str">
        <f>IFERROR(VLOOKUP(A23,Geral!$C$10:$L$95,5,FALSE()),"")</f>
        <v/>
      </c>
      <c r="D23" s="119" t="str">
        <f>IFERROR(VLOOKUP(A23,Geral!$C$10:$L$95,6,FALSE()),"")</f>
        <v/>
      </c>
      <c r="E23" s="119" t="str">
        <f t="shared" si="0"/>
        <v/>
      </c>
      <c r="F23" s="120" t="str">
        <f>IFERROR(VLOOKUP(A23,Geral!$C$10:$L$95,7,FALSE()),"")</f>
        <v/>
      </c>
      <c r="G23" s="121" t="str">
        <f>IFERROR(VLOOKUP(A23,Geral!$C$10:$L$95,8,FALSE()),"")</f>
        <v/>
      </c>
      <c r="H23" s="121" t="str">
        <f>IFERROR(VLOOKUP(A23,Geral!$C$10:$L$95,10,FALSE()),"")</f>
        <v/>
      </c>
    </row>
    <row r="24" spans="1:1017">
      <c r="A24" s="353" t="s">
        <v>273</v>
      </c>
      <c r="B24" s="353"/>
      <c r="C24" s="353"/>
      <c r="D24" s="353"/>
      <c r="E24" s="353"/>
      <c r="F24" s="353"/>
      <c r="G24" s="353"/>
      <c r="H24" s="122">
        <f>SUM(H17:H23)</f>
        <v>177456.36000000002</v>
      </c>
    </row>
    <row r="25" spans="1:1017">
      <c r="A25" s="123"/>
      <c r="B25" s="123"/>
      <c r="C25" s="123"/>
      <c r="D25" s="123"/>
      <c r="E25" s="124"/>
      <c r="F25" s="125"/>
      <c r="G25" s="123"/>
      <c r="H25" s="123"/>
    </row>
    <row r="26" spans="1:1017">
      <c r="A26" s="347" t="s">
        <v>353</v>
      </c>
      <c r="B26" s="347"/>
      <c r="C26" s="347"/>
      <c r="D26" s="347"/>
      <c r="E26" s="347"/>
      <c r="F26" s="347"/>
      <c r="G26" s="347"/>
      <c r="H26" s="347"/>
    </row>
    <row r="27" spans="1:1017">
      <c r="A27" s="126"/>
      <c r="B27" s="126"/>
      <c r="C27" s="126"/>
      <c r="D27" s="126"/>
      <c r="E27" s="127"/>
      <c r="F27" s="128"/>
      <c r="G27" s="126"/>
      <c r="H27" s="126"/>
    </row>
    <row r="28" spans="1:1017" ht="19.5" customHeight="1">
      <c r="A28" s="348" t="s">
        <v>191</v>
      </c>
      <c r="B28" s="348"/>
      <c r="C28" s="348"/>
      <c r="D28" s="348"/>
      <c r="E28" s="348"/>
      <c r="F28" s="348"/>
      <c r="G28" s="348"/>
      <c r="H28" s="348"/>
    </row>
    <row r="29" spans="1:1017" ht="27" customHeight="1">
      <c r="A29" s="344" t="s">
        <v>274</v>
      </c>
      <c r="B29" s="344"/>
      <c r="C29" s="344"/>
      <c r="D29" s="344"/>
      <c r="E29" s="344"/>
      <c r="F29" s="344"/>
      <c r="G29" s="344"/>
      <c r="H29" s="344"/>
      <c r="I29" s="1" t="s">
        <v>275</v>
      </c>
      <c r="Q29" s="1" t="s">
        <v>275</v>
      </c>
      <c r="Y29" s="1" t="s">
        <v>275</v>
      </c>
      <c r="AG29" s="1" t="s">
        <v>275</v>
      </c>
      <c r="AO29" s="1" t="s">
        <v>275</v>
      </c>
      <c r="AW29" s="1" t="s">
        <v>275</v>
      </c>
      <c r="BE29" s="1" t="s">
        <v>275</v>
      </c>
      <c r="BM29" s="1" t="s">
        <v>275</v>
      </c>
      <c r="BU29" s="1" t="s">
        <v>275</v>
      </c>
      <c r="CC29" s="1" t="s">
        <v>275</v>
      </c>
      <c r="CK29" s="1" t="s">
        <v>275</v>
      </c>
      <c r="CS29" s="1" t="s">
        <v>275</v>
      </c>
      <c r="DA29" s="1" t="s">
        <v>275</v>
      </c>
      <c r="DI29" s="1" t="s">
        <v>275</v>
      </c>
      <c r="DQ29" s="1" t="s">
        <v>275</v>
      </c>
      <c r="DY29" s="1" t="s">
        <v>275</v>
      </c>
      <c r="EG29" s="1" t="s">
        <v>275</v>
      </c>
      <c r="EO29" s="1" t="s">
        <v>275</v>
      </c>
      <c r="EW29" s="1" t="s">
        <v>275</v>
      </c>
      <c r="FE29" s="1" t="s">
        <v>275</v>
      </c>
      <c r="FM29" s="1" t="s">
        <v>275</v>
      </c>
      <c r="FU29" s="1" t="s">
        <v>275</v>
      </c>
      <c r="GC29" s="1" t="s">
        <v>275</v>
      </c>
      <c r="GK29" s="1" t="s">
        <v>275</v>
      </c>
      <c r="GS29" s="1" t="s">
        <v>275</v>
      </c>
      <c r="HA29" s="1" t="s">
        <v>275</v>
      </c>
      <c r="HI29" s="1" t="s">
        <v>275</v>
      </c>
      <c r="HQ29" s="1" t="s">
        <v>275</v>
      </c>
      <c r="HY29" s="1" t="s">
        <v>275</v>
      </c>
      <c r="IG29" s="1" t="s">
        <v>275</v>
      </c>
      <c r="IO29" s="1" t="s">
        <v>275</v>
      </c>
      <c r="IW29" s="1" t="s">
        <v>275</v>
      </c>
      <c r="JE29" s="1" t="s">
        <v>275</v>
      </c>
      <c r="JM29" s="1" t="s">
        <v>275</v>
      </c>
      <c r="JU29" s="1" t="s">
        <v>275</v>
      </c>
      <c r="KC29" s="1" t="s">
        <v>275</v>
      </c>
      <c r="KK29" s="1" t="s">
        <v>275</v>
      </c>
      <c r="KS29" s="1" t="s">
        <v>275</v>
      </c>
      <c r="LA29" s="1" t="s">
        <v>275</v>
      </c>
      <c r="LI29" s="1" t="s">
        <v>275</v>
      </c>
      <c r="LQ29" s="1" t="s">
        <v>275</v>
      </c>
      <c r="LY29" s="1" t="s">
        <v>275</v>
      </c>
      <c r="MG29" s="1" t="s">
        <v>275</v>
      </c>
      <c r="MO29" s="1" t="s">
        <v>275</v>
      </c>
      <c r="MW29" s="1" t="s">
        <v>275</v>
      </c>
      <c r="NE29" s="1" t="s">
        <v>275</v>
      </c>
      <c r="NM29" s="1" t="s">
        <v>275</v>
      </c>
      <c r="NU29" s="1" t="s">
        <v>275</v>
      </c>
      <c r="OC29" s="1" t="s">
        <v>275</v>
      </c>
      <c r="OK29" s="1" t="s">
        <v>275</v>
      </c>
      <c r="OS29" s="1" t="s">
        <v>275</v>
      </c>
      <c r="PA29" s="1" t="s">
        <v>275</v>
      </c>
      <c r="PI29" s="1" t="s">
        <v>275</v>
      </c>
      <c r="PQ29" s="1" t="s">
        <v>275</v>
      </c>
      <c r="PY29" s="1" t="s">
        <v>275</v>
      </c>
      <c r="QG29" s="1" t="s">
        <v>275</v>
      </c>
      <c r="QO29" s="1" t="s">
        <v>275</v>
      </c>
      <c r="QW29" s="1" t="s">
        <v>275</v>
      </c>
      <c r="RE29" s="1" t="s">
        <v>275</v>
      </c>
      <c r="RM29" s="1" t="s">
        <v>275</v>
      </c>
      <c r="RU29" s="1" t="s">
        <v>275</v>
      </c>
      <c r="SC29" s="1" t="s">
        <v>275</v>
      </c>
      <c r="SK29" s="1" t="s">
        <v>275</v>
      </c>
      <c r="SS29" s="1" t="s">
        <v>275</v>
      </c>
      <c r="TA29" s="1" t="s">
        <v>275</v>
      </c>
      <c r="TI29" s="1" t="s">
        <v>275</v>
      </c>
      <c r="TQ29" s="1" t="s">
        <v>275</v>
      </c>
      <c r="TY29" s="1" t="s">
        <v>275</v>
      </c>
      <c r="UG29" s="1" t="s">
        <v>275</v>
      </c>
      <c r="UO29" s="1" t="s">
        <v>275</v>
      </c>
      <c r="UW29" s="1" t="s">
        <v>275</v>
      </c>
      <c r="VE29" s="1" t="s">
        <v>275</v>
      </c>
      <c r="VM29" s="1" t="s">
        <v>275</v>
      </c>
      <c r="VU29" s="1" t="s">
        <v>275</v>
      </c>
      <c r="WC29" s="1" t="s">
        <v>275</v>
      </c>
      <c r="WK29" s="1" t="s">
        <v>275</v>
      </c>
      <c r="WS29" s="1" t="s">
        <v>275</v>
      </c>
      <c r="XA29" s="1" t="s">
        <v>275</v>
      </c>
      <c r="XI29" s="1" t="s">
        <v>275</v>
      </c>
      <c r="XQ29" s="1" t="s">
        <v>275</v>
      </c>
      <c r="XY29" s="1" t="s">
        <v>275</v>
      </c>
      <c r="YG29" s="1" t="s">
        <v>275</v>
      </c>
      <c r="YO29" s="1" t="s">
        <v>275</v>
      </c>
      <c r="YW29" s="1" t="s">
        <v>275</v>
      </c>
      <c r="ZE29" s="1" t="s">
        <v>275</v>
      </c>
      <c r="ZM29" s="1" t="s">
        <v>275</v>
      </c>
      <c r="ZU29" s="1" t="s">
        <v>275</v>
      </c>
      <c r="AAC29" s="1" t="s">
        <v>275</v>
      </c>
      <c r="AAK29" s="1" t="s">
        <v>275</v>
      </c>
      <c r="AAS29" s="1" t="s">
        <v>275</v>
      </c>
      <c r="ABA29" s="1" t="s">
        <v>275</v>
      </c>
      <c r="ABI29" s="1" t="s">
        <v>275</v>
      </c>
      <c r="ABQ29" s="1" t="s">
        <v>275</v>
      </c>
      <c r="ABY29" s="1" t="s">
        <v>275</v>
      </c>
      <c r="ACG29" s="1" t="s">
        <v>275</v>
      </c>
      <c r="ACO29" s="1" t="s">
        <v>275</v>
      </c>
      <c r="ACW29" s="1" t="s">
        <v>275</v>
      </c>
      <c r="ADE29" s="1" t="s">
        <v>275</v>
      </c>
      <c r="ADM29" s="1" t="s">
        <v>275</v>
      </c>
      <c r="ADU29" s="1" t="s">
        <v>275</v>
      </c>
      <c r="AEC29" s="1" t="s">
        <v>275</v>
      </c>
      <c r="AEK29" s="1" t="s">
        <v>275</v>
      </c>
      <c r="AES29" s="1" t="s">
        <v>275</v>
      </c>
      <c r="AFA29" s="1" t="s">
        <v>275</v>
      </c>
      <c r="AFI29" s="1" t="s">
        <v>275</v>
      </c>
      <c r="AFQ29" s="1" t="s">
        <v>275</v>
      </c>
      <c r="AFY29" s="1" t="s">
        <v>275</v>
      </c>
      <c r="AGG29" s="1" t="s">
        <v>275</v>
      </c>
      <c r="AGO29" s="1" t="s">
        <v>275</v>
      </c>
      <c r="AGW29" s="1" t="s">
        <v>275</v>
      </c>
      <c r="AHE29" s="1" t="s">
        <v>275</v>
      </c>
      <c r="AHM29" s="1" t="s">
        <v>275</v>
      </c>
      <c r="AHU29" s="1" t="s">
        <v>275</v>
      </c>
      <c r="AIC29" s="1" t="s">
        <v>275</v>
      </c>
      <c r="AIK29" s="1" t="s">
        <v>275</v>
      </c>
      <c r="AIS29" s="1" t="s">
        <v>275</v>
      </c>
      <c r="AJA29" s="1" t="s">
        <v>275</v>
      </c>
      <c r="AJI29" s="1" t="s">
        <v>275</v>
      </c>
      <c r="AJQ29" s="1" t="s">
        <v>275</v>
      </c>
      <c r="AJY29" s="1" t="s">
        <v>275</v>
      </c>
      <c r="AKG29" s="1" t="s">
        <v>275</v>
      </c>
      <c r="AKO29" s="1" t="s">
        <v>275</v>
      </c>
      <c r="AKW29" s="1" t="s">
        <v>275</v>
      </c>
      <c r="ALE29" s="1" t="s">
        <v>275</v>
      </c>
      <c r="ALM29" s="1" t="s">
        <v>275</v>
      </c>
      <c r="ALU29" s="1" t="s">
        <v>275</v>
      </c>
      <c r="AMC29" s="1" t="s">
        <v>275</v>
      </c>
    </row>
    <row r="30" spans="1:1017" ht="28.5" customHeight="1">
      <c r="A30" s="344" t="s">
        <v>276</v>
      </c>
      <c r="B30" s="344"/>
      <c r="C30" s="344"/>
      <c r="D30" s="344"/>
      <c r="E30" s="344"/>
      <c r="F30" s="344"/>
      <c r="G30" s="344"/>
      <c r="H30" s="344"/>
    </row>
    <row r="31" spans="1:1017" ht="48.75" customHeight="1">
      <c r="A31" s="344" t="s">
        <v>277</v>
      </c>
      <c r="B31" s="344"/>
      <c r="C31" s="344"/>
      <c r="D31" s="344"/>
      <c r="E31" s="344"/>
      <c r="F31" s="344"/>
      <c r="G31" s="344"/>
      <c r="H31" s="344"/>
    </row>
    <row r="32" spans="1:1017" ht="55.5" customHeight="1">
      <c r="A32" s="344" t="s">
        <v>278</v>
      </c>
      <c r="B32" s="344"/>
      <c r="C32" s="344"/>
      <c r="D32" s="344"/>
      <c r="E32" s="344"/>
      <c r="F32" s="344"/>
      <c r="G32" s="344"/>
      <c r="H32" s="344"/>
    </row>
    <row r="33" spans="1:8" ht="0.75" customHeight="1">
      <c r="A33" s="345"/>
      <c r="B33" s="345"/>
      <c r="C33" s="345"/>
      <c r="D33" s="345"/>
      <c r="E33" s="345"/>
      <c r="F33" s="345"/>
      <c r="G33" s="345"/>
      <c r="H33" s="345"/>
    </row>
    <row r="34" spans="1:8" ht="115.5" customHeight="1">
      <c r="A34" s="344" t="s">
        <v>279</v>
      </c>
      <c r="B34" s="344"/>
      <c r="C34" s="344"/>
      <c r="D34" s="344"/>
      <c r="E34" s="344"/>
      <c r="F34" s="344"/>
      <c r="G34" s="344"/>
      <c r="H34" s="344"/>
    </row>
    <row r="35" spans="1:8" ht="61.2" customHeight="1">
      <c r="A35" s="344" t="s">
        <v>280</v>
      </c>
      <c r="B35" s="344"/>
      <c r="C35" s="344"/>
      <c r="D35" s="344"/>
      <c r="E35" s="344"/>
      <c r="F35" s="344"/>
      <c r="G35" s="344"/>
      <c r="H35" s="344"/>
    </row>
    <row r="36" spans="1:8" ht="15" customHeight="1">
      <c r="A36" s="346" t="s">
        <v>335</v>
      </c>
      <c r="B36" s="346"/>
      <c r="C36" s="346"/>
      <c r="D36" s="346"/>
      <c r="E36" s="346"/>
      <c r="F36" s="346"/>
      <c r="G36" s="346"/>
      <c r="H36" s="346"/>
    </row>
    <row r="37" spans="1:8">
      <c r="A37" s="129" t="s">
        <v>281</v>
      </c>
      <c r="B37" s="129"/>
      <c r="C37" s="129"/>
      <c r="D37" s="129"/>
      <c r="E37" s="130"/>
      <c r="F37" s="131"/>
      <c r="G37" s="129"/>
      <c r="H37" s="129"/>
    </row>
    <row r="38" spans="1:8">
      <c r="A38" s="129"/>
      <c r="B38" s="129"/>
      <c r="C38" s="129"/>
      <c r="D38" s="129"/>
      <c r="E38" s="130"/>
      <c r="F38" s="131"/>
      <c r="G38" s="129"/>
      <c r="H38" s="129"/>
    </row>
    <row r="39" spans="1:8">
      <c r="A39" s="129"/>
      <c r="B39" s="129"/>
      <c r="C39" s="129"/>
      <c r="D39" s="129"/>
      <c r="E39" s="130"/>
      <c r="F39" s="131"/>
      <c r="G39" s="129"/>
      <c r="H39" s="129"/>
    </row>
    <row r="40" spans="1:8">
      <c r="A40" s="129"/>
      <c r="B40" s="129"/>
      <c r="C40" s="129"/>
      <c r="D40" s="129"/>
      <c r="E40" s="130"/>
      <c r="F40" s="131"/>
      <c r="G40" s="129"/>
      <c r="H40" s="129"/>
    </row>
    <row r="41" spans="1:8">
      <c r="A41" s="343" t="s">
        <v>282</v>
      </c>
      <c r="B41" s="343"/>
      <c r="C41" s="343"/>
      <c r="D41" s="343"/>
      <c r="E41" s="343"/>
      <c r="F41" s="343"/>
      <c r="G41" s="343"/>
      <c r="H41" s="343"/>
    </row>
    <row r="42" spans="1:8">
      <c r="A42" s="343" t="s">
        <v>283</v>
      </c>
      <c r="B42" s="343"/>
      <c r="C42" s="343"/>
      <c r="D42" s="343"/>
      <c r="E42" s="343"/>
      <c r="F42" s="343"/>
      <c r="G42" s="343"/>
      <c r="H42" s="343"/>
    </row>
    <row r="43" spans="1:8">
      <c r="A43" s="343" t="s">
        <v>284</v>
      </c>
      <c r="B43" s="343"/>
      <c r="C43" s="343"/>
      <c r="D43" s="343"/>
      <c r="E43" s="343"/>
      <c r="F43" s="343"/>
      <c r="G43" s="343"/>
      <c r="H43" s="343"/>
    </row>
    <row r="44" spans="1:8">
      <c r="A44" s="129"/>
      <c r="B44" s="129"/>
      <c r="C44" s="129"/>
      <c r="D44" s="129"/>
      <c r="E44" s="130"/>
      <c r="F44" s="131"/>
      <c r="G44" s="129"/>
      <c r="H44" s="129"/>
    </row>
    <row r="45" spans="1:8" ht="15" customHeight="1">
      <c r="A45" s="342" t="s">
        <v>285</v>
      </c>
      <c r="B45" s="342"/>
      <c r="C45" s="342"/>
      <c r="D45" s="342"/>
      <c r="E45" s="342"/>
      <c r="F45" s="342"/>
      <c r="G45" s="342"/>
      <c r="H45" s="342"/>
    </row>
    <row r="46" spans="1:8" ht="15" customHeight="1">
      <c r="A46" s="342" t="s">
        <v>286</v>
      </c>
      <c r="B46" s="342"/>
      <c r="C46" s="342"/>
      <c r="D46" s="342"/>
      <c r="E46" s="342"/>
      <c r="F46" s="342"/>
      <c r="G46" s="342"/>
      <c r="H46" s="342"/>
    </row>
    <row r="47" spans="1:8" ht="15" customHeight="1">
      <c r="A47" s="342" t="s">
        <v>287</v>
      </c>
      <c r="B47" s="342"/>
      <c r="C47" s="342"/>
      <c r="D47" s="342"/>
      <c r="E47" s="342"/>
      <c r="F47" s="342"/>
      <c r="G47" s="342"/>
      <c r="H47" s="342"/>
    </row>
    <row r="48" spans="1:8" ht="15" customHeight="1">
      <c r="A48" s="342" t="s">
        <v>288</v>
      </c>
      <c r="B48" s="342"/>
      <c r="C48" s="342"/>
      <c r="D48" s="342"/>
      <c r="E48" s="342"/>
      <c r="F48" s="342"/>
      <c r="G48" s="342"/>
      <c r="H48" s="342"/>
    </row>
    <row r="49" ht="15" customHeight="1"/>
    <row r="50"/>
    <row r="51"/>
  </sheetData>
  <mergeCells count="32">
    <mergeCell ref="A1:H1"/>
    <mergeCell ref="A2:H2"/>
    <mergeCell ref="A3:H3"/>
    <mergeCell ref="A4:H4"/>
    <mergeCell ref="A5:H5"/>
    <mergeCell ref="A6:H6"/>
    <mergeCell ref="A7:H7"/>
    <mergeCell ref="A8:H8"/>
    <mergeCell ref="A9:H9"/>
    <mergeCell ref="A10:H10"/>
    <mergeCell ref="A11:H11"/>
    <mergeCell ref="A12:H12"/>
    <mergeCell ref="A13:H13"/>
    <mergeCell ref="A15:H15"/>
    <mergeCell ref="A24:G24"/>
    <mergeCell ref="A26:H26"/>
    <mergeCell ref="A28:H28"/>
    <mergeCell ref="A29:H29"/>
    <mergeCell ref="A30:H30"/>
    <mergeCell ref="A31:H31"/>
    <mergeCell ref="A32:H32"/>
    <mergeCell ref="A33:H33"/>
    <mergeCell ref="A34:H34"/>
    <mergeCell ref="A35:H35"/>
    <mergeCell ref="A36:H36"/>
    <mergeCell ref="A46:H46"/>
    <mergeCell ref="A47:H47"/>
    <mergeCell ref="A48:H48"/>
    <mergeCell ref="A41:H41"/>
    <mergeCell ref="A42:H42"/>
    <mergeCell ref="A43:H43"/>
    <mergeCell ref="A45:H45"/>
  </mergeCells>
  <pageMargins left="0.23622047244094491" right="0.23622047244094491" top="1.1417322834645669" bottom="0.74803149606299213" header="0.51181102362204722" footer="0.31496062992125984"/>
  <pageSetup paperSize="9" scale="60" firstPageNumber="0" fitToHeight="0" orientation="portrait" horizontalDpi="300" verticalDpi="300" r:id="rId1"/>
  <headerFooter>
    <oddHeader>&amp;R&amp;G</oddHeader>
    <oddFooter>&amp;CPágina &amp;P de &amp;N</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ErrorMessage="1">
          <x14:formula1>
            <xm:f>Geral!$A$97:$A$122</xm:f>
          </x14:formula1>
          <xm:sqref>A15:H15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22" zoomScale="110" zoomScaleNormal="100" zoomScaleSheetLayoutView="110" workbookViewId="0">
      <selection activeCell="E33" sqref="E33:G33"/>
    </sheetView>
  </sheetViews>
  <sheetFormatPr defaultColWidth="14.44140625" defaultRowHeight="14.4" zeroHeight="1"/>
  <cols>
    <col min="1" max="1" width="8.6640625" style="1" customWidth="1"/>
    <col min="2" max="4" width="18" style="1" customWidth="1"/>
    <col min="5" max="5" width="36.109375" style="1" customWidth="1"/>
    <col min="6" max="12" width="14.44140625" style="1"/>
    <col min="13" max="1024" width="14.44140625" style="1" hidden="1"/>
  </cols>
  <sheetData>
    <row r="1" spans="1:7" ht="71.25" customHeight="1">
      <c r="A1" s="257" t="s">
        <v>11</v>
      </c>
      <c r="B1" s="257"/>
      <c r="C1" s="257"/>
      <c r="D1" s="257"/>
      <c r="E1" s="257"/>
      <c r="F1" s="257"/>
      <c r="G1" s="257"/>
    </row>
    <row r="2" spans="1:7" ht="45">
      <c r="A2" s="258"/>
      <c r="B2" s="258"/>
      <c r="C2" s="258"/>
      <c r="D2" s="258"/>
      <c r="E2" s="258"/>
      <c r="F2" s="258"/>
      <c r="G2" s="258"/>
    </row>
    <row r="3" spans="1:7">
      <c r="A3" s="259" t="s">
        <v>314</v>
      </c>
      <c r="B3" s="259"/>
      <c r="C3" s="259"/>
      <c r="D3" s="259"/>
      <c r="E3" s="259"/>
      <c r="F3" s="259"/>
      <c r="G3" s="259"/>
    </row>
    <row r="4" spans="1:7">
      <c r="A4" s="259" t="s">
        <v>321</v>
      </c>
      <c r="B4" s="259"/>
      <c r="C4" s="259"/>
      <c r="D4" s="259"/>
      <c r="E4" s="259"/>
      <c r="F4" s="259"/>
      <c r="G4" s="259"/>
    </row>
    <row r="5" spans="1:7">
      <c r="A5" s="259" t="s">
        <v>322</v>
      </c>
      <c r="B5" s="259"/>
      <c r="C5" s="259"/>
      <c r="D5" s="259"/>
      <c r="E5" s="259"/>
      <c r="F5" s="259"/>
      <c r="G5" s="259"/>
    </row>
    <row r="6" spans="1:7">
      <c r="A6" s="259" t="s">
        <v>323</v>
      </c>
      <c r="B6" s="259"/>
      <c r="C6" s="259"/>
      <c r="D6" s="259"/>
      <c r="E6" s="259"/>
      <c r="F6" s="259"/>
      <c r="G6" s="259"/>
    </row>
    <row r="7" spans="1:7">
      <c r="A7" s="2"/>
      <c r="B7" s="2"/>
      <c r="C7" s="2"/>
      <c r="D7" s="2"/>
      <c r="E7" s="2"/>
      <c r="F7" s="2"/>
      <c r="G7" s="2"/>
    </row>
    <row r="8" spans="1:7">
      <c r="A8" s="260" t="s">
        <v>334</v>
      </c>
      <c r="B8" s="260"/>
      <c r="C8" s="260"/>
      <c r="D8" s="260"/>
      <c r="E8" s="260"/>
      <c r="F8" s="260"/>
      <c r="G8" s="260"/>
    </row>
    <row r="9" spans="1:7">
      <c r="A9" s="3"/>
      <c r="B9" s="3"/>
      <c r="C9" s="3"/>
      <c r="D9" s="3"/>
      <c r="E9" s="3"/>
      <c r="F9" s="3"/>
      <c r="G9" s="3"/>
    </row>
    <row r="10" spans="1:7" ht="15" customHeight="1">
      <c r="A10" s="261" t="s">
        <v>0</v>
      </c>
      <c r="B10" s="261"/>
      <c r="C10" s="261"/>
      <c r="D10" s="261"/>
      <c r="E10" s="261"/>
      <c r="F10" s="261"/>
      <c r="G10" s="261"/>
    </row>
    <row r="11" spans="1:7">
      <c r="A11" s="4" t="s">
        <v>12</v>
      </c>
      <c r="B11" s="5" t="s">
        <v>13</v>
      </c>
      <c r="C11" s="253" t="s">
        <v>14</v>
      </c>
      <c r="D11" s="253"/>
      <c r="E11" s="253"/>
      <c r="F11" s="253"/>
      <c r="G11" s="253"/>
    </row>
    <row r="12" spans="1:7">
      <c r="A12" s="4" t="s">
        <v>12</v>
      </c>
      <c r="B12" s="5" t="s">
        <v>15</v>
      </c>
      <c r="C12" s="252" t="s">
        <v>324</v>
      </c>
      <c r="D12" s="252"/>
      <c r="E12" s="252"/>
      <c r="F12" s="252"/>
      <c r="G12" s="252"/>
    </row>
    <row r="13" spans="1:7">
      <c r="A13" s="4" t="s">
        <v>12</v>
      </c>
      <c r="B13" s="5" t="s">
        <v>16</v>
      </c>
      <c r="C13" s="253" t="s">
        <v>325</v>
      </c>
      <c r="D13" s="253"/>
      <c r="E13" s="253"/>
      <c r="F13" s="253"/>
      <c r="G13" s="253"/>
    </row>
    <row r="14" spans="1:7">
      <c r="A14" s="3"/>
      <c r="B14" s="3"/>
      <c r="C14" s="3"/>
      <c r="D14" s="3"/>
      <c r="E14" s="3"/>
      <c r="F14" s="3"/>
      <c r="G14" s="3"/>
    </row>
    <row r="15" spans="1:7" ht="15" customHeight="1">
      <c r="A15" s="245" t="s">
        <v>17</v>
      </c>
      <c r="B15" s="245"/>
      <c r="C15" s="245"/>
      <c r="D15" s="245"/>
      <c r="E15" s="245"/>
      <c r="F15" s="245"/>
      <c r="G15" s="245"/>
    </row>
    <row r="16" spans="1:7">
      <c r="A16" s="4" t="s">
        <v>18</v>
      </c>
      <c r="B16" s="234" t="s">
        <v>19</v>
      </c>
      <c r="C16" s="234"/>
      <c r="D16" s="234"/>
      <c r="E16" s="234"/>
      <c r="F16" s="254">
        <v>44470</v>
      </c>
      <c r="G16" s="255"/>
    </row>
    <row r="17" spans="1:7" ht="15" customHeight="1">
      <c r="A17" s="4" t="s">
        <v>20</v>
      </c>
      <c r="B17" s="234" t="s">
        <v>21</v>
      </c>
      <c r="C17" s="234"/>
      <c r="D17" s="234"/>
      <c r="E17" s="234"/>
      <c r="F17" s="256" t="s">
        <v>22</v>
      </c>
      <c r="G17" s="256"/>
    </row>
    <row r="18" spans="1:7">
      <c r="A18" s="4" t="s">
        <v>23</v>
      </c>
      <c r="B18" s="234" t="s">
        <v>24</v>
      </c>
      <c r="C18" s="234"/>
      <c r="D18" s="234"/>
      <c r="E18" s="234"/>
      <c r="F18" s="255" t="s">
        <v>25</v>
      </c>
      <c r="G18" s="255"/>
    </row>
    <row r="19" spans="1:7">
      <c r="A19" s="4" t="s">
        <v>26</v>
      </c>
      <c r="B19" s="234" t="s">
        <v>27</v>
      </c>
      <c r="C19" s="234"/>
      <c r="D19" s="234"/>
      <c r="E19" s="234"/>
      <c r="F19" s="248">
        <v>12</v>
      </c>
      <c r="G19" s="248"/>
    </row>
    <row r="20" spans="1:7">
      <c r="A20" s="6" t="s">
        <v>28</v>
      </c>
      <c r="B20" s="249" t="s">
        <v>29</v>
      </c>
      <c r="C20" s="249"/>
      <c r="D20" s="249"/>
      <c r="E20" s="249"/>
      <c r="F20" s="248" t="s">
        <v>326</v>
      </c>
      <c r="G20" s="248"/>
    </row>
    <row r="21" spans="1:7">
      <c r="A21" s="3"/>
      <c r="B21" s="3"/>
      <c r="C21" s="3"/>
      <c r="D21" s="3"/>
      <c r="E21" s="3"/>
      <c r="F21" s="3"/>
      <c r="G21" s="3"/>
    </row>
    <row r="22" spans="1:7" ht="15" customHeight="1">
      <c r="A22" s="245" t="s">
        <v>30</v>
      </c>
      <c r="B22" s="245"/>
      <c r="C22" s="245"/>
      <c r="D22" s="245"/>
      <c r="E22" s="245"/>
      <c r="F22" s="245"/>
      <c r="G22" s="245"/>
    </row>
    <row r="23" spans="1:7" ht="21" customHeight="1">
      <c r="A23" s="216" t="s">
        <v>31</v>
      </c>
      <c r="B23" s="216"/>
      <c r="C23" s="216"/>
      <c r="D23" s="216"/>
      <c r="E23" s="7" t="s">
        <v>32</v>
      </c>
      <c r="F23" s="216" t="s">
        <v>33</v>
      </c>
      <c r="G23" s="216"/>
    </row>
    <row r="24" spans="1:7">
      <c r="A24" s="250" t="str">
        <f>Geral!B2</f>
        <v>Motorista de Veículo Leve (6h00 e 22h00)</v>
      </c>
      <c r="B24" s="250"/>
      <c r="C24" s="250"/>
      <c r="D24" s="250"/>
      <c r="E24" s="8" t="str">
        <f>Geral!G2</f>
        <v>Posto/mês</v>
      </c>
      <c r="F24" s="251">
        <f>IFERROR(VLOOKUP(A24,Proposta!$B$17:$D$23,3,FALSE()),1)</f>
        <v>2</v>
      </c>
      <c r="G24" s="251"/>
    </row>
    <row r="25" spans="1:7" ht="28.5" customHeight="1">
      <c r="A25" s="219" t="s">
        <v>34</v>
      </c>
      <c r="B25" s="219"/>
      <c r="C25" s="219"/>
      <c r="D25" s="219"/>
      <c r="E25" s="219"/>
      <c r="F25" s="219"/>
      <c r="G25" s="219"/>
    </row>
    <row r="26" spans="1:7" ht="28.5" customHeight="1">
      <c r="A26" s="219" t="s">
        <v>35</v>
      </c>
      <c r="B26" s="219"/>
      <c r="C26" s="219"/>
      <c r="D26" s="219"/>
      <c r="E26" s="219"/>
      <c r="F26" s="219"/>
      <c r="G26" s="219"/>
    </row>
    <row r="27" spans="1:7">
      <c r="A27" s="3"/>
      <c r="B27" s="3"/>
      <c r="C27" s="3"/>
      <c r="D27" s="3"/>
      <c r="E27" s="3"/>
      <c r="F27" s="3"/>
      <c r="G27" s="3"/>
    </row>
    <row r="28" spans="1:7" ht="15" customHeight="1">
      <c r="A28" s="245" t="s">
        <v>36</v>
      </c>
      <c r="B28" s="245"/>
      <c r="C28" s="245"/>
      <c r="D28" s="245"/>
      <c r="E28" s="245"/>
      <c r="F28" s="245"/>
      <c r="G28" s="245"/>
    </row>
    <row r="29" spans="1:7" ht="15" customHeight="1">
      <c r="A29" s="246" t="s">
        <v>37</v>
      </c>
      <c r="B29" s="246"/>
      <c r="C29" s="246"/>
      <c r="D29" s="246"/>
      <c r="E29" s="246"/>
      <c r="F29" s="246"/>
      <c r="G29" s="246"/>
    </row>
    <row r="30" spans="1:7">
      <c r="A30" s="4">
        <v>1</v>
      </c>
      <c r="B30" s="234" t="s">
        <v>38</v>
      </c>
      <c r="C30" s="234"/>
      <c r="D30" s="234"/>
      <c r="E30" s="240" t="s">
        <v>39</v>
      </c>
      <c r="F30" s="240"/>
      <c r="G30" s="240"/>
    </row>
    <row r="31" spans="1:7">
      <c r="A31" s="4">
        <v>2</v>
      </c>
      <c r="B31" s="234" t="s">
        <v>40</v>
      </c>
      <c r="C31" s="234"/>
      <c r="D31" s="234"/>
      <c r="E31" s="240" t="s">
        <v>41</v>
      </c>
      <c r="F31" s="240"/>
      <c r="G31" s="240"/>
    </row>
    <row r="32" spans="1:7">
      <c r="A32" s="4">
        <v>3</v>
      </c>
      <c r="B32" s="234" t="s">
        <v>42</v>
      </c>
      <c r="C32" s="234"/>
      <c r="D32" s="234"/>
      <c r="E32" s="247">
        <v>1368.91</v>
      </c>
      <c r="F32" s="247"/>
      <c r="G32" s="247"/>
    </row>
    <row r="33" spans="1:7">
      <c r="A33" s="4">
        <v>4</v>
      </c>
      <c r="B33" s="234" t="s">
        <v>43</v>
      </c>
      <c r="C33" s="234"/>
      <c r="D33" s="234"/>
      <c r="E33" s="240" t="s">
        <v>44</v>
      </c>
      <c r="F33" s="240"/>
      <c r="G33" s="240"/>
    </row>
    <row r="34" spans="1:7">
      <c r="A34" s="4">
        <v>5</v>
      </c>
      <c r="B34" s="234" t="s">
        <v>45</v>
      </c>
      <c r="C34" s="234"/>
      <c r="D34" s="234"/>
      <c r="E34" s="241">
        <v>44197</v>
      </c>
      <c r="F34" s="241"/>
      <c r="G34" s="241"/>
    </row>
    <row r="35" spans="1:7">
      <c r="A35" s="9">
        <v>6</v>
      </c>
      <c r="B35" s="242" t="s">
        <v>46</v>
      </c>
      <c r="C35" s="242"/>
      <c r="D35" s="242"/>
      <c r="E35" s="243">
        <v>21.01</v>
      </c>
      <c r="F35" s="243"/>
      <c r="G35" s="243"/>
    </row>
    <row r="36" spans="1:7">
      <c r="A36" s="9">
        <v>7</v>
      </c>
      <c r="B36" s="242" t="s">
        <v>47</v>
      </c>
      <c r="C36" s="242"/>
      <c r="D36" s="242"/>
      <c r="E36" s="244">
        <v>1100</v>
      </c>
      <c r="F36" s="244"/>
      <c r="G36" s="244"/>
    </row>
    <row r="37" spans="1:7" ht="15" customHeight="1">
      <c r="A37" s="219" t="s">
        <v>48</v>
      </c>
      <c r="B37" s="219"/>
      <c r="C37" s="219"/>
      <c r="D37" s="219"/>
      <c r="E37" s="219"/>
      <c r="F37" s="219"/>
      <c r="G37" s="219"/>
    </row>
    <row r="38" spans="1:7" ht="15" customHeight="1">
      <c r="A38" s="219" t="s">
        <v>49</v>
      </c>
      <c r="B38" s="219"/>
      <c r="C38" s="219"/>
      <c r="D38" s="219"/>
      <c r="E38" s="219"/>
      <c r="F38" s="219"/>
      <c r="G38" s="219"/>
    </row>
    <row r="39" spans="1:7">
      <c r="A39" s="3"/>
      <c r="B39" s="3"/>
      <c r="C39" s="3"/>
      <c r="D39" s="3"/>
      <c r="E39" s="3"/>
      <c r="F39" s="3"/>
      <c r="G39" s="3"/>
    </row>
    <row r="40" spans="1:7">
      <c r="A40" s="215" t="s">
        <v>50</v>
      </c>
      <c r="B40" s="215"/>
      <c r="C40" s="215"/>
      <c r="D40" s="215"/>
      <c r="E40" s="215"/>
      <c r="F40" s="215"/>
      <c r="G40" s="215"/>
    </row>
    <row r="41" spans="1:7" ht="15" customHeight="1">
      <c r="A41" s="7">
        <v>1</v>
      </c>
      <c r="B41" s="216" t="s">
        <v>51</v>
      </c>
      <c r="C41" s="216"/>
      <c r="D41" s="216"/>
      <c r="E41" s="216"/>
      <c r="F41" s="216"/>
      <c r="G41" s="7" t="s">
        <v>52</v>
      </c>
    </row>
    <row r="42" spans="1:7">
      <c r="A42" s="4" t="s">
        <v>18</v>
      </c>
      <c r="B42" s="228" t="s">
        <v>53</v>
      </c>
      <c r="C42" s="228"/>
      <c r="D42" s="228"/>
      <c r="E42" s="228"/>
      <c r="F42" s="228"/>
      <c r="G42" s="10">
        <v>2347.4499999999998</v>
      </c>
    </row>
    <row r="43" spans="1:7">
      <c r="A43" s="4" t="s">
        <v>20</v>
      </c>
      <c r="B43" s="229" t="s">
        <v>54</v>
      </c>
      <c r="C43" s="229"/>
      <c r="D43" s="229"/>
      <c r="E43" s="229"/>
      <c r="F43" s="229"/>
      <c r="G43" s="11">
        <v>0</v>
      </c>
    </row>
    <row r="44" spans="1:7">
      <c r="A44" s="222" t="s">
        <v>55</v>
      </c>
      <c r="B44" s="222"/>
      <c r="C44" s="222"/>
      <c r="D44" s="222"/>
      <c r="E44" s="222"/>
      <c r="F44" s="222"/>
      <c r="G44" s="12">
        <f>ROUND(SUM(G42:G43),2)</f>
        <v>2347.4499999999998</v>
      </c>
    </row>
    <row r="45" spans="1:7">
      <c r="A45" s="3"/>
      <c r="B45" s="3"/>
      <c r="C45" s="3"/>
      <c r="D45" s="3"/>
      <c r="E45" s="3"/>
      <c r="F45" s="3"/>
      <c r="G45" s="3"/>
    </row>
    <row r="46" spans="1:7">
      <c r="A46" s="215" t="s">
        <v>56</v>
      </c>
      <c r="B46" s="215"/>
      <c r="C46" s="215"/>
      <c r="D46" s="215"/>
      <c r="E46" s="215"/>
      <c r="F46" s="215"/>
      <c r="G46" s="215"/>
    </row>
    <row r="47" spans="1:7" ht="15" customHeight="1">
      <c r="A47" s="233" t="s">
        <v>57</v>
      </c>
      <c r="B47" s="233"/>
      <c r="C47" s="233"/>
      <c r="D47" s="233"/>
      <c r="E47" s="233"/>
      <c r="F47" s="233"/>
      <c r="G47" s="233"/>
    </row>
    <row r="48" spans="1:7" ht="15" customHeight="1">
      <c r="A48" s="7" t="s">
        <v>58</v>
      </c>
      <c r="B48" s="216" t="s">
        <v>59</v>
      </c>
      <c r="C48" s="216"/>
      <c r="D48" s="216"/>
      <c r="E48" s="216"/>
      <c r="F48" s="7" t="s">
        <v>60</v>
      </c>
      <c r="G48" s="7" t="s">
        <v>52</v>
      </c>
    </row>
    <row r="49" spans="1:7">
      <c r="A49" s="4" t="s">
        <v>18</v>
      </c>
      <c r="B49" s="227" t="s">
        <v>61</v>
      </c>
      <c r="C49" s="227"/>
      <c r="D49" s="227"/>
      <c r="E49" s="227"/>
      <c r="F49" s="13">
        <f>1/12</f>
        <v>8.3333333333333329E-2</v>
      </c>
      <c r="G49" s="14">
        <f>ROUND($G$44*F49,2)</f>
        <v>195.62</v>
      </c>
    </row>
    <row r="50" spans="1:7">
      <c r="A50" s="4" t="s">
        <v>20</v>
      </c>
      <c r="B50" s="237" t="s">
        <v>62</v>
      </c>
      <c r="C50" s="237"/>
      <c r="D50" s="237"/>
      <c r="E50" s="237"/>
      <c r="F50" s="13">
        <v>0.1111</v>
      </c>
      <c r="G50" s="14">
        <f>ROUND($G$44*F50,2)</f>
        <v>260.8</v>
      </c>
    </row>
    <row r="51" spans="1:7">
      <c r="A51" s="222" t="s">
        <v>63</v>
      </c>
      <c r="B51" s="222"/>
      <c r="C51" s="222"/>
      <c r="D51" s="222"/>
      <c r="E51" s="222"/>
      <c r="F51" s="222"/>
      <c r="G51" s="12">
        <f>ROUND(SUM(G49:G50),2)</f>
        <v>456.42</v>
      </c>
    </row>
    <row r="52" spans="1:7" ht="30.75" customHeight="1">
      <c r="A52" s="238" t="s">
        <v>64</v>
      </c>
      <c r="B52" s="238"/>
      <c r="C52" s="238"/>
      <c r="D52" s="238"/>
      <c r="E52" s="238"/>
      <c r="F52" s="238"/>
      <c r="G52" s="238"/>
    </row>
    <row r="53" spans="1:7" ht="30.75" customHeight="1">
      <c r="A53" s="219" t="s">
        <v>65</v>
      </c>
      <c r="B53" s="219"/>
      <c r="C53" s="219"/>
      <c r="D53" s="219"/>
      <c r="E53" s="219"/>
      <c r="F53" s="219"/>
      <c r="G53" s="219"/>
    </row>
    <row r="54" spans="1:7" ht="44.25" customHeight="1">
      <c r="A54" s="219" t="s">
        <v>66</v>
      </c>
      <c r="B54" s="219"/>
      <c r="C54" s="219"/>
      <c r="D54" s="219"/>
      <c r="E54" s="219"/>
      <c r="F54" s="219"/>
      <c r="G54" s="219"/>
    </row>
    <row r="55" spans="1:7">
      <c r="A55" s="3"/>
      <c r="B55" s="3"/>
      <c r="C55" s="3"/>
      <c r="D55" s="3"/>
      <c r="E55" s="3"/>
      <c r="F55" s="3"/>
      <c r="G55" s="3"/>
    </row>
    <row r="56" spans="1:7">
      <c r="A56" s="239" t="s">
        <v>67</v>
      </c>
      <c r="B56" s="239"/>
      <c r="C56" s="239"/>
      <c r="D56" s="239"/>
      <c r="E56" s="239"/>
      <c r="F56" s="239"/>
      <c r="G56" s="15">
        <f>ROUND(G44+G51,2)</f>
        <v>2803.87</v>
      </c>
    </row>
    <row r="57" spans="1:7" ht="15" customHeight="1">
      <c r="A57" s="233" t="s">
        <v>68</v>
      </c>
      <c r="B57" s="233"/>
      <c r="C57" s="233"/>
      <c r="D57" s="233"/>
      <c r="E57" s="233"/>
      <c r="F57" s="233"/>
      <c r="G57" s="233"/>
    </row>
    <row r="58" spans="1:7" ht="15" customHeight="1">
      <c r="A58" s="7" t="s">
        <v>69</v>
      </c>
      <c r="B58" s="216" t="s">
        <v>70</v>
      </c>
      <c r="C58" s="216"/>
      <c r="D58" s="216"/>
      <c r="E58" s="216"/>
      <c r="F58" s="7" t="s">
        <v>60</v>
      </c>
      <c r="G58" s="7" t="s">
        <v>52</v>
      </c>
    </row>
    <row r="59" spans="1:7">
      <c r="A59" s="4" t="s">
        <v>18</v>
      </c>
      <c r="B59" s="227" t="s">
        <v>71</v>
      </c>
      <c r="C59" s="227"/>
      <c r="D59" s="227"/>
      <c r="E59" s="227"/>
      <c r="F59" s="13">
        <v>0.2</v>
      </c>
      <c r="G59" s="14">
        <f t="shared" ref="G59:G66" si="0">ROUND($G$56*F59,2)</f>
        <v>560.77</v>
      </c>
    </row>
    <row r="60" spans="1:7">
      <c r="A60" s="4" t="s">
        <v>72</v>
      </c>
      <c r="B60" s="227" t="s">
        <v>73</v>
      </c>
      <c r="C60" s="227"/>
      <c r="D60" s="227"/>
      <c r="E60" s="227"/>
      <c r="F60" s="13">
        <v>2.5000000000000001E-2</v>
      </c>
      <c r="G60" s="14">
        <f t="shared" si="0"/>
        <v>70.099999999999994</v>
      </c>
    </row>
    <row r="61" spans="1:7">
      <c r="A61" s="4" t="s">
        <v>74</v>
      </c>
      <c r="B61" s="228" t="s">
        <v>75</v>
      </c>
      <c r="C61" s="228"/>
      <c r="D61" s="228"/>
      <c r="E61" s="228"/>
      <c r="F61" s="16">
        <v>1.8200000000000001E-2</v>
      </c>
      <c r="G61" s="14">
        <f t="shared" si="0"/>
        <v>51.03</v>
      </c>
    </row>
    <row r="62" spans="1:7">
      <c r="A62" s="4" t="s">
        <v>20</v>
      </c>
      <c r="B62" s="227" t="s">
        <v>76</v>
      </c>
      <c r="C62" s="227"/>
      <c r="D62" s="227"/>
      <c r="E62" s="227"/>
      <c r="F62" s="13">
        <v>0.08</v>
      </c>
      <c r="G62" s="14">
        <f t="shared" si="0"/>
        <v>224.31</v>
      </c>
    </row>
    <row r="63" spans="1:7">
      <c r="A63" s="4" t="s">
        <v>23</v>
      </c>
      <c r="B63" s="227" t="s">
        <v>77</v>
      </c>
      <c r="C63" s="227"/>
      <c r="D63" s="227"/>
      <c r="E63" s="227"/>
      <c r="F63" s="13">
        <v>1.4999999999999999E-2</v>
      </c>
      <c r="G63" s="14">
        <f t="shared" si="0"/>
        <v>42.06</v>
      </c>
    </row>
    <row r="64" spans="1:7">
      <c r="A64" s="4" t="s">
        <v>26</v>
      </c>
      <c r="B64" s="227" t="s">
        <v>78</v>
      </c>
      <c r="C64" s="227"/>
      <c r="D64" s="227"/>
      <c r="E64" s="227"/>
      <c r="F64" s="13">
        <v>0.01</v>
      </c>
      <c r="G64" s="14">
        <f t="shared" si="0"/>
        <v>28.04</v>
      </c>
    </row>
    <row r="65" spans="1:7">
      <c r="A65" s="4" t="s">
        <v>28</v>
      </c>
      <c r="B65" s="227" t="s">
        <v>79</v>
      </c>
      <c r="C65" s="227"/>
      <c r="D65" s="227"/>
      <c r="E65" s="227"/>
      <c r="F65" s="13">
        <v>6.0000000000000001E-3</v>
      </c>
      <c r="G65" s="14">
        <f t="shared" si="0"/>
        <v>16.82</v>
      </c>
    </row>
    <row r="66" spans="1:7">
      <c r="A66" s="4" t="s">
        <v>80</v>
      </c>
      <c r="B66" s="227" t="s">
        <v>81</v>
      </c>
      <c r="C66" s="227"/>
      <c r="D66" s="227"/>
      <c r="E66" s="227"/>
      <c r="F66" s="13">
        <v>2E-3</v>
      </c>
      <c r="G66" s="14">
        <f t="shared" si="0"/>
        <v>5.61</v>
      </c>
    </row>
    <row r="67" spans="1:7">
      <c r="A67" s="222" t="s">
        <v>82</v>
      </c>
      <c r="B67" s="222"/>
      <c r="C67" s="222"/>
      <c r="D67" s="222"/>
      <c r="E67" s="222"/>
      <c r="F67" s="17">
        <f>SUM(F59:F66)</f>
        <v>0.35620000000000002</v>
      </c>
      <c r="G67" s="12">
        <f>ROUND(SUM(G59:G66),2)</f>
        <v>998.74</v>
      </c>
    </row>
    <row r="68" spans="1:7" s="18" customFormat="1" ht="29.25" customHeight="1">
      <c r="A68" s="219" t="s">
        <v>83</v>
      </c>
      <c r="B68" s="219"/>
      <c r="C68" s="219"/>
      <c r="D68" s="219"/>
      <c r="E68" s="219"/>
      <c r="F68" s="219"/>
      <c r="G68" s="219"/>
    </row>
    <row r="69" spans="1:7" s="18" customFormat="1" ht="29.25" customHeight="1">
      <c r="A69" s="219" t="s">
        <v>84</v>
      </c>
      <c r="B69" s="219"/>
      <c r="C69" s="219"/>
      <c r="D69" s="219"/>
      <c r="E69" s="219"/>
      <c r="F69" s="219"/>
      <c r="G69" s="219"/>
    </row>
    <row r="70" spans="1:7">
      <c r="A70" s="235" t="s">
        <v>85</v>
      </c>
      <c r="B70" s="235"/>
      <c r="C70" s="235"/>
      <c r="D70" s="235"/>
      <c r="E70" s="235"/>
      <c r="F70" s="235"/>
      <c r="G70" s="235"/>
    </row>
    <row r="71" spans="1:7">
      <c r="A71" s="3"/>
      <c r="B71" s="3"/>
      <c r="C71" s="3"/>
      <c r="D71" s="3"/>
      <c r="E71" s="3"/>
      <c r="F71" s="3"/>
      <c r="G71" s="3"/>
    </row>
    <row r="72" spans="1:7" ht="15" customHeight="1">
      <c r="A72" s="233" t="s">
        <v>86</v>
      </c>
      <c r="B72" s="233"/>
      <c r="C72" s="233"/>
      <c r="D72" s="233"/>
      <c r="E72" s="233"/>
      <c r="F72" s="233"/>
      <c r="G72" s="233"/>
    </row>
    <row r="73" spans="1:7" ht="15" customHeight="1">
      <c r="A73" s="7" t="s">
        <v>87</v>
      </c>
      <c r="B73" s="216" t="s">
        <v>88</v>
      </c>
      <c r="C73" s="216"/>
      <c r="D73" s="216"/>
      <c r="E73" s="216"/>
      <c r="F73" s="216"/>
      <c r="G73" s="7" t="s">
        <v>52</v>
      </c>
    </row>
    <row r="74" spans="1:7">
      <c r="A74" s="4" t="s">
        <v>18</v>
      </c>
      <c r="B74" s="227" t="s">
        <v>89</v>
      </c>
      <c r="C74" s="227"/>
      <c r="D74" s="227"/>
      <c r="E74" s="19" t="s">
        <v>90</v>
      </c>
      <c r="F74" s="11">
        <v>5.5</v>
      </c>
      <c r="G74" s="20">
        <f>ROUND($E$35,0)*2*F74</f>
        <v>231</v>
      </c>
    </row>
    <row r="75" spans="1:7">
      <c r="A75" s="21" t="s">
        <v>91</v>
      </c>
      <c r="B75" s="223" t="s">
        <v>92</v>
      </c>
      <c r="C75" s="223"/>
      <c r="D75" s="223"/>
      <c r="E75" s="223"/>
      <c r="F75" s="22">
        <v>-0.06</v>
      </c>
      <c r="G75" s="23">
        <f>ROUND($G$42*F75,2)</f>
        <v>-140.85</v>
      </c>
    </row>
    <row r="76" spans="1:7">
      <c r="A76" s="4" t="s">
        <v>20</v>
      </c>
      <c r="B76" s="228" t="s">
        <v>93</v>
      </c>
      <c r="C76" s="228"/>
      <c r="D76" s="228"/>
      <c r="E76" s="19" t="s">
        <v>90</v>
      </c>
      <c r="F76" s="11">
        <v>38.51</v>
      </c>
      <c r="G76" s="24">
        <f>ROUND($E$35,0)*F76</f>
        <v>808.70999999999992</v>
      </c>
    </row>
    <row r="77" spans="1:7">
      <c r="A77" s="21" t="s">
        <v>94</v>
      </c>
      <c r="B77" s="236" t="s">
        <v>95</v>
      </c>
      <c r="C77" s="236"/>
      <c r="D77" s="236"/>
      <c r="E77" s="236"/>
      <c r="F77" s="25">
        <v>-0.3</v>
      </c>
      <c r="G77" s="23">
        <f>ROUND($E$35,0)*F77</f>
        <v>-6.3</v>
      </c>
    </row>
    <row r="78" spans="1:7">
      <c r="A78" s="4" t="s">
        <v>23</v>
      </c>
      <c r="B78" s="234" t="s">
        <v>96</v>
      </c>
      <c r="C78" s="234"/>
      <c r="D78" s="234"/>
      <c r="E78" s="234"/>
      <c r="F78" s="234"/>
      <c r="G78" s="11">
        <v>0</v>
      </c>
    </row>
    <row r="79" spans="1:7">
      <c r="A79" s="4" t="s">
        <v>26</v>
      </c>
      <c r="B79" s="234" t="s">
        <v>97</v>
      </c>
      <c r="C79" s="234"/>
      <c r="D79" s="234"/>
      <c r="E79" s="234"/>
      <c r="F79" s="234"/>
      <c r="G79" s="11">
        <v>0</v>
      </c>
    </row>
    <row r="80" spans="1:7">
      <c r="A80" s="4" t="s">
        <v>28</v>
      </c>
      <c r="B80" s="234" t="s">
        <v>98</v>
      </c>
      <c r="C80" s="234"/>
      <c r="D80" s="234"/>
      <c r="E80" s="234"/>
      <c r="F80" s="234"/>
      <c r="G80" s="11">
        <v>0</v>
      </c>
    </row>
    <row r="81" spans="1:7">
      <c r="A81" s="4" t="s">
        <v>80</v>
      </c>
      <c r="B81" s="228" t="s">
        <v>99</v>
      </c>
      <c r="C81" s="228"/>
      <c r="D81" s="228"/>
      <c r="E81" s="228"/>
      <c r="F81" s="228"/>
      <c r="G81" s="11">
        <v>0</v>
      </c>
    </row>
    <row r="82" spans="1:7">
      <c r="A82" s="222" t="s">
        <v>100</v>
      </c>
      <c r="B82" s="222"/>
      <c r="C82" s="222"/>
      <c r="D82" s="222"/>
      <c r="E82" s="222"/>
      <c r="F82" s="222"/>
      <c r="G82" s="12">
        <f>ROUND(SUM(G74:G81),2)</f>
        <v>892.56</v>
      </c>
    </row>
    <row r="83" spans="1:7">
      <c r="A83" s="235" t="s">
        <v>101</v>
      </c>
      <c r="B83" s="235"/>
      <c r="C83" s="235"/>
      <c r="D83" s="235"/>
      <c r="E83" s="235"/>
      <c r="F83" s="235"/>
      <c r="G83" s="235"/>
    </row>
    <row r="84" spans="1:7" ht="30.75" customHeight="1">
      <c r="A84" s="219" t="s">
        <v>102</v>
      </c>
      <c r="B84" s="219"/>
      <c r="C84" s="219"/>
      <c r="D84" s="219"/>
      <c r="E84" s="219"/>
      <c r="F84" s="219"/>
      <c r="G84" s="219"/>
    </row>
    <row r="85" spans="1:7">
      <c r="A85" s="3"/>
      <c r="B85" s="3"/>
      <c r="C85" s="3"/>
      <c r="D85" s="3"/>
      <c r="E85" s="3"/>
      <c r="F85" s="3"/>
      <c r="G85" s="3"/>
    </row>
    <row r="86" spans="1:7">
      <c r="A86" s="215" t="s">
        <v>103</v>
      </c>
      <c r="B86" s="215"/>
      <c r="C86" s="215"/>
      <c r="D86" s="215"/>
      <c r="E86" s="215"/>
      <c r="F86" s="215"/>
      <c r="G86" s="215"/>
    </row>
    <row r="87" spans="1:7" ht="15" customHeight="1">
      <c r="A87" s="7">
        <v>2</v>
      </c>
      <c r="B87" s="216" t="s">
        <v>104</v>
      </c>
      <c r="C87" s="216"/>
      <c r="D87" s="216"/>
      <c r="E87" s="216"/>
      <c r="F87" s="216"/>
      <c r="G87" s="7" t="s">
        <v>52</v>
      </c>
    </row>
    <row r="88" spans="1:7">
      <c r="A88" s="26" t="s">
        <v>58</v>
      </c>
      <c r="B88" s="231" t="s">
        <v>59</v>
      </c>
      <c r="C88" s="231"/>
      <c r="D88" s="231"/>
      <c r="E88" s="231"/>
      <c r="F88" s="231"/>
      <c r="G88" s="27">
        <f>$G$51</f>
        <v>456.42</v>
      </c>
    </row>
    <row r="89" spans="1:7">
      <c r="A89" s="26" t="s">
        <v>69</v>
      </c>
      <c r="B89" s="231" t="s">
        <v>70</v>
      </c>
      <c r="C89" s="231"/>
      <c r="D89" s="231"/>
      <c r="E89" s="231"/>
      <c r="F89" s="231"/>
      <c r="G89" s="27">
        <f>$G$67</f>
        <v>998.74</v>
      </c>
    </row>
    <row r="90" spans="1:7">
      <c r="A90" s="26" t="s">
        <v>87</v>
      </c>
      <c r="B90" s="231" t="s">
        <v>88</v>
      </c>
      <c r="C90" s="231"/>
      <c r="D90" s="231"/>
      <c r="E90" s="231"/>
      <c r="F90" s="231"/>
      <c r="G90" s="27">
        <f>$G$82</f>
        <v>892.56</v>
      </c>
    </row>
    <row r="91" spans="1:7">
      <c r="A91" s="222" t="s">
        <v>105</v>
      </c>
      <c r="B91" s="222"/>
      <c r="C91" s="222"/>
      <c r="D91" s="222"/>
      <c r="E91" s="222"/>
      <c r="F91" s="222"/>
      <c r="G91" s="12">
        <f>ROUND(SUM(G88:G90),2)</f>
        <v>2347.7199999999998</v>
      </c>
    </row>
    <row r="92" spans="1:7">
      <c r="A92" s="3"/>
      <c r="B92" s="3"/>
      <c r="C92" s="3"/>
      <c r="D92" s="3"/>
      <c r="E92" s="3"/>
      <c r="F92" s="3"/>
      <c r="G92" s="3"/>
    </row>
    <row r="93" spans="1:7">
      <c r="A93" s="215" t="s">
        <v>106</v>
      </c>
      <c r="B93" s="215"/>
      <c r="C93" s="215"/>
      <c r="D93" s="215"/>
      <c r="E93" s="215"/>
      <c r="F93" s="215"/>
      <c r="G93" s="215"/>
    </row>
    <row r="94" spans="1:7" ht="15" customHeight="1">
      <c r="A94" s="7">
        <v>3</v>
      </c>
      <c r="B94" s="216" t="s">
        <v>107</v>
      </c>
      <c r="C94" s="216"/>
      <c r="D94" s="216"/>
      <c r="E94" s="216"/>
      <c r="F94" s="7" t="s">
        <v>60</v>
      </c>
      <c r="G94" s="7" t="s">
        <v>52</v>
      </c>
    </row>
    <row r="95" spans="1:7">
      <c r="A95" s="4" t="s">
        <v>18</v>
      </c>
      <c r="B95" s="228" t="s">
        <v>108</v>
      </c>
      <c r="C95" s="228"/>
      <c r="D95" s="228"/>
      <c r="E95" s="228"/>
      <c r="F95" s="13">
        <f>(1/12)*5.55%</f>
        <v>4.6249999999999998E-3</v>
      </c>
      <c r="G95" s="14">
        <f>ROUND($G$44*F95,2)</f>
        <v>10.86</v>
      </c>
    </row>
    <row r="96" spans="1:7">
      <c r="A96" s="4" t="s">
        <v>20</v>
      </c>
      <c r="B96" s="234" t="s">
        <v>109</v>
      </c>
      <c r="C96" s="234"/>
      <c r="D96" s="234"/>
      <c r="E96" s="234"/>
      <c r="F96" s="28">
        <f>$F$62</f>
        <v>0.08</v>
      </c>
      <c r="G96" s="14">
        <f>G95*F96</f>
        <v>0.86880000000000002</v>
      </c>
    </row>
    <row r="97" spans="1:7">
      <c r="A97" s="4" t="s">
        <v>23</v>
      </c>
      <c r="B97" s="229" t="s">
        <v>110</v>
      </c>
      <c r="C97" s="229"/>
      <c r="D97" s="229"/>
      <c r="E97" s="229"/>
      <c r="F97" s="13">
        <f>(7/30)/12</f>
        <v>1.9444444444444445E-2</v>
      </c>
      <c r="G97" s="14">
        <f>ROUND($G$44*F97,2)</f>
        <v>45.64</v>
      </c>
    </row>
    <row r="98" spans="1:7">
      <c r="A98" s="4" t="s">
        <v>26</v>
      </c>
      <c r="B98" s="234" t="s">
        <v>111</v>
      </c>
      <c r="C98" s="234"/>
      <c r="D98" s="234"/>
      <c r="E98" s="234"/>
      <c r="F98" s="28">
        <f>$F$67</f>
        <v>0.35620000000000002</v>
      </c>
      <c r="G98" s="14">
        <f>G97*F98</f>
        <v>16.256968000000001</v>
      </c>
    </row>
    <row r="99" spans="1:7">
      <c r="A99" s="4" t="s">
        <v>28</v>
      </c>
      <c r="B99" s="229" t="s">
        <v>112</v>
      </c>
      <c r="C99" s="229"/>
      <c r="D99" s="229"/>
      <c r="E99" s="229"/>
      <c r="F99" s="29">
        <v>0.04</v>
      </c>
      <c r="G99" s="14">
        <f>ROUND($G$44*F99,2)</f>
        <v>93.9</v>
      </c>
    </row>
    <row r="100" spans="1:7">
      <c r="A100" s="222" t="s">
        <v>113</v>
      </c>
      <c r="B100" s="222"/>
      <c r="C100" s="222"/>
      <c r="D100" s="222"/>
      <c r="E100" s="222"/>
      <c r="F100" s="222"/>
      <c r="G100" s="12">
        <f>ROUND(SUM(G95:G99),2)</f>
        <v>167.53</v>
      </c>
    </row>
    <row r="101" spans="1:7">
      <c r="A101" s="3"/>
      <c r="B101" s="3"/>
      <c r="C101" s="3"/>
      <c r="D101" s="3"/>
      <c r="E101" s="3"/>
      <c r="F101" s="3"/>
      <c r="G101" s="3"/>
    </row>
    <row r="102" spans="1:7">
      <c r="A102" s="215" t="s">
        <v>114</v>
      </c>
      <c r="B102" s="215"/>
      <c r="C102" s="215"/>
      <c r="D102" s="215"/>
      <c r="E102" s="215"/>
      <c r="F102" s="215"/>
      <c r="G102" s="215"/>
    </row>
    <row r="103" spans="1:7" ht="15" customHeight="1">
      <c r="A103" s="233" t="s">
        <v>115</v>
      </c>
      <c r="B103" s="233"/>
      <c r="C103" s="233"/>
      <c r="D103" s="233"/>
      <c r="E103" s="233"/>
      <c r="F103" s="233"/>
      <c r="G103" s="233"/>
    </row>
    <row r="104" spans="1:7" ht="15" customHeight="1">
      <c r="A104" s="7" t="s">
        <v>116</v>
      </c>
      <c r="B104" s="216" t="s">
        <v>117</v>
      </c>
      <c r="C104" s="216"/>
      <c r="D104" s="216"/>
      <c r="E104" s="216"/>
      <c r="F104" s="7" t="s">
        <v>60</v>
      </c>
      <c r="G104" s="7" t="s">
        <v>52</v>
      </c>
    </row>
    <row r="105" spans="1:7">
      <c r="A105" s="4" t="s">
        <v>18</v>
      </c>
      <c r="B105" s="234" t="s">
        <v>118</v>
      </c>
      <c r="C105" s="234"/>
      <c r="D105" s="234"/>
      <c r="E105" s="234"/>
      <c r="F105" s="13">
        <v>9.2999999999999992E-3</v>
      </c>
      <c r="G105" s="14">
        <f>ROUND($G$44*F105,2)</f>
        <v>21.83</v>
      </c>
    </row>
    <row r="106" spans="1:7" ht="15" customHeight="1">
      <c r="A106" s="4" t="s">
        <v>12</v>
      </c>
      <c r="B106" s="232" t="s">
        <v>119</v>
      </c>
      <c r="C106" s="232"/>
      <c r="D106" s="232"/>
      <c r="E106" s="232"/>
      <c r="F106" s="30">
        <f>$F$67</f>
        <v>0.35620000000000002</v>
      </c>
      <c r="G106" s="14">
        <f>ROUND(G105*F106,2)</f>
        <v>7.78</v>
      </c>
    </row>
    <row r="107" spans="1:7" ht="27.6" customHeight="1">
      <c r="A107" s="4" t="s">
        <v>20</v>
      </c>
      <c r="B107" s="229" t="s">
        <v>120</v>
      </c>
      <c r="C107" s="229"/>
      <c r="D107" s="229"/>
      <c r="E107" s="229"/>
      <c r="F107" s="31">
        <v>7.3000000000000001E-3</v>
      </c>
      <c r="G107" s="14">
        <f>ROUND($G$44*F107,2)</f>
        <v>17.14</v>
      </c>
    </row>
    <row r="108" spans="1:7">
      <c r="A108" s="4" t="s">
        <v>23</v>
      </c>
      <c r="B108" s="228" t="s">
        <v>121</v>
      </c>
      <c r="C108" s="228"/>
      <c r="D108" s="228"/>
      <c r="E108" s="228"/>
      <c r="F108" s="31">
        <v>8.1999999999999998E-4</v>
      </c>
      <c r="G108" s="14">
        <f>ROUND($G$44*F108,2)</f>
        <v>1.92</v>
      </c>
    </row>
    <row r="109" spans="1:7">
      <c r="A109" s="4" t="s">
        <v>26</v>
      </c>
      <c r="B109" s="229" t="s">
        <v>122</v>
      </c>
      <c r="C109" s="229"/>
      <c r="D109" s="229"/>
      <c r="E109" s="229"/>
      <c r="F109" s="31">
        <v>2.7000000000000001E-3</v>
      </c>
      <c r="G109" s="14">
        <f>ROUND($G$44*F109,2)</f>
        <v>6.34</v>
      </c>
    </row>
    <row r="110" spans="1:7">
      <c r="A110" s="4" t="s">
        <v>28</v>
      </c>
      <c r="B110" s="228" t="s">
        <v>123</v>
      </c>
      <c r="C110" s="228"/>
      <c r="D110" s="228"/>
      <c r="E110" s="228"/>
      <c r="F110" s="32">
        <v>5.5000000000000003E-4</v>
      </c>
      <c r="G110" s="14">
        <f>ROUND($G$44*F110,2)</f>
        <v>1.29</v>
      </c>
    </row>
    <row r="111" spans="1:7" ht="15" customHeight="1">
      <c r="A111" s="4" t="s">
        <v>80</v>
      </c>
      <c r="B111" s="232" t="s">
        <v>124</v>
      </c>
      <c r="C111" s="232"/>
      <c r="D111" s="232"/>
      <c r="E111" s="232"/>
      <c r="F111" s="31">
        <v>0</v>
      </c>
      <c r="G111" s="14">
        <f>ROUND($G$44*F111,2)</f>
        <v>0</v>
      </c>
    </row>
    <row r="112" spans="1:7">
      <c r="A112" s="222" t="s">
        <v>125</v>
      </c>
      <c r="B112" s="222"/>
      <c r="C112" s="222"/>
      <c r="D112" s="222"/>
      <c r="E112" s="222"/>
      <c r="F112" s="222"/>
      <c r="G112" s="12">
        <f>ROUND(SUM(G105:G111),2)</f>
        <v>56.3</v>
      </c>
    </row>
    <row r="113" spans="1:7" ht="33.6" customHeight="1">
      <c r="A113" s="219" t="s">
        <v>126</v>
      </c>
      <c r="B113" s="219"/>
      <c r="C113" s="219"/>
      <c r="D113" s="219"/>
      <c r="E113" s="219"/>
      <c r="F113" s="219"/>
      <c r="G113" s="219"/>
    </row>
    <row r="114" spans="1:7" ht="8.4" customHeight="1">
      <c r="A114" s="3"/>
      <c r="B114" s="3"/>
      <c r="C114" s="3"/>
      <c r="D114" s="3"/>
      <c r="E114" s="3"/>
      <c r="F114" s="3"/>
      <c r="G114" s="3"/>
    </row>
    <row r="115" spans="1:7" ht="15.75" customHeight="1">
      <c r="A115" s="233" t="s">
        <v>127</v>
      </c>
      <c r="B115" s="233"/>
      <c r="C115" s="233"/>
      <c r="D115" s="233"/>
      <c r="E115" s="233"/>
      <c r="F115" s="233"/>
      <c r="G115" s="233"/>
    </row>
    <row r="116" spans="1:7" ht="15" customHeight="1">
      <c r="A116" s="7" t="s">
        <v>128</v>
      </c>
      <c r="B116" s="216" t="s">
        <v>129</v>
      </c>
      <c r="C116" s="216"/>
      <c r="D116" s="216"/>
      <c r="E116" s="216"/>
      <c r="F116" s="7" t="s">
        <v>130</v>
      </c>
      <c r="G116" s="7" t="s">
        <v>52</v>
      </c>
    </row>
    <row r="117" spans="1:7">
      <c r="A117" s="4" t="s">
        <v>18</v>
      </c>
      <c r="B117" s="234" t="s">
        <v>131</v>
      </c>
      <c r="C117" s="234"/>
      <c r="D117" s="234"/>
      <c r="E117" s="234"/>
      <c r="F117" s="33">
        <v>0</v>
      </c>
      <c r="G117" s="14">
        <f>ROUND(F117*$E$35,2)</f>
        <v>0</v>
      </c>
    </row>
    <row r="118" spans="1:7">
      <c r="A118" s="222" t="s">
        <v>132</v>
      </c>
      <c r="B118" s="222"/>
      <c r="C118" s="222"/>
      <c r="D118" s="222"/>
      <c r="E118" s="222"/>
      <c r="F118" s="222"/>
      <c r="G118" s="12">
        <f>ROUND(SUM(G117),2)</f>
        <v>0</v>
      </c>
    </row>
    <row r="119" spans="1:7" ht="26.4" customHeight="1">
      <c r="A119" s="219" t="s">
        <v>133</v>
      </c>
      <c r="B119" s="219"/>
      <c r="C119" s="219"/>
      <c r="D119" s="219"/>
      <c r="E119" s="219"/>
      <c r="F119" s="219"/>
      <c r="G119" s="219"/>
    </row>
    <row r="120" spans="1:7" ht="6" customHeight="1">
      <c r="A120" s="3"/>
      <c r="B120" s="3"/>
      <c r="C120" s="3"/>
      <c r="D120" s="3"/>
      <c r="E120" s="3"/>
      <c r="F120" s="3"/>
      <c r="G120" s="3"/>
    </row>
    <row r="121" spans="1:7">
      <c r="A121" s="215" t="s">
        <v>134</v>
      </c>
      <c r="B121" s="215"/>
      <c r="C121" s="215"/>
      <c r="D121" s="215"/>
      <c r="E121" s="215"/>
      <c r="F121" s="215"/>
      <c r="G121" s="215"/>
    </row>
    <row r="122" spans="1:7" ht="15" customHeight="1">
      <c r="A122" s="7">
        <v>4</v>
      </c>
      <c r="B122" s="216" t="s">
        <v>104</v>
      </c>
      <c r="C122" s="216"/>
      <c r="D122" s="216"/>
      <c r="E122" s="216"/>
      <c r="F122" s="7" t="s">
        <v>60</v>
      </c>
      <c r="G122" s="7" t="s">
        <v>52</v>
      </c>
    </row>
    <row r="123" spans="1:7">
      <c r="A123" s="26" t="s">
        <v>116</v>
      </c>
      <c r="B123" s="231" t="s">
        <v>135</v>
      </c>
      <c r="C123" s="231"/>
      <c r="D123" s="231"/>
      <c r="E123" s="231"/>
      <c r="F123" s="34" t="s">
        <v>12</v>
      </c>
      <c r="G123" s="27">
        <f>$G$112</f>
        <v>56.3</v>
      </c>
    </row>
    <row r="124" spans="1:7">
      <c r="A124" s="26" t="s">
        <v>128</v>
      </c>
      <c r="B124" s="231" t="s">
        <v>136</v>
      </c>
      <c r="C124" s="231"/>
      <c r="D124" s="231"/>
      <c r="E124" s="231"/>
      <c r="F124" s="34" t="s">
        <v>12</v>
      </c>
      <c r="G124" s="27">
        <f>$G$118</f>
        <v>0</v>
      </c>
    </row>
    <row r="125" spans="1:7">
      <c r="A125" s="222" t="s">
        <v>137</v>
      </c>
      <c r="B125" s="222"/>
      <c r="C125" s="222"/>
      <c r="D125" s="222"/>
      <c r="E125" s="222"/>
      <c r="F125" s="222"/>
      <c r="G125" s="12">
        <f>ROUND(SUM(G123:G124),2)</f>
        <v>56.3</v>
      </c>
    </row>
    <row r="126" spans="1:7">
      <c r="A126" s="3"/>
      <c r="B126" s="3"/>
      <c r="C126" s="3"/>
      <c r="D126" s="3"/>
      <c r="E126" s="3"/>
      <c r="F126" s="3"/>
      <c r="G126" s="3"/>
    </row>
    <row r="127" spans="1:7">
      <c r="A127" s="215" t="s">
        <v>138</v>
      </c>
      <c r="B127" s="215"/>
      <c r="C127" s="215"/>
      <c r="D127" s="215"/>
      <c r="E127" s="215"/>
      <c r="F127" s="215"/>
      <c r="G127" s="215"/>
    </row>
    <row r="128" spans="1:7" ht="15" customHeight="1">
      <c r="A128" s="7">
        <v>5</v>
      </c>
      <c r="B128" s="216" t="s">
        <v>139</v>
      </c>
      <c r="C128" s="216"/>
      <c r="D128" s="216"/>
      <c r="E128" s="216"/>
      <c r="F128" s="216"/>
      <c r="G128" s="7" t="s">
        <v>52</v>
      </c>
    </row>
    <row r="129" spans="1:7">
      <c r="A129" s="4" t="s">
        <v>18</v>
      </c>
      <c r="B129" s="227" t="s">
        <v>140</v>
      </c>
      <c r="C129" s="227"/>
      <c r="D129" s="227"/>
      <c r="E129" s="227"/>
      <c r="F129" s="227"/>
      <c r="G129" s="11">
        <f>Insumos!G38</f>
        <v>47.833333333333336</v>
      </c>
    </row>
    <row r="130" spans="1:7">
      <c r="A130" s="4" t="s">
        <v>20</v>
      </c>
      <c r="B130" s="228" t="s">
        <v>141</v>
      </c>
      <c r="C130" s="228"/>
      <c r="D130" s="228"/>
      <c r="E130" s="228"/>
      <c r="F130" s="228"/>
      <c r="G130" s="11"/>
    </row>
    <row r="131" spans="1:7">
      <c r="A131" s="4" t="s">
        <v>28</v>
      </c>
      <c r="B131" s="229" t="s">
        <v>54</v>
      </c>
      <c r="C131" s="229"/>
      <c r="D131" s="229"/>
      <c r="E131" s="229"/>
      <c r="F131" s="229"/>
      <c r="G131" s="11">
        <v>0</v>
      </c>
    </row>
    <row r="132" spans="1:7">
      <c r="A132" s="222" t="s">
        <v>142</v>
      </c>
      <c r="B132" s="222"/>
      <c r="C132" s="222"/>
      <c r="D132" s="222"/>
      <c r="E132" s="222"/>
      <c r="F132" s="222"/>
      <c r="G132" s="12">
        <f>ROUND(SUM(G129:G131),2)</f>
        <v>47.83</v>
      </c>
    </row>
    <row r="133" spans="1:7" ht="15" customHeight="1">
      <c r="A133" s="219" t="s">
        <v>143</v>
      </c>
      <c r="B133" s="219"/>
      <c r="C133" s="219"/>
      <c r="D133" s="219"/>
      <c r="E133" s="219"/>
      <c r="F133" s="219"/>
      <c r="G133" s="219"/>
    </row>
    <row r="134" spans="1:7">
      <c r="A134" s="3"/>
      <c r="B134" s="3"/>
      <c r="C134" s="3"/>
      <c r="D134" s="3"/>
      <c r="E134" s="3"/>
      <c r="F134" s="3"/>
      <c r="G134" s="3"/>
    </row>
    <row r="135" spans="1:7">
      <c r="A135" s="215" t="s">
        <v>144</v>
      </c>
      <c r="B135" s="215"/>
      <c r="C135" s="215"/>
      <c r="D135" s="215"/>
      <c r="E135" s="215"/>
      <c r="F135" s="215"/>
      <c r="G135" s="215"/>
    </row>
    <row r="136" spans="1:7" ht="15" customHeight="1">
      <c r="A136" s="7">
        <v>6</v>
      </c>
      <c r="B136" s="216" t="s">
        <v>145</v>
      </c>
      <c r="C136" s="216"/>
      <c r="D136" s="216"/>
      <c r="E136" s="216"/>
      <c r="F136" s="216"/>
      <c r="G136" s="7" t="s">
        <v>52</v>
      </c>
    </row>
    <row r="137" spans="1:7">
      <c r="A137" s="35" t="s">
        <v>18</v>
      </c>
      <c r="B137" s="230" t="s">
        <v>146</v>
      </c>
      <c r="C137" s="230"/>
      <c r="D137" s="230"/>
      <c r="E137" s="230"/>
      <c r="F137" s="36">
        <v>6.0000000000000001E-3</v>
      </c>
      <c r="G137" s="37">
        <f>ROUND($G$155*F137,2)</f>
        <v>29.8</v>
      </c>
    </row>
    <row r="138" spans="1:7">
      <c r="A138" s="35" t="s">
        <v>20</v>
      </c>
      <c r="B138" s="230" t="s">
        <v>147</v>
      </c>
      <c r="C138" s="230"/>
      <c r="D138" s="230"/>
      <c r="E138" s="230"/>
      <c r="F138" s="36">
        <v>6.4999999999999997E-3</v>
      </c>
      <c r="G138" s="37">
        <f>ROUND(($G$155+$G$137)*F138,2)</f>
        <v>32.479999999999997</v>
      </c>
    </row>
    <row r="139" spans="1:7">
      <c r="A139" s="4" t="s">
        <v>148</v>
      </c>
      <c r="B139" s="223" t="s">
        <v>338</v>
      </c>
      <c r="C139" s="223"/>
      <c r="D139" s="223"/>
      <c r="E139" s="223"/>
      <c r="F139" s="38">
        <f>(0.24+1.08)/100</f>
        <v>1.32E-2</v>
      </c>
      <c r="G139" s="39">
        <f>ROUND($G$157*F139,2)</f>
        <v>70.86</v>
      </c>
    </row>
    <row r="140" spans="1:7">
      <c r="A140" s="4" t="s">
        <v>149</v>
      </c>
      <c r="B140" s="224" t="s">
        <v>150</v>
      </c>
      <c r="C140" s="224"/>
      <c r="D140" s="224"/>
      <c r="E140" s="224"/>
      <c r="F140" s="38">
        <v>0</v>
      </c>
      <c r="G140" s="39">
        <f>ROUND($G$157*F140,2)</f>
        <v>0</v>
      </c>
    </row>
    <row r="141" spans="1:7">
      <c r="A141" s="4" t="s">
        <v>151</v>
      </c>
      <c r="B141" s="223" t="s">
        <v>152</v>
      </c>
      <c r="C141" s="223"/>
      <c r="D141" s="223"/>
      <c r="E141" s="223"/>
      <c r="F141" s="38">
        <v>0.05</v>
      </c>
      <c r="G141" s="39">
        <f>ROUND($G$157*F141,2)</f>
        <v>268.42</v>
      </c>
    </row>
    <row r="142" spans="1:7">
      <c r="A142" s="4" t="s">
        <v>153</v>
      </c>
      <c r="B142" s="225" t="s">
        <v>154</v>
      </c>
      <c r="C142" s="225"/>
      <c r="D142" s="225"/>
      <c r="E142" s="225"/>
      <c r="F142" s="38">
        <v>0</v>
      </c>
      <c r="G142" s="39">
        <f>ROUND($G$157*F142,2)</f>
        <v>0</v>
      </c>
    </row>
    <row r="143" spans="1:7">
      <c r="A143" s="35" t="s">
        <v>23</v>
      </c>
      <c r="B143" s="226" t="s">
        <v>155</v>
      </c>
      <c r="C143" s="226"/>
      <c r="D143" s="226"/>
      <c r="E143" s="226"/>
      <c r="F143" s="40">
        <f>SUM(F139:F142)</f>
        <v>6.3200000000000006E-2</v>
      </c>
      <c r="G143" s="37">
        <f>ROUND(SUM(G139:G142),2)</f>
        <v>339.28</v>
      </c>
    </row>
    <row r="144" spans="1:7">
      <c r="A144" s="221" t="s">
        <v>156</v>
      </c>
      <c r="B144" s="221"/>
      <c r="C144" s="221"/>
      <c r="D144" s="221"/>
      <c r="E144" s="221"/>
      <c r="F144" s="17">
        <f>(1+F137)*(1+F138)/(1-F143)-1</f>
        <v>8.0848633646456003E-2</v>
      </c>
      <c r="G144" s="12">
        <f>ROUND(SUM(G137,G138,G143),2)</f>
        <v>401.56</v>
      </c>
    </row>
    <row r="145" spans="1:7" ht="15" customHeight="1">
      <c r="A145" s="219" t="s">
        <v>157</v>
      </c>
      <c r="B145" s="219"/>
      <c r="C145" s="219"/>
      <c r="D145" s="219"/>
      <c r="E145" s="219"/>
      <c r="F145" s="219"/>
      <c r="G145" s="219"/>
    </row>
    <row r="146" spans="1:7" ht="15" customHeight="1">
      <c r="A146" s="219" t="s">
        <v>158</v>
      </c>
      <c r="B146" s="219"/>
      <c r="C146" s="219"/>
      <c r="D146" s="219"/>
      <c r="E146" s="219"/>
      <c r="F146" s="219"/>
      <c r="G146" s="219"/>
    </row>
    <row r="147" spans="1:7">
      <c r="A147" s="3"/>
      <c r="B147" s="3"/>
      <c r="C147" s="3"/>
      <c r="D147" s="3"/>
      <c r="E147" s="3"/>
      <c r="F147" s="3"/>
      <c r="G147" s="3"/>
    </row>
    <row r="148" spans="1:7">
      <c r="A148" s="215" t="s">
        <v>159</v>
      </c>
      <c r="B148" s="215"/>
      <c r="C148" s="215"/>
      <c r="D148" s="215"/>
      <c r="E148" s="215"/>
      <c r="F148" s="215"/>
      <c r="G148" s="215"/>
    </row>
    <row r="149" spans="1:7" ht="15" customHeight="1">
      <c r="A149" s="7"/>
      <c r="B149" s="216" t="s">
        <v>160</v>
      </c>
      <c r="C149" s="216"/>
      <c r="D149" s="216"/>
      <c r="E149" s="216"/>
      <c r="F149" s="216"/>
      <c r="G149" s="7" t="s">
        <v>52</v>
      </c>
    </row>
    <row r="150" spans="1:7">
      <c r="A150" s="41" t="s">
        <v>18</v>
      </c>
      <c r="B150" s="217" t="s">
        <v>161</v>
      </c>
      <c r="C150" s="217"/>
      <c r="D150" s="217"/>
      <c r="E150" s="217"/>
      <c r="F150" s="217"/>
      <c r="G150" s="43">
        <f>$G$44</f>
        <v>2347.4499999999998</v>
      </c>
    </row>
    <row r="151" spans="1:7">
      <c r="A151" s="41" t="s">
        <v>20</v>
      </c>
      <c r="B151" s="217" t="s">
        <v>162</v>
      </c>
      <c r="C151" s="217"/>
      <c r="D151" s="217"/>
      <c r="E151" s="217"/>
      <c r="F151" s="217"/>
      <c r="G151" s="43">
        <f>$G$91</f>
        <v>2347.7199999999998</v>
      </c>
    </row>
    <row r="152" spans="1:7">
      <c r="A152" s="41" t="s">
        <v>23</v>
      </c>
      <c r="B152" s="217" t="s">
        <v>163</v>
      </c>
      <c r="C152" s="217"/>
      <c r="D152" s="217"/>
      <c r="E152" s="217"/>
      <c r="F152" s="217"/>
      <c r="G152" s="43">
        <f>$G$100</f>
        <v>167.53</v>
      </c>
    </row>
    <row r="153" spans="1:7">
      <c r="A153" s="41" t="s">
        <v>26</v>
      </c>
      <c r="B153" s="217" t="s">
        <v>164</v>
      </c>
      <c r="C153" s="217"/>
      <c r="D153" s="217"/>
      <c r="E153" s="217"/>
      <c r="F153" s="217"/>
      <c r="G153" s="43">
        <f>$G$125</f>
        <v>56.3</v>
      </c>
    </row>
    <row r="154" spans="1:7">
      <c r="A154" s="41" t="s">
        <v>28</v>
      </c>
      <c r="B154" s="217" t="s">
        <v>165</v>
      </c>
      <c r="C154" s="217"/>
      <c r="D154" s="217"/>
      <c r="E154" s="217"/>
      <c r="F154" s="217"/>
      <c r="G154" s="43">
        <f>$G$132</f>
        <v>47.83</v>
      </c>
    </row>
    <row r="155" spans="1:7">
      <c r="A155" s="221" t="s">
        <v>166</v>
      </c>
      <c r="B155" s="221"/>
      <c r="C155" s="221"/>
      <c r="D155" s="221"/>
      <c r="E155" s="221"/>
      <c r="F155" s="221"/>
      <c r="G155" s="27">
        <f>ROUND(SUM(G150:G154),2)</f>
        <v>4966.83</v>
      </c>
    </row>
    <row r="156" spans="1:7">
      <c r="A156" s="41" t="s">
        <v>80</v>
      </c>
      <c r="B156" s="217" t="s">
        <v>167</v>
      </c>
      <c r="C156" s="217"/>
      <c r="D156" s="217"/>
      <c r="E156" s="217"/>
      <c r="F156" s="217"/>
      <c r="G156" s="43">
        <f>G144</f>
        <v>401.56</v>
      </c>
    </row>
    <row r="157" spans="1:7">
      <c r="A157" s="222" t="s">
        <v>168</v>
      </c>
      <c r="B157" s="222"/>
      <c r="C157" s="222"/>
      <c r="D157" s="222"/>
      <c r="E157" s="222"/>
      <c r="F157" s="222"/>
      <c r="G157" s="12">
        <f>ROUND((G155+G137+G138)/(1-F143),2)</f>
        <v>5368.39</v>
      </c>
    </row>
    <row r="158" spans="1:7">
      <c r="A158" s="3"/>
      <c r="B158" s="3"/>
      <c r="C158" s="3"/>
      <c r="D158" s="3"/>
      <c r="E158" s="3"/>
      <c r="F158" s="3"/>
      <c r="G158" s="3"/>
    </row>
    <row r="159" spans="1:7">
      <c r="A159" s="215" t="s">
        <v>169</v>
      </c>
      <c r="B159" s="215"/>
      <c r="C159" s="215"/>
      <c r="D159" s="215"/>
      <c r="E159" s="215"/>
      <c r="F159" s="215"/>
      <c r="G159" s="215"/>
    </row>
    <row r="160" spans="1:7" ht="15" customHeight="1">
      <c r="A160" s="7"/>
      <c r="B160" s="216" t="s">
        <v>170</v>
      </c>
      <c r="C160" s="216"/>
      <c r="D160" s="216"/>
      <c r="E160" s="216"/>
      <c r="F160" s="216"/>
      <c r="G160" s="7" t="s">
        <v>52</v>
      </c>
    </row>
    <row r="161" spans="1:7">
      <c r="A161" s="41" t="s">
        <v>18</v>
      </c>
      <c r="B161" s="217" t="s">
        <v>171</v>
      </c>
      <c r="C161" s="217"/>
      <c r="D161" s="217"/>
      <c r="E161" s="217"/>
      <c r="F161" s="217"/>
      <c r="G161" s="12">
        <f>G157</f>
        <v>5368.39</v>
      </c>
    </row>
    <row r="162" spans="1:7">
      <c r="A162" s="41" t="s">
        <v>20</v>
      </c>
      <c r="B162" s="217" t="s">
        <v>172</v>
      </c>
      <c r="C162" s="217"/>
      <c r="D162" s="217"/>
      <c r="E162" s="217"/>
      <c r="F162" s="217"/>
      <c r="G162" s="12">
        <f>ROUND($G$161/$E$35,2)</f>
        <v>255.52</v>
      </c>
    </row>
    <row r="163" spans="1:7">
      <c r="A163" s="41" t="s">
        <v>23</v>
      </c>
      <c r="B163" s="217" t="s">
        <v>173</v>
      </c>
      <c r="C163" s="217"/>
      <c r="D163" s="217"/>
      <c r="E163" s="44">
        <f>$F$24</f>
        <v>2</v>
      </c>
      <c r="F163" s="42" t="s">
        <v>174</v>
      </c>
      <c r="G163" s="12">
        <f>ROUND($G$161*E163,2)</f>
        <v>10736.78</v>
      </c>
    </row>
    <row r="164" spans="1:7">
      <c r="A164" s="41" t="s">
        <v>26</v>
      </c>
      <c r="B164" s="218" t="s">
        <v>175</v>
      </c>
      <c r="C164" s="218"/>
      <c r="D164" s="218"/>
      <c r="E164" s="44">
        <f>F19</f>
        <v>12</v>
      </c>
      <c r="F164" s="42" t="s">
        <v>176</v>
      </c>
      <c r="G164" s="12">
        <f>ROUND(G163*E164,2)</f>
        <v>128841.36</v>
      </c>
    </row>
    <row r="165" spans="1:7" ht="15" customHeight="1">
      <c r="A165" s="219" t="s">
        <v>177</v>
      </c>
      <c r="B165" s="219"/>
      <c r="C165" s="219"/>
      <c r="D165" s="219"/>
      <c r="E165" s="219"/>
      <c r="F165" s="219"/>
      <c r="G165" s="219"/>
    </row>
    <row r="166" spans="1:7" ht="15" customHeight="1">
      <c r="A166" s="132"/>
      <c r="B166" s="132"/>
      <c r="C166" s="132"/>
      <c r="D166" s="132"/>
      <c r="E166" s="132"/>
      <c r="F166" s="132"/>
      <c r="G166" s="132"/>
    </row>
    <row r="167" spans="1:7" ht="15" customHeight="1">
      <c r="A167" s="132"/>
      <c r="B167" s="132"/>
      <c r="C167" s="132"/>
      <c r="D167" s="132"/>
      <c r="E167" s="132"/>
      <c r="F167" s="132"/>
      <c r="G167" s="132"/>
    </row>
    <row r="168" spans="1:7" ht="15" customHeight="1">
      <c r="A168" s="132"/>
      <c r="B168" s="132"/>
      <c r="C168" s="132"/>
      <c r="D168" s="132"/>
      <c r="E168" s="132"/>
      <c r="F168" s="132"/>
      <c r="G168" s="132"/>
    </row>
    <row r="169" spans="1:7">
      <c r="A169" s="3"/>
      <c r="B169" s="3"/>
      <c r="C169" s="3"/>
      <c r="D169" s="3"/>
      <c r="E169" s="3"/>
      <c r="F169" s="3"/>
      <c r="G169" s="3"/>
    </row>
    <row r="170" spans="1:7">
      <c r="A170" s="3"/>
      <c r="B170" s="3"/>
      <c r="C170" s="3"/>
      <c r="D170" s="3"/>
      <c r="E170" s="3"/>
      <c r="F170" s="3"/>
      <c r="G170" s="3"/>
    </row>
    <row r="171" spans="1:7">
      <c r="A171" s="2"/>
      <c r="B171" s="2"/>
      <c r="C171" s="45"/>
      <c r="D171" s="45"/>
      <c r="E171" s="45"/>
      <c r="F171" s="2"/>
      <c r="G171" s="2"/>
    </row>
    <row r="172" spans="1:7">
      <c r="A172" s="2"/>
      <c r="B172" s="2"/>
      <c r="C172" s="220" t="s">
        <v>337</v>
      </c>
      <c r="D172" s="220"/>
      <c r="E172" s="220"/>
      <c r="F172" s="2"/>
      <c r="G172" s="2"/>
    </row>
    <row r="173" spans="1:7">
      <c r="A173" s="2"/>
      <c r="B173" s="2"/>
      <c r="C173" s="220" t="s">
        <v>336</v>
      </c>
      <c r="D173" s="220"/>
      <c r="E173" s="220"/>
      <c r="F173" s="2"/>
      <c r="G173" s="2"/>
    </row>
    <row r="174" spans="1:7" hidden="1">
      <c r="A174" s="46"/>
      <c r="B174" s="46"/>
      <c r="C174" s="46"/>
      <c r="D174" s="46"/>
      <c r="E174" s="46"/>
      <c r="F174" s="46"/>
      <c r="G174" s="46"/>
    </row>
    <row r="175" spans="1:7" hidden="1">
      <c r="A175" s="46"/>
      <c r="B175" s="46"/>
      <c r="C175" s="46"/>
      <c r="D175" s="46"/>
      <c r="E175" s="46"/>
      <c r="F175" s="46"/>
      <c r="G175" s="46"/>
    </row>
    <row r="176" spans="1:7" hidden="1">
      <c r="A176" s="46"/>
      <c r="B176" s="46"/>
      <c r="C176" s="46"/>
      <c r="D176" s="46"/>
      <c r="E176" s="46"/>
      <c r="F176" s="46"/>
      <c r="G176" s="46"/>
    </row>
    <row r="177" spans="1:7" hidden="1">
      <c r="A177" s="46"/>
      <c r="B177" s="46"/>
      <c r="C177" s="46"/>
      <c r="D177" s="46"/>
      <c r="E177" s="46"/>
      <c r="F177" s="46"/>
      <c r="G177" s="46"/>
    </row>
    <row r="178" spans="1:7" hidden="1">
      <c r="A178" s="46"/>
      <c r="B178" s="46"/>
      <c r="C178" s="46"/>
      <c r="D178" s="46"/>
      <c r="E178" s="46"/>
      <c r="F178" s="46"/>
      <c r="G178" s="46"/>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2" zoomScaleNormal="100" zoomScaleSheetLayoutView="100" workbookViewId="0">
      <selection activeCell="A174" sqref="A1:G174"/>
    </sheetView>
  </sheetViews>
  <sheetFormatPr defaultColWidth="14.44140625" defaultRowHeight="14.4" zeroHeight="1"/>
  <cols>
    <col min="1" max="1" width="8.6640625" style="47" customWidth="1"/>
    <col min="2" max="4" width="18" style="47" customWidth="1"/>
    <col min="5" max="5" width="35.5546875" style="47" customWidth="1"/>
    <col min="6" max="7" width="14.44140625" style="47"/>
    <col min="8" max="12" width="14.44140625" style="1"/>
    <col min="13" max="1024" width="14.44140625" style="1" hidden="1"/>
  </cols>
  <sheetData>
    <row r="1" spans="1:7" ht="60" customHeight="1">
      <c r="A1" s="257" t="s">
        <v>11</v>
      </c>
      <c r="B1" s="257"/>
      <c r="C1" s="257"/>
      <c r="D1" s="257"/>
      <c r="E1" s="257"/>
      <c r="F1" s="257"/>
      <c r="G1" s="257"/>
    </row>
    <row r="2" spans="1:7" ht="45">
      <c r="A2" s="303"/>
      <c r="B2" s="303"/>
      <c r="C2" s="303"/>
      <c r="D2" s="303"/>
      <c r="E2" s="303"/>
      <c r="F2" s="303"/>
      <c r="G2" s="303"/>
    </row>
    <row r="3" spans="1:7">
      <c r="A3" s="304" t="s">
        <v>314</v>
      </c>
      <c r="B3" s="304"/>
      <c r="C3" s="304"/>
      <c r="D3" s="304"/>
      <c r="E3" s="304"/>
      <c r="F3" s="304"/>
      <c r="G3" s="304"/>
    </row>
    <row r="4" spans="1:7">
      <c r="A4" s="304" t="s">
        <v>321</v>
      </c>
      <c r="B4" s="304"/>
      <c r="C4" s="304"/>
      <c r="D4" s="304"/>
      <c r="E4" s="304"/>
      <c r="F4" s="304"/>
      <c r="G4" s="304"/>
    </row>
    <row r="5" spans="1:7">
      <c r="A5" s="304" t="s">
        <v>322</v>
      </c>
      <c r="B5" s="304"/>
      <c r="C5" s="304"/>
      <c r="D5" s="304"/>
      <c r="E5" s="304"/>
      <c r="F5" s="304"/>
      <c r="G5" s="304"/>
    </row>
    <row r="6" spans="1:7">
      <c r="A6" s="304" t="s">
        <v>323</v>
      </c>
      <c r="B6" s="304"/>
      <c r="C6" s="304"/>
      <c r="D6" s="304"/>
      <c r="E6" s="304"/>
      <c r="F6" s="304"/>
      <c r="G6" s="304"/>
    </row>
    <row r="7" spans="1:7">
      <c r="A7" s="169"/>
      <c r="B7" s="169"/>
      <c r="C7" s="169"/>
      <c r="D7" s="169"/>
      <c r="E7" s="169"/>
      <c r="F7" s="169"/>
      <c r="G7" s="169"/>
    </row>
    <row r="8" spans="1:7">
      <c r="A8" s="305" t="s">
        <v>334</v>
      </c>
      <c r="B8" s="305"/>
      <c r="C8" s="305"/>
      <c r="D8" s="305"/>
      <c r="E8" s="305"/>
      <c r="F8" s="305"/>
      <c r="G8" s="305"/>
    </row>
    <row r="9" spans="1:7">
      <c r="A9" s="170"/>
      <c r="B9" s="170"/>
      <c r="C9" s="170"/>
      <c r="D9" s="170"/>
      <c r="E9" s="170"/>
      <c r="F9" s="170"/>
      <c r="G9" s="170"/>
    </row>
    <row r="10" spans="1:7" ht="15" customHeight="1">
      <c r="A10" s="306" t="s">
        <v>0</v>
      </c>
      <c r="B10" s="306"/>
      <c r="C10" s="306"/>
      <c r="D10" s="306"/>
      <c r="E10" s="306"/>
      <c r="F10" s="306"/>
      <c r="G10" s="306"/>
    </row>
    <row r="11" spans="1:7">
      <c r="A11" s="171" t="s">
        <v>12</v>
      </c>
      <c r="B11" s="173" t="s">
        <v>13</v>
      </c>
      <c r="C11" s="299" t="s">
        <v>14</v>
      </c>
      <c r="D11" s="299"/>
      <c r="E11" s="299"/>
      <c r="F11" s="299"/>
      <c r="G11" s="299"/>
    </row>
    <row r="12" spans="1:7">
      <c r="A12" s="171" t="s">
        <v>12</v>
      </c>
      <c r="B12" s="173" t="s">
        <v>15</v>
      </c>
      <c r="C12" s="298" t="s">
        <v>324</v>
      </c>
      <c r="D12" s="298"/>
      <c r="E12" s="298"/>
      <c r="F12" s="298"/>
      <c r="G12" s="298"/>
    </row>
    <row r="13" spans="1:7">
      <c r="A13" s="171" t="s">
        <v>12</v>
      </c>
      <c r="B13" s="173" t="s">
        <v>16</v>
      </c>
      <c r="C13" s="299" t="s">
        <v>325</v>
      </c>
      <c r="D13" s="299"/>
      <c r="E13" s="299"/>
      <c r="F13" s="299"/>
      <c r="G13" s="299"/>
    </row>
    <row r="14" spans="1:7">
      <c r="A14" s="170"/>
      <c r="B14" s="170"/>
      <c r="C14" s="170"/>
      <c r="D14" s="170"/>
      <c r="E14" s="170"/>
      <c r="F14" s="170"/>
      <c r="G14" s="170"/>
    </row>
    <row r="15" spans="1:7" ht="15" customHeight="1">
      <c r="A15" s="292" t="s">
        <v>17</v>
      </c>
      <c r="B15" s="292"/>
      <c r="C15" s="292"/>
      <c r="D15" s="292"/>
      <c r="E15" s="292"/>
      <c r="F15" s="292"/>
      <c r="G15" s="292"/>
    </row>
    <row r="16" spans="1:7">
      <c r="A16" s="171" t="s">
        <v>18</v>
      </c>
      <c r="B16" s="278" t="s">
        <v>19</v>
      </c>
      <c r="C16" s="278"/>
      <c r="D16" s="278"/>
      <c r="E16" s="278"/>
      <c r="F16" s="300">
        <v>44470</v>
      </c>
      <c r="G16" s="301"/>
    </row>
    <row r="17" spans="1:7" ht="15" customHeight="1">
      <c r="A17" s="171" t="s">
        <v>20</v>
      </c>
      <c r="B17" s="278" t="s">
        <v>21</v>
      </c>
      <c r="C17" s="278"/>
      <c r="D17" s="278"/>
      <c r="E17" s="278"/>
      <c r="F17" s="302" t="s">
        <v>22</v>
      </c>
      <c r="G17" s="302"/>
    </row>
    <row r="18" spans="1:7">
      <c r="A18" s="171" t="s">
        <v>23</v>
      </c>
      <c r="B18" s="278" t="s">
        <v>24</v>
      </c>
      <c r="C18" s="278"/>
      <c r="D18" s="278"/>
      <c r="E18" s="278"/>
      <c r="F18" s="301" t="s">
        <v>25</v>
      </c>
      <c r="G18" s="301"/>
    </row>
    <row r="19" spans="1:7">
      <c r="A19" s="171" t="s">
        <v>26</v>
      </c>
      <c r="B19" s="278" t="s">
        <v>27</v>
      </c>
      <c r="C19" s="278"/>
      <c r="D19" s="278"/>
      <c r="E19" s="278"/>
      <c r="F19" s="295">
        <v>12</v>
      </c>
      <c r="G19" s="295"/>
    </row>
    <row r="20" spans="1:7">
      <c r="A20" s="174" t="s">
        <v>28</v>
      </c>
      <c r="B20" s="296" t="s">
        <v>29</v>
      </c>
      <c r="C20" s="296"/>
      <c r="D20" s="296"/>
      <c r="E20" s="296"/>
      <c r="F20" s="295" t="s">
        <v>326</v>
      </c>
      <c r="G20" s="295"/>
    </row>
    <row r="21" spans="1:7">
      <c r="A21" s="170"/>
      <c r="B21" s="170"/>
      <c r="C21" s="170"/>
      <c r="D21" s="170"/>
      <c r="E21" s="170"/>
      <c r="F21" s="170"/>
      <c r="G21" s="170"/>
    </row>
    <row r="22" spans="1:7" ht="15" customHeight="1">
      <c r="A22" s="292" t="s">
        <v>30</v>
      </c>
      <c r="B22" s="292"/>
      <c r="C22" s="292"/>
      <c r="D22" s="292"/>
      <c r="E22" s="292"/>
      <c r="F22" s="292"/>
      <c r="G22" s="292"/>
    </row>
    <row r="23" spans="1:7" ht="19.5" customHeight="1">
      <c r="A23" s="266" t="s">
        <v>31</v>
      </c>
      <c r="B23" s="266"/>
      <c r="C23" s="266"/>
      <c r="D23" s="266"/>
      <c r="E23" s="175" t="s">
        <v>32</v>
      </c>
      <c r="F23" s="266" t="s">
        <v>33</v>
      </c>
      <c r="G23" s="266"/>
    </row>
    <row r="24" spans="1:7">
      <c r="A24" s="297" t="str">
        <f>Geral!B3</f>
        <v>Motorista Executivo (6h00 - 22h00)</v>
      </c>
      <c r="B24" s="297"/>
      <c r="C24" s="297"/>
      <c r="D24" s="297"/>
      <c r="E24" s="176" t="str">
        <f>Geral!G3</f>
        <v>Posto/mês</v>
      </c>
      <c r="F24" s="251">
        <f>IFERROR(VLOOKUP(A24,Proposta!$B$17:$D$23,3,FALSE()),1)</f>
        <v>1</v>
      </c>
      <c r="G24" s="251"/>
    </row>
    <row r="25" spans="1:7" ht="29.25" customHeight="1">
      <c r="A25" s="268" t="s">
        <v>34</v>
      </c>
      <c r="B25" s="268"/>
      <c r="C25" s="268"/>
      <c r="D25" s="268"/>
      <c r="E25" s="268"/>
      <c r="F25" s="268"/>
      <c r="G25" s="268"/>
    </row>
    <row r="26" spans="1:7" ht="29.25" customHeight="1">
      <c r="A26" s="268" t="s">
        <v>35</v>
      </c>
      <c r="B26" s="268"/>
      <c r="C26" s="268"/>
      <c r="D26" s="268"/>
      <c r="E26" s="268"/>
      <c r="F26" s="268"/>
      <c r="G26" s="268"/>
    </row>
    <row r="27" spans="1:7">
      <c r="A27" s="170"/>
      <c r="B27" s="170"/>
      <c r="C27" s="170"/>
      <c r="D27" s="170"/>
      <c r="E27" s="170"/>
      <c r="F27" s="170"/>
      <c r="G27" s="170"/>
    </row>
    <row r="28" spans="1:7" ht="15" customHeight="1">
      <c r="A28" s="292" t="s">
        <v>36</v>
      </c>
      <c r="B28" s="292"/>
      <c r="C28" s="292"/>
      <c r="D28" s="292"/>
      <c r="E28" s="292"/>
      <c r="F28" s="292"/>
      <c r="G28" s="292"/>
    </row>
    <row r="29" spans="1:7" ht="15" customHeight="1">
      <c r="A29" s="293" t="s">
        <v>37</v>
      </c>
      <c r="B29" s="293"/>
      <c r="C29" s="293"/>
      <c r="D29" s="293"/>
      <c r="E29" s="293"/>
      <c r="F29" s="293"/>
      <c r="G29" s="293"/>
    </row>
    <row r="30" spans="1:7">
      <c r="A30" s="171">
        <v>1</v>
      </c>
      <c r="B30" s="278" t="s">
        <v>38</v>
      </c>
      <c r="C30" s="278"/>
      <c r="D30" s="278"/>
      <c r="E30" s="288" t="s">
        <v>39</v>
      </c>
      <c r="F30" s="288"/>
      <c r="G30" s="288"/>
    </row>
    <row r="31" spans="1:7">
      <c r="A31" s="171">
        <v>2</v>
      </c>
      <c r="B31" s="278" t="s">
        <v>40</v>
      </c>
      <c r="C31" s="278"/>
      <c r="D31" s="278"/>
      <c r="E31" s="288" t="s">
        <v>41</v>
      </c>
      <c r="F31" s="288"/>
      <c r="G31" s="288"/>
    </row>
    <row r="32" spans="1:7">
      <c r="A32" s="171">
        <v>3</v>
      </c>
      <c r="B32" s="278" t="s">
        <v>42</v>
      </c>
      <c r="C32" s="278"/>
      <c r="D32" s="278"/>
      <c r="E32" s="294">
        <v>1368.91</v>
      </c>
      <c r="F32" s="294"/>
      <c r="G32" s="294"/>
    </row>
    <row r="33" spans="1:7">
      <c r="A33" s="171">
        <v>4</v>
      </c>
      <c r="B33" s="278" t="s">
        <v>43</v>
      </c>
      <c r="C33" s="278"/>
      <c r="D33" s="278"/>
      <c r="E33" s="288" t="s">
        <v>44</v>
      </c>
      <c r="F33" s="288"/>
      <c r="G33" s="288"/>
    </row>
    <row r="34" spans="1:7">
      <c r="A34" s="171">
        <v>5</v>
      </c>
      <c r="B34" s="278" t="s">
        <v>45</v>
      </c>
      <c r="C34" s="278"/>
      <c r="D34" s="278"/>
      <c r="E34" s="289">
        <v>44197</v>
      </c>
      <c r="F34" s="289"/>
      <c r="G34" s="289"/>
    </row>
    <row r="35" spans="1:7">
      <c r="A35" s="178">
        <v>6</v>
      </c>
      <c r="B35" s="290" t="s">
        <v>46</v>
      </c>
      <c r="C35" s="290"/>
      <c r="D35" s="290"/>
      <c r="E35" s="288">
        <v>21.01</v>
      </c>
      <c r="F35" s="288"/>
      <c r="G35" s="288"/>
    </row>
    <row r="36" spans="1:7">
      <c r="A36" s="178">
        <v>7</v>
      </c>
      <c r="B36" s="290" t="s">
        <v>47</v>
      </c>
      <c r="C36" s="290"/>
      <c r="D36" s="290"/>
      <c r="E36" s="291">
        <v>1100</v>
      </c>
      <c r="F36" s="291"/>
      <c r="G36" s="291"/>
    </row>
    <row r="37" spans="1:7" ht="15" customHeight="1">
      <c r="A37" s="268" t="s">
        <v>48</v>
      </c>
      <c r="B37" s="268"/>
      <c r="C37" s="268"/>
      <c r="D37" s="268"/>
      <c r="E37" s="268"/>
      <c r="F37" s="268"/>
      <c r="G37" s="268"/>
    </row>
    <row r="38" spans="1:7" ht="15" customHeight="1">
      <c r="A38" s="268" t="s">
        <v>49</v>
      </c>
      <c r="B38" s="268"/>
      <c r="C38" s="268"/>
      <c r="D38" s="268"/>
      <c r="E38" s="268"/>
      <c r="F38" s="268"/>
      <c r="G38" s="268"/>
    </row>
    <row r="39" spans="1:7">
      <c r="A39" s="170"/>
      <c r="B39" s="170"/>
      <c r="C39" s="170"/>
      <c r="D39" s="170"/>
      <c r="E39" s="170"/>
      <c r="F39" s="170"/>
      <c r="G39" s="170"/>
    </row>
    <row r="40" spans="1:7">
      <c r="A40" s="265" t="s">
        <v>50</v>
      </c>
      <c r="B40" s="265"/>
      <c r="C40" s="265"/>
      <c r="D40" s="265"/>
      <c r="E40" s="265"/>
      <c r="F40" s="265"/>
      <c r="G40" s="265"/>
    </row>
    <row r="41" spans="1:7" ht="15" customHeight="1">
      <c r="A41" s="175">
        <v>1</v>
      </c>
      <c r="B41" s="266" t="s">
        <v>51</v>
      </c>
      <c r="C41" s="266"/>
      <c r="D41" s="266"/>
      <c r="E41" s="266"/>
      <c r="F41" s="266"/>
      <c r="G41" s="175" t="s">
        <v>52</v>
      </c>
    </row>
    <row r="42" spans="1:7">
      <c r="A42" s="171" t="s">
        <v>18</v>
      </c>
      <c r="B42" s="276" t="s">
        <v>53</v>
      </c>
      <c r="C42" s="276"/>
      <c r="D42" s="276"/>
      <c r="E42" s="276"/>
      <c r="F42" s="276"/>
      <c r="G42" s="179">
        <v>2696.19</v>
      </c>
    </row>
    <row r="43" spans="1:7">
      <c r="A43" s="171" t="s">
        <v>20</v>
      </c>
      <c r="B43" s="277" t="s">
        <v>54</v>
      </c>
      <c r="C43" s="277"/>
      <c r="D43" s="277"/>
      <c r="E43" s="277"/>
      <c r="F43" s="277"/>
      <c r="G43" s="181">
        <v>0</v>
      </c>
    </row>
    <row r="44" spans="1:7">
      <c r="A44" s="264" t="s">
        <v>55</v>
      </c>
      <c r="B44" s="264"/>
      <c r="C44" s="264"/>
      <c r="D44" s="264"/>
      <c r="E44" s="264"/>
      <c r="F44" s="264"/>
      <c r="G44" s="182">
        <f>ROUND(SUM(G42:G43),2)</f>
        <v>2696.19</v>
      </c>
    </row>
    <row r="45" spans="1:7">
      <c r="A45" s="170"/>
      <c r="B45" s="170"/>
      <c r="C45" s="170"/>
      <c r="D45" s="170"/>
      <c r="E45" s="170"/>
      <c r="F45" s="170"/>
      <c r="G45" s="170"/>
    </row>
    <row r="46" spans="1:7">
      <c r="A46" s="265" t="s">
        <v>56</v>
      </c>
      <c r="B46" s="265"/>
      <c r="C46" s="265"/>
      <c r="D46" s="265"/>
      <c r="E46" s="265"/>
      <c r="F46" s="265"/>
      <c r="G46" s="265"/>
    </row>
    <row r="47" spans="1:7" ht="15" customHeight="1">
      <c r="A47" s="281" t="s">
        <v>57</v>
      </c>
      <c r="B47" s="281"/>
      <c r="C47" s="281"/>
      <c r="D47" s="281"/>
      <c r="E47" s="281"/>
      <c r="F47" s="281"/>
      <c r="G47" s="281"/>
    </row>
    <row r="48" spans="1:7" ht="15" customHeight="1">
      <c r="A48" s="175" t="s">
        <v>58</v>
      </c>
      <c r="B48" s="266" t="s">
        <v>59</v>
      </c>
      <c r="C48" s="266"/>
      <c r="D48" s="266"/>
      <c r="E48" s="266"/>
      <c r="F48" s="175" t="s">
        <v>60</v>
      </c>
      <c r="G48" s="175" t="s">
        <v>52</v>
      </c>
    </row>
    <row r="49" spans="1:7">
      <c r="A49" s="171" t="s">
        <v>18</v>
      </c>
      <c r="B49" s="275" t="s">
        <v>61</v>
      </c>
      <c r="C49" s="275"/>
      <c r="D49" s="275"/>
      <c r="E49" s="275"/>
      <c r="F49" s="183">
        <f>1/12</f>
        <v>8.3333333333333329E-2</v>
      </c>
      <c r="G49" s="184">
        <f>ROUND($G$44*F49,2)</f>
        <v>224.68</v>
      </c>
    </row>
    <row r="50" spans="1:7">
      <c r="A50" s="171" t="s">
        <v>20</v>
      </c>
      <c r="B50" s="284" t="s">
        <v>62</v>
      </c>
      <c r="C50" s="284"/>
      <c r="D50" s="284"/>
      <c r="E50" s="284"/>
      <c r="F50" s="183">
        <v>0.1111</v>
      </c>
      <c r="G50" s="184">
        <f>ROUND($G$44*F50,2)</f>
        <v>299.55</v>
      </c>
    </row>
    <row r="51" spans="1:7">
      <c r="A51" s="264" t="s">
        <v>63</v>
      </c>
      <c r="B51" s="264"/>
      <c r="C51" s="264"/>
      <c r="D51" s="264"/>
      <c r="E51" s="264"/>
      <c r="F51" s="264"/>
      <c r="G51" s="182">
        <f>ROUND(SUM(G49:G50),2)</f>
        <v>524.23</v>
      </c>
    </row>
    <row r="52" spans="1:7" ht="32.25" customHeight="1">
      <c r="A52" s="285" t="s">
        <v>64</v>
      </c>
      <c r="B52" s="285"/>
      <c r="C52" s="285"/>
      <c r="D52" s="285"/>
      <c r="E52" s="285"/>
      <c r="F52" s="285"/>
      <c r="G52" s="285"/>
    </row>
    <row r="53" spans="1:7" ht="31.5" customHeight="1">
      <c r="A53" s="268" t="s">
        <v>65</v>
      </c>
      <c r="B53" s="268"/>
      <c r="C53" s="268"/>
      <c r="D53" s="268"/>
      <c r="E53" s="268"/>
      <c r="F53" s="268"/>
      <c r="G53" s="268"/>
    </row>
    <row r="54" spans="1:7" ht="45" customHeight="1">
      <c r="A54" s="268" t="s">
        <v>66</v>
      </c>
      <c r="B54" s="268"/>
      <c r="C54" s="268"/>
      <c r="D54" s="268"/>
      <c r="E54" s="268"/>
      <c r="F54" s="268"/>
      <c r="G54" s="268"/>
    </row>
    <row r="55" spans="1:7">
      <c r="A55" s="170"/>
      <c r="B55" s="170"/>
      <c r="C55" s="170"/>
      <c r="D55" s="170"/>
      <c r="E55" s="170"/>
      <c r="F55" s="170"/>
      <c r="G55" s="170"/>
    </row>
    <row r="56" spans="1:7">
      <c r="A56" s="286" t="s">
        <v>67</v>
      </c>
      <c r="B56" s="286"/>
      <c r="C56" s="286"/>
      <c r="D56" s="286"/>
      <c r="E56" s="286"/>
      <c r="F56" s="286"/>
      <c r="G56" s="185">
        <f>ROUND(G44+G51,2)</f>
        <v>3220.42</v>
      </c>
    </row>
    <row r="57" spans="1:7" ht="15" customHeight="1">
      <c r="A57" s="281" t="s">
        <v>68</v>
      </c>
      <c r="B57" s="281"/>
      <c r="C57" s="281"/>
      <c r="D57" s="281"/>
      <c r="E57" s="281"/>
      <c r="F57" s="281"/>
      <c r="G57" s="281"/>
    </row>
    <row r="58" spans="1:7" ht="15" customHeight="1">
      <c r="A58" s="175" t="s">
        <v>69</v>
      </c>
      <c r="B58" s="266" t="s">
        <v>70</v>
      </c>
      <c r="C58" s="266"/>
      <c r="D58" s="266"/>
      <c r="E58" s="266"/>
      <c r="F58" s="175" t="s">
        <v>60</v>
      </c>
      <c r="G58" s="175" t="s">
        <v>52</v>
      </c>
    </row>
    <row r="59" spans="1:7">
      <c r="A59" s="171" t="s">
        <v>18</v>
      </c>
      <c r="B59" s="275" t="s">
        <v>71</v>
      </c>
      <c r="C59" s="275"/>
      <c r="D59" s="275"/>
      <c r="E59" s="275"/>
      <c r="F59" s="183">
        <v>0.2</v>
      </c>
      <c r="G59" s="184">
        <f t="shared" ref="G59:G66" si="0">ROUND($G$56*F59,2)</f>
        <v>644.08000000000004</v>
      </c>
    </row>
    <row r="60" spans="1:7">
      <c r="A60" s="171" t="s">
        <v>72</v>
      </c>
      <c r="B60" s="275" t="s">
        <v>73</v>
      </c>
      <c r="C60" s="275"/>
      <c r="D60" s="275"/>
      <c r="E60" s="275"/>
      <c r="F60" s="183">
        <v>2.5000000000000001E-2</v>
      </c>
      <c r="G60" s="184">
        <f t="shared" si="0"/>
        <v>80.510000000000005</v>
      </c>
    </row>
    <row r="61" spans="1:7">
      <c r="A61" s="171" t="s">
        <v>74</v>
      </c>
      <c r="B61" s="276" t="s">
        <v>75</v>
      </c>
      <c r="C61" s="276"/>
      <c r="D61" s="276"/>
      <c r="E61" s="276"/>
      <c r="F61" s="197">
        <f>'Cargo1-Leve22h'!F61</f>
        <v>1.8200000000000001E-2</v>
      </c>
      <c r="G61" s="184">
        <f t="shared" si="0"/>
        <v>58.61</v>
      </c>
    </row>
    <row r="62" spans="1:7">
      <c r="A62" s="171" t="s">
        <v>20</v>
      </c>
      <c r="B62" s="275" t="s">
        <v>76</v>
      </c>
      <c r="C62" s="275"/>
      <c r="D62" s="275"/>
      <c r="E62" s="275"/>
      <c r="F62" s="183">
        <v>0.08</v>
      </c>
      <c r="G62" s="184">
        <f t="shared" si="0"/>
        <v>257.63</v>
      </c>
    </row>
    <row r="63" spans="1:7">
      <c r="A63" s="171" t="s">
        <v>23</v>
      </c>
      <c r="B63" s="275" t="s">
        <v>77</v>
      </c>
      <c r="C63" s="275"/>
      <c r="D63" s="275"/>
      <c r="E63" s="275"/>
      <c r="F63" s="183">
        <v>1.4999999999999999E-2</v>
      </c>
      <c r="G63" s="184">
        <f t="shared" si="0"/>
        <v>48.31</v>
      </c>
    </row>
    <row r="64" spans="1:7">
      <c r="A64" s="171" t="s">
        <v>26</v>
      </c>
      <c r="B64" s="275" t="s">
        <v>78</v>
      </c>
      <c r="C64" s="275"/>
      <c r="D64" s="275"/>
      <c r="E64" s="275"/>
      <c r="F64" s="183">
        <v>0.01</v>
      </c>
      <c r="G64" s="184">
        <f t="shared" si="0"/>
        <v>32.200000000000003</v>
      </c>
    </row>
    <row r="65" spans="1:7">
      <c r="A65" s="171" t="s">
        <v>28</v>
      </c>
      <c r="B65" s="275" t="s">
        <v>79</v>
      </c>
      <c r="C65" s="275"/>
      <c r="D65" s="275"/>
      <c r="E65" s="275"/>
      <c r="F65" s="183">
        <v>6.0000000000000001E-3</v>
      </c>
      <c r="G65" s="184">
        <f t="shared" si="0"/>
        <v>19.32</v>
      </c>
    </row>
    <row r="66" spans="1:7">
      <c r="A66" s="171" t="s">
        <v>80</v>
      </c>
      <c r="B66" s="275" t="s">
        <v>81</v>
      </c>
      <c r="C66" s="275"/>
      <c r="D66" s="275"/>
      <c r="E66" s="275"/>
      <c r="F66" s="183">
        <v>2E-3</v>
      </c>
      <c r="G66" s="184">
        <f t="shared" si="0"/>
        <v>6.44</v>
      </c>
    </row>
    <row r="67" spans="1:7">
      <c r="A67" s="264" t="s">
        <v>82</v>
      </c>
      <c r="B67" s="264"/>
      <c r="C67" s="264"/>
      <c r="D67" s="264"/>
      <c r="E67" s="264"/>
      <c r="F67" s="187">
        <f>SUM(F59:F66)</f>
        <v>0.35620000000000002</v>
      </c>
      <c r="G67" s="182">
        <f>ROUND(SUM(G59:G66),2)</f>
        <v>1147.0999999999999</v>
      </c>
    </row>
    <row r="68" spans="1:7" ht="27" customHeight="1">
      <c r="A68" s="268" t="s">
        <v>83</v>
      </c>
      <c r="B68" s="268"/>
      <c r="C68" s="268"/>
      <c r="D68" s="268"/>
      <c r="E68" s="268"/>
      <c r="F68" s="268"/>
      <c r="G68" s="268"/>
    </row>
    <row r="69" spans="1:7" ht="27" customHeight="1">
      <c r="A69" s="268" t="s">
        <v>84</v>
      </c>
      <c r="B69" s="268"/>
      <c r="C69" s="268"/>
      <c r="D69" s="268"/>
      <c r="E69" s="268"/>
      <c r="F69" s="268"/>
      <c r="G69" s="268"/>
    </row>
    <row r="70" spans="1:7">
      <c r="A70" s="283" t="s">
        <v>85</v>
      </c>
      <c r="B70" s="283"/>
      <c r="C70" s="283"/>
      <c r="D70" s="283"/>
      <c r="E70" s="283"/>
      <c r="F70" s="283"/>
      <c r="G70" s="283"/>
    </row>
    <row r="71" spans="1:7">
      <c r="A71" s="170"/>
      <c r="B71" s="170"/>
      <c r="C71" s="170"/>
      <c r="D71" s="170"/>
      <c r="E71" s="170"/>
      <c r="F71" s="170"/>
      <c r="G71" s="170"/>
    </row>
    <row r="72" spans="1:7" ht="15" customHeight="1">
      <c r="A72" s="281" t="s">
        <v>86</v>
      </c>
      <c r="B72" s="281"/>
      <c r="C72" s="281"/>
      <c r="D72" s="281"/>
      <c r="E72" s="281"/>
      <c r="F72" s="281"/>
      <c r="G72" s="281"/>
    </row>
    <row r="73" spans="1:7" ht="15" customHeight="1">
      <c r="A73" s="175" t="s">
        <v>87</v>
      </c>
      <c r="B73" s="266" t="s">
        <v>88</v>
      </c>
      <c r="C73" s="266"/>
      <c r="D73" s="266"/>
      <c r="E73" s="266"/>
      <c r="F73" s="266"/>
      <c r="G73" s="175" t="s">
        <v>52</v>
      </c>
    </row>
    <row r="74" spans="1:7">
      <c r="A74" s="171" t="s">
        <v>18</v>
      </c>
      <c r="B74" s="275" t="s">
        <v>89</v>
      </c>
      <c r="C74" s="275"/>
      <c r="D74" s="275"/>
      <c r="E74" s="188" t="s">
        <v>90</v>
      </c>
      <c r="F74" s="181">
        <v>5.5</v>
      </c>
      <c r="G74" s="189">
        <f>ROUND($E$35,0)*2*F74</f>
        <v>231</v>
      </c>
    </row>
    <row r="75" spans="1:7">
      <c r="A75" s="190" t="s">
        <v>91</v>
      </c>
      <c r="B75" s="271" t="s">
        <v>92</v>
      </c>
      <c r="C75" s="271"/>
      <c r="D75" s="271"/>
      <c r="E75" s="271"/>
      <c r="F75" s="191">
        <v>-0.06</v>
      </c>
      <c r="G75" s="192">
        <f>ROUND($G$42*F75,2)</f>
        <v>-161.77000000000001</v>
      </c>
    </row>
    <row r="76" spans="1:7">
      <c r="A76" s="171" t="s">
        <v>20</v>
      </c>
      <c r="B76" s="276" t="s">
        <v>93</v>
      </c>
      <c r="C76" s="276"/>
      <c r="D76" s="276"/>
      <c r="E76" s="188" t="s">
        <v>90</v>
      </c>
      <c r="F76" s="181">
        <v>38.51</v>
      </c>
      <c r="G76" s="193">
        <f>ROUND($E$35,0)*F76</f>
        <v>808.70999999999992</v>
      </c>
    </row>
    <row r="77" spans="1:7">
      <c r="A77" s="190" t="s">
        <v>94</v>
      </c>
      <c r="B77" s="282" t="s">
        <v>95</v>
      </c>
      <c r="C77" s="282"/>
      <c r="D77" s="282"/>
      <c r="E77" s="282"/>
      <c r="F77" s="180">
        <v>-0.3</v>
      </c>
      <c r="G77" s="192">
        <f>ROUND($E$35,0)*F77</f>
        <v>-6.3</v>
      </c>
    </row>
    <row r="78" spans="1:7">
      <c r="A78" s="171" t="s">
        <v>23</v>
      </c>
      <c r="B78" s="277" t="s">
        <v>178</v>
      </c>
      <c r="C78" s="277"/>
      <c r="D78" s="277"/>
      <c r="E78" s="277"/>
      <c r="F78" s="277"/>
      <c r="G78" s="181">
        <v>0</v>
      </c>
    </row>
    <row r="79" spans="1:7">
      <c r="A79" s="171" t="s">
        <v>26</v>
      </c>
      <c r="B79" s="278" t="s">
        <v>97</v>
      </c>
      <c r="C79" s="278"/>
      <c r="D79" s="278"/>
      <c r="E79" s="278"/>
      <c r="F79" s="278"/>
      <c r="G79" s="181">
        <v>0</v>
      </c>
    </row>
    <row r="80" spans="1:7">
      <c r="A80" s="171" t="s">
        <v>28</v>
      </c>
      <c r="B80" s="278" t="s">
        <v>98</v>
      </c>
      <c r="C80" s="278"/>
      <c r="D80" s="278"/>
      <c r="E80" s="278"/>
      <c r="F80" s="278"/>
      <c r="G80" s="181">
        <v>0</v>
      </c>
    </row>
    <row r="81" spans="1:7">
      <c r="A81" s="171" t="s">
        <v>80</v>
      </c>
      <c r="B81" s="276" t="s">
        <v>99</v>
      </c>
      <c r="C81" s="276"/>
      <c r="D81" s="276"/>
      <c r="E81" s="276"/>
      <c r="F81" s="276"/>
      <c r="G81" s="181">
        <v>0</v>
      </c>
    </row>
    <row r="82" spans="1:7">
      <c r="A82" s="264" t="s">
        <v>100</v>
      </c>
      <c r="B82" s="264"/>
      <c r="C82" s="264"/>
      <c r="D82" s="264"/>
      <c r="E82" s="264"/>
      <c r="F82" s="264"/>
      <c r="G82" s="182">
        <f>ROUND(SUM(G74:G81),2)</f>
        <v>871.64</v>
      </c>
    </row>
    <row r="83" spans="1:7">
      <c r="A83" s="283" t="s">
        <v>101</v>
      </c>
      <c r="B83" s="283"/>
      <c r="C83" s="283"/>
      <c r="D83" s="283"/>
      <c r="E83" s="283"/>
      <c r="F83" s="283"/>
      <c r="G83" s="283"/>
    </row>
    <row r="84" spans="1:7" ht="30" customHeight="1">
      <c r="A84" s="268" t="s">
        <v>102</v>
      </c>
      <c r="B84" s="268"/>
      <c r="C84" s="268"/>
      <c r="D84" s="268"/>
      <c r="E84" s="268"/>
      <c r="F84" s="268"/>
      <c r="G84" s="268"/>
    </row>
    <row r="85" spans="1:7">
      <c r="A85" s="170"/>
      <c r="B85" s="170"/>
      <c r="C85" s="170"/>
      <c r="D85" s="170"/>
      <c r="E85" s="170"/>
      <c r="F85" s="170"/>
      <c r="G85" s="170"/>
    </row>
    <row r="86" spans="1:7">
      <c r="A86" s="265" t="s">
        <v>103</v>
      </c>
      <c r="B86" s="265"/>
      <c r="C86" s="265"/>
      <c r="D86" s="265"/>
      <c r="E86" s="265"/>
      <c r="F86" s="265"/>
      <c r="G86" s="265"/>
    </row>
    <row r="87" spans="1:7" ht="15" customHeight="1">
      <c r="A87" s="175">
        <v>2</v>
      </c>
      <c r="B87" s="266" t="s">
        <v>104</v>
      </c>
      <c r="C87" s="266"/>
      <c r="D87" s="266"/>
      <c r="E87" s="266"/>
      <c r="F87" s="266"/>
      <c r="G87" s="175" t="s">
        <v>52</v>
      </c>
    </row>
    <row r="88" spans="1:7">
      <c r="A88" s="194" t="s">
        <v>58</v>
      </c>
      <c r="B88" s="279" t="s">
        <v>59</v>
      </c>
      <c r="C88" s="279"/>
      <c r="D88" s="279"/>
      <c r="E88" s="279"/>
      <c r="F88" s="279"/>
      <c r="G88" s="195">
        <f>$G$51</f>
        <v>524.23</v>
      </c>
    </row>
    <row r="89" spans="1:7">
      <c r="A89" s="194" t="s">
        <v>69</v>
      </c>
      <c r="B89" s="279" t="s">
        <v>70</v>
      </c>
      <c r="C89" s="279"/>
      <c r="D89" s="279"/>
      <c r="E89" s="279"/>
      <c r="F89" s="279"/>
      <c r="G89" s="195">
        <f>$G$67</f>
        <v>1147.0999999999999</v>
      </c>
    </row>
    <row r="90" spans="1:7">
      <c r="A90" s="194" t="s">
        <v>87</v>
      </c>
      <c r="B90" s="279" t="s">
        <v>88</v>
      </c>
      <c r="C90" s="279"/>
      <c r="D90" s="279"/>
      <c r="E90" s="279"/>
      <c r="F90" s="279"/>
      <c r="G90" s="195">
        <f>$G$82</f>
        <v>871.64</v>
      </c>
    </row>
    <row r="91" spans="1:7">
      <c r="A91" s="264" t="s">
        <v>105</v>
      </c>
      <c r="B91" s="264"/>
      <c r="C91" s="264"/>
      <c r="D91" s="264"/>
      <c r="E91" s="264"/>
      <c r="F91" s="264"/>
      <c r="G91" s="182">
        <f>ROUND(SUM(G88:G90),2)</f>
        <v>2542.9699999999998</v>
      </c>
    </row>
    <row r="92" spans="1:7">
      <c r="A92" s="170"/>
      <c r="B92" s="170"/>
      <c r="C92" s="170"/>
      <c r="D92" s="170"/>
      <c r="E92" s="170"/>
      <c r="F92" s="170"/>
      <c r="G92" s="170"/>
    </row>
    <row r="93" spans="1:7">
      <c r="A93" s="265" t="s">
        <v>106</v>
      </c>
      <c r="B93" s="265"/>
      <c r="C93" s="265"/>
      <c r="D93" s="265"/>
      <c r="E93" s="265"/>
      <c r="F93" s="265"/>
      <c r="G93" s="265"/>
    </row>
    <row r="94" spans="1:7" ht="15" customHeight="1">
      <c r="A94" s="175">
        <v>3</v>
      </c>
      <c r="B94" s="266" t="s">
        <v>107</v>
      </c>
      <c r="C94" s="266"/>
      <c r="D94" s="266"/>
      <c r="E94" s="266"/>
      <c r="F94" s="175" t="s">
        <v>60</v>
      </c>
      <c r="G94" s="175" t="s">
        <v>52</v>
      </c>
    </row>
    <row r="95" spans="1:7">
      <c r="A95" s="171" t="s">
        <v>18</v>
      </c>
      <c r="B95" s="276" t="s">
        <v>108</v>
      </c>
      <c r="C95" s="276"/>
      <c r="D95" s="276"/>
      <c r="E95" s="276"/>
      <c r="F95" s="183">
        <f>(1/12)*5.55%</f>
        <v>4.6249999999999998E-3</v>
      </c>
      <c r="G95" s="184">
        <f>ROUND($G$44*F95,2)</f>
        <v>12.47</v>
      </c>
    </row>
    <row r="96" spans="1:7">
      <c r="A96" s="171" t="s">
        <v>20</v>
      </c>
      <c r="B96" s="278" t="s">
        <v>109</v>
      </c>
      <c r="C96" s="278"/>
      <c r="D96" s="278"/>
      <c r="E96" s="278"/>
      <c r="F96" s="196">
        <f>$F$62</f>
        <v>0.08</v>
      </c>
      <c r="G96" s="184">
        <f>G95*F96</f>
        <v>0.99760000000000004</v>
      </c>
    </row>
    <row r="97" spans="1:7">
      <c r="A97" s="171" t="s">
        <v>23</v>
      </c>
      <c r="B97" s="277" t="s">
        <v>110</v>
      </c>
      <c r="C97" s="277"/>
      <c r="D97" s="277"/>
      <c r="E97" s="277"/>
      <c r="F97" s="183">
        <f>(7/30)/12</f>
        <v>1.9444444444444445E-2</v>
      </c>
      <c r="G97" s="184">
        <f>ROUND($G$44*F97,2)</f>
        <v>52.43</v>
      </c>
    </row>
    <row r="98" spans="1:7">
      <c r="A98" s="171" t="s">
        <v>26</v>
      </c>
      <c r="B98" s="278" t="s">
        <v>111</v>
      </c>
      <c r="C98" s="278"/>
      <c r="D98" s="278"/>
      <c r="E98" s="278"/>
      <c r="F98" s="196">
        <f>$F$67</f>
        <v>0.35620000000000002</v>
      </c>
      <c r="G98" s="184">
        <f>G97*F98</f>
        <v>18.675566</v>
      </c>
    </row>
    <row r="99" spans="1:7">
      <c r="A99" s="171" t="s">
        <v>28</v>
      </c>
      <c r="B99" s="277" t="s">
        <v>112</v>
      </c>
      <c r="C99" s="277"/>
      <c r="D99" s="277"/>
      <c r="E99" s="277"/>
      <c r="F99" s="197">
        <v>0.04</v>
      </c>
      <c r="G99" s="184">
        <f>ROUND($G$44*F99,2)</f>
        <v>107.85</v>
      </c>
    </row>
    <row r="100" spans="1:7">
      <c r="A100" s="264" t="s">
        <v>113</v>
      </c>
      <c r="B100" s="264"/>
      <c r="C100" s="264"/>
      <c r="D100" s="264"/>
      <c r="E100" s="264"/>
      <c r="F100" s="264"/>
      <c r="G100" s="182">
        <f>ROUND(SUM(G95:G99),2)</f>
        <v>192.42</v>
      </c>
    </row>
    <row r="101" spans="1:7">
      <c r="A101" s="170"/>
      <c r="B101" s="170"/>
      <c r="C101" s="170"/>
      <c r="D101" s="170"/>
      <c r="E101" s="170"/>
      <c r="F101" s="170"/>
      <c r="G101" s="170"/>
    </row>
    <row r="102" spans="1:7">
      <c r="A102" s="265" t="s">
        <v>114</v>
      </c>
      <c r="B102" s="265"/>
      <c r="C102" s="265"/>
      <c r="D102" s="265"/>
      <c r="E102" s="265"/>
      <c r="F102" s="265"/>
      <c r="G102" s="265"/>
    </row>
    <row r="103" spans="1:7" ht="15" customHeight="1">
      <c r="A103" s="281" t="s">
        <v>115</v>
      </c>
      <c r="B103" s="281"/>
      <c r="C103" s="281"/>
      <c r="D103" s="281"/>
      <c r="E103" s="281"/>
      <c r="F103" s="281"/>
      <c r="G103" s="281"/>
    </row>
    <row r="104" spans="1:7" ht="15" customHeight="1">
      <c r="A104" s="175" t="s">
        <v>116</v>
      </c>
      <c r="B104" s="266" t="s">
        <v>117</v>
      </c>
      <c r="C104" s="266"/>
      <c r="D104" s="266"/>
      <c r="E104" s="266"/>
      <c r="F104" s="175" t="s">
        <v>60</v>
      </c>
      <c r="G104" s="175" t="s">
        <v>52</v>
      </c>
    </row>
    <row r="105" spans="1:7">
      <c r="A105" s="171" t="s">
        <v>18</v>
      </c>
      <c r="B105" s="278" t="s">
        <v>118</v>
      </c>
      <c r="C105" s="278"/>
      <c r="D105" s="278"/>
      <c r="E105" s="278"/>
      <c r="F105" s="183">
        <v>9.2999999999999992E-3</v>
      </c>
      <c r="G105" s="184">
        <f>ROUND($G$44*F105,2)</f>
        <v>25.07</v>
      </c>
    </row>
    <row r="106" spans="1:7" ht="15" customHeight="1">
      <c r="A106" s="171" t="s">
        <v>12</v>
      </c>
      <c r="B106" s="280" t="s">
        <v>119</v>
      </c>
      <c r="C106" s="280"/>
      <c r="D106" s="280"/>
      <c r="E106" s="280"/>
      <c r="F106" s="198">
        <f>$F$67</f>
        <v>0.35620000000000002</v>
      </c>
      <c r="G106" s="184">
        <f>ROUND(G105*F106,2)</f>
        <v>8.93</v>
      </c>
    </row>
    <row r="107" spans="1:7">
      <c r="A107" s="171" t="s">
        <v>20</v>
      </c>
      <c r="B107" s="277" t="s">
        <v>120</v>
      </c>
      <c r="C107" s="277"/>
      <c r="D107" s="277"/>
      <c r="E107" s="277"/>
      <c r="F107" s="199">
        <v>7.3000000000000001E-3</v>
      </c>
      <c r="G107" s="184">
        <f>ROUND($G$44*F107,2)</f>
        <v>19.68</v>
      </c>
    </row>
    <row r="108" spans="1:7">
      <c r="A108" s="171" t="s">
        <v>23</v>
      </c>
      <c r="B108" s="276" t="s">
        <v>121</v>
      </c>
      <c r="C108" s="276"/>
      <c r="D108" s="276"/>
      <c r="E108" s="276"/>
      <c r="F108" s="199">
        <v>8.1999999999999998E-4</v>
      </c>
      <c r="G108" s="184">
        <f>ROUND($G$44*F108,2)</f>
        <v>2.21</v>
      </c>
    </row>
    <row r="109" spans="1:7">
      <c r="A109" s="171" t="s">
        <v>26</v>
      </c>
      <c r="B109" s="277" t="s">
        <v>122</v>
      </c>
      <c r="C109" s="277"/>
      <c r="D109" s="277"/>
      <c r="E109" s="277"/>
      <c r="F109" s="199">
        <v>2.7000000000000001E-3</v>
      </c>
      <c r="G109" s="184">
        <f>ROUND($G$44*F109,2)</f>
        <v>7.28</v>
      </c>
    </row>
    <row r="110" spans="1:7">
      <c r="A110" s="171" t="s">
        <v>28</v>
      </c>
      <c r="B110" s="276" t="s">
        <v>123</v>
      </c>
      <c r="C110" s="276"/>
      <c r="D110" s="276"/>
      <c r="E110" s="276"/>
      <c r="F110" s="199">
        <v>5.5000000000000003E-4</v>
      </c>
      <c r="G110" s="184">
        <f>ROUND($G$44*F110,2)</f>
        <v>1.48</v>
      </c>
    </row>
    <row r="111" spans="1:7" ht="15" customHeight="1">
      <c r="A111" s="171" t="s">
        <v>80</v>
      </c>
      <c r="B111" s="280" t="s">
        <v>124</v>
      </c>
      <c r="C111" s="280"/>
      <c r="D111" s="280"/>
      <c r="E111" s="280"/>
      <c r="F111" s="199">
        <v>0</v>
      </c>
      <c r="G111" s="184">
        <f>ROUND($G$44*F111,2)</f>
        <v>0</v>
      </c>
    </row>
    <row r="112" spans="1:7">
      <c r="A112" s="264" t="s">
        <v>125</v>
      </c>
      <c r="B112" s="264"/>
      <c r="C112" s="264"/>
      <c r="D112" s="264"/>
      <c r="E112" s="264"/>
      <c r="F112" s="264"/>
      <c r="G112" s="182">
        <f>ROUND(SUM(G105:G111),2)</f>
        <v>64.650000000000006</v>
      </c>
    </row>
    <row r="113" spans="1:7" ht="41.25" customHeight="1">
      <c r="A113" s="268" t="s">
        <v>126</v>
      </c>
      <c r="B113" s="268"/>
      <c r="C113" s="268"/>
      <c r="D113" s="268"/>
      <c r="E113" s="268"/>
      <c r="F113" s="268"/>
      <c r="G113" s="268"/>
    </row>
    <row r="114" spans="1:7">
      <c r="A114" s="170"/>
      <c r="B114" s="170"/>
      <c r="C114" s="170"/>
      <c r="D114" s="170"/>
      <c r="E114" s="170"/>
      <c r="F114" s="170"/>
      <c r="G114" s="170"/>
    </row>
    <row r="115" spans="1:7" ht="15.75" customHeight="1">
      <c r="A115" s="281" t="s">
        <v>127</v>
      </c>
      <c r="B115" s="281"/>
      <c r="C115" s="281"/>
      <c r="D115" s="281"/>
      <c r="E115" s="281"/>
      <c r="F115" s="281"/>
      <c r="G115" s="281"/>
    </row>
    <row r="116" spans="1:7" ht="15" customHeight="1">
      <c r="A116" s="175" t="s">
        <v>128</v>
      </c>
      <c r="B116" s="266" t="s">
        <v>129</v>
      </c>
      <c r="C116" s="266"/>
      <c r="D116" s="266"/>
      <c r="E116" s="266"/>
      <c r="F116" s="175" t="s">
        <v>130</v>
      </c>
      <c r="G116" s="175" t="s">
        <v>52</v>
      </c>
    </row>
    <row r="117" spans="1:7">
      <c r="A117" s="171" t="s">
        <v>18</v>
      </c>
      <c r="B117" s="278" t="s">
        <v>131</v>
      </c>
      <c r="C117" s="278"/>
      <c r="D117" s="278"/>
      <c r="E117" s="278"/>
      <c r="F117" s="200">
        <v>0</v>
      </c>
      <c r="G117" s="184">
        <f>ROUND(F117*$E$35,2)</f>
        <v>0</v>
      </c>
    </row>
    <row r="118" spans="1:7">
      <c r="A118" s="264" t="s">
        <v>132</v>
      </c>
      <c r="B118" s="264"/>
      <c r="C118" s="264"/>
      <c r="D118" s="264"/>
      <c r="E118" s="264"/>
      <c r="F118" s="264"/>
      <c r="G118" s="182">
        <f>ROUND(SUM(G117),2)</f>
        <v>0</v>
      </c>
    </row>
    <row r="119" spans="1:7" ht="30" customHeight="1">
      <c r="A119" s="268" t="s">
        <v>133</v>
      </c>
      <c r="B119" s="268"/>
      <c r="C119" s="268"/>
      <c r="D119" s="268"/>
      <c r="E119" s="268"/>
      <c r="F119" s="268"/>
      <c r="G119" s="268"/>
    </row>
    <row r="120" spans="1:7">
      <c r="A120" s="170"/>
      <c r="B120" s="170"/>
      <c r="C120" s="170"/>
      <c r="D120" s="170"/>
      <c r="E120" s="170"/>
      <c r="F120" s="170"/>
      <c r="G120" s="170"/>
    </row>
    <row r="121" spans="1:7">
      <c r="A121" s="265" t="s">
        <v>134</v>
      </c>
      <c r="B121" s="265"/>
      <c r="C121" s="265"/>
      <c r="D121" s="265"/>
      <c r="E121" s="265"/>
      <c r="F121" s="265"/>
      <c r="G121" s="265"/>
    </row>
    <row r="122" spans="1:7" ht="15" customHeight="1">
      <c r="A122" s="175">
        <v>4</v>
      </c>
      <c r="B122" s="266" t="s">
        <v>104</v>
      </c>
      <c r="C122" s="266"/>
      <c r="D122" s="266"/>
      <c r="E122" s="266"/>
      <c r="F122" s="175" t="s">
        <v>60</v>
      </c>
      <c r="G122" s="175" t="s">
        <v>52</v>
      </c>
    </row>
    <row r="123" spans="1:7">
      <c r="A123" s="194" t="s">
        <v>116</v>
      </c>
      <c r="B123" s="279" t="s">
        <v>135</v>
      </c>
      <c r="C123" s="279"/>
      <c r="D123" s="279"/>
      <c r="E123" s="279"/>
      <c r="F123" s="201" t="s">
        <v>12</v>
      </c>
      <c r="G123" s="195">
        <f>$G$112</f>
        <v>64.650000000000006</v>
      </c>
    </row>
    <row r="124" spans="1:7">
      <c r="A124" s="194" t="s">
        <v>128</v>
      </c>
      <c r="B124" s="279" t="s">
        <v>136</v>
      </c>
      <c r="C124" s="279"/>
      <c r="D124" s="279"/>
      <c r="E124" s="279"/>
      <c r="F124" s="201" t="s">
        <v>12</v>
      </c>
      <c r="G124" s="195">
        <f>$G$118</f>
        <v>0</v>
      </c>
    </row>
    <row r="125" spans="1:7">
      <c r="A125" s="264" t="s">
        <v>137</v>
      </c>
      <c r="B125" s="264"/>
      <c r="C125" s="264"/>
      <c r="D125" s="264"/>
      <c r="E125" s="264"/>
      <c r="F125" s="264"/>
      <c r="G125" s="182">
        <f>ROUND(SUM(G123:G124),2)</f>
        <v>64.650000000000006</v>
      </c>
    </row>
    <row r="126" spans="1:7">
      <c r="A126" s="170"/>
      <c r="B126" s="170"/>
      <c r="C126" s="170"/>
      <c r="D126" s="170"/>
      <c r="E126" s="170"/>
      <c r="F126" s="170"/>
      <c r="G126" s="170"/>
    </row>
    <row r="127" spans="1:7">
      <c r="A127" s="265" t="s">
        <v>138</v>
      </c>
      <c r="B127" s="265"/>
      <c r="C127" s="265"/>
      <c r="D127" s="265"/>
      <c r="E127" s="265"/>
      <c r="F127" s="265"/>
      <c r="G127" s="265"/>
    </row>
    <row r="128" spans="1:7" ht="15" customHeight="1">
      <c r="A128" s="175">
        <v>5</v>
      </c>
      <c r="B128" s="266" t="s">
        <v>139</v>
      </c>
      <c r="C128" s="266"/>
      <c r="D128" s="266"/>
      <c r="E128" s="266"/>
      <c r="F128" s="266"/>
      <c r="G128" s="175" t="s">
        <v>52</v>
      </c>
    </row>
    <row r="129" spans="1:7">
      <c r="A129" s="171" t="s">
        <v>18</v>
      </c>
      <c r="B129" s="275" t="s">
        <v>140</v>
      </c>
      <c r="C129" s="275"/>
      <c r="D129" s="275"/>
      <c r="E129" s="275"/>
      <c r="F129" s="275"/>
      <c r="G129" s="181">
        <f>Insumos!G19</f>
        <v>65.806666666666658</v>
      </c>
    </row>
    <row r="130" spans="1:7">
      <c r="A130" s="171" t="s">
        <v>20</v>
      </c>
      <c r="B130" s="276" t="s">
        <v>141</v>
      </c>
      <c r="C130" s="276"/>
      <c r="D130" s="276"/>
      <c r="E130" s="276"/>
      <c r="F130" s="276"/>
      <c r="G130" s="181"/>
    </row>
    <row r="131" spans="1:7">
      <c r="A131" s="171" t="s">
        <v>28</v>
      </c>
      <c r="B131" s="277" t="s">
        <v>54</v>
      </c>
      <c r="C131" s="277"/>
      <c r="D131" s="277"/>
      <c r="E131" s="277"/>
      <c r="F131" s="277"/>
      <c r="G131" s="181">
        <v>0</v>
      </c>
    </row>
    <row r="132" spans="1:7">
      <c r="A132" s="264" t="s">
        <v>142</v>
      </c>
      <c r="B132" s="264"/>
      <c r="C132" s="264"/>
      <c r="D132" s="264"/>
      <c r="E132" s="264"/>
      <c r="F132" s="264"/>
      <c r="G132" s="182">
        <f>ROUND(SUM(G129:G131),2)</f>
        <v>65.81</v>
      </c>
    </row>
    <row r="133" spans="1:7" ht="15" customHeight="1">
      <c r="A133" s="268" t="s">
        <v>143</v>
      </c>
      <c r="B133" s="268"/>
      <c r="C133" s="268"/>
      <c r="D133" s="268"/>
      <c r="E133" s="268"/>
      <c r="F133" s="268"/>
      <c r="G133" s="268"/>
    </row>
    <row r="134" spans="1:7">
      <c r="A134" s="170"/>
      <c r="B134" s="170"/>
      <c r="C134" s="170"/>
      <c r="D134" s="170"/>
      <c r="E134" s="170"/>
      <c r="F134" s="170"/>
      <c r="G134" s="170"/>
    </row>
    <row r="135" spans="1:7">
      <c r="A135" s="265" t="s">
        <v>144</v>
      </c>
      <c r="B135" s="265"/>
      <c r="C135" s="265"/>
      <c r="D135" s="265"/>
      <c r="E135" s="265"/>
      <c r="F135" s="265"/>
      <c r="G135" s="265"/>
    </row>
    <row r="136" spans="1:7" ht="15" customHeight="1">
      <c r="A136" s="175">
        <v>6</v>
      </c>
      <c r="B136" s="266" t="s">
        <v>145</v>
      </c>
      <c r="C136" s="266"/>
      <c r="D136" s="266"/>
      <c r="E136" s="266"/>
      <c r="F136" s="266"/>
      <c r="G136" s="175" t="s">
        <v>52</v>
      </c>
    </row>
    <row r="137" spans="1:7">
      <c r="A137" s="202" t="s">
        <v>18</v>
      </c>
      <c r="B137" s="270" t="s">
        <v>146</v>
      </c>
      <c r="C137" s="270"/>
      <c r="D137" s="270"/>
      <c r="E137" s="270"/>
      <c r="F137" s="203">
        <v>6.0000000000000001E-3</v>
      </c>
      <c r="G137" s="204">
        <f>ROUND($G$155*F137,2)</f>
        <v>33.369999999999997</v>
      </c>
    </row>
    <row r="138" spans="1:7">
      <c r="A138" s="202" t="s">
        <v>20</v>
      </c>
      <c r="B138" s="270" t="s">
        <v>147</v>
      </c>
      <c r="C138" s="270"/>
      <c r="D138" s="270"/>
      <c r="E138" s="270"/>
      <c r="F138" s="203">
        <v>5.0000000000000001E-3</v>
      </c>
      <c r="G138" s="204">
        <f>ROUND(($G$155+$G$137)*F138,2)</f>
        <v>27.98</v>
      </c>
    </row>
    <row r="139" spans="1:7">
      <c r="A139" s="171" t="s">
        <v>148</v>
      </c>
      <c r="B139" s="271" t="str">
        <f>'Cargo1-Leve22h'!B139:E139</f>
        <v>Tributos Federais  (Ref. Acórdão TCU 1753/2008–P, PIS 0,24% e COFINS 1,08%)</v>
      </c>
      <c r="C139" s="271"/>
      <c r="D139" s="271"/>
      <c r="E139" s="271"/>
      <c r="F139" s="191">
        <f>'Cargo1-Leve22h'!F139</f>
        <v>1.32E-2</v>
      </c>
      <c r="G139" s="205">
        <f>ROUND($G$157*F139,2)</f>
        <v>79.239999999999995</v>
      </c>
    </row>
    <row r="140" spans="1:7">
      <c r="A140" s="171" t="s">
        <v>149</v>
      </c>
      <c r="B140" s="272" t="s">
        <v>150</v>
      </c>
      <c r="C140" s="272"/>
      <c r="D140" s="272"/>
      <c r="E140" s="272"/>
      <c r="F140" s="191">
        <f>'Cargo1-Leve22h'!F140</f>
        <v>0</v>
      </c>
      <c r="G140" s="205">
        <f>ROUND($G$157*F140,2)</f>
        <v>0</v>
      </c>
    </row>
    <row r="141" spans="1:7">
      <c r="A141" s="171" t="s">
        <v>151</v>
      </c>
      <c r="B141" s="271" t="s">
        <v>152</v>
      </c>
      <c r="C141" s="271"/>
      <c r="D141" s="271"/>
      <c r="E141" s="271"/>
      <c r="F141" s="191">
        <f>'Cargo1-Leve22h'!F141</f>
        <v>0.05</v>
      </c>
      <c r="G141" s="205">
        <f>ROUND($G$157*F141,2)</f>
        <v>300.14</v>
      </c>
    </row>
    <row r="142" spans="1:7">
      <c r="A142" s="171" t="s">
        <v>153</v>
      </c>
      <c r="B142" s="273" t="s">
        <v>154</v>
      </c>
      <c r="C142" s="273"/>
      <c r="D142" s="273"/>
      <c r="E142" s="273"/>
      <c r="F142" s="191">
        <f>'Cargo1-Leve22h'!F142</f>
        <v>0</v>
      </c>
      <c r="G142" s="205">
        <f>ROUND($G$157*F142,2)</f>
        <v>0</v>
      </c>
    </row>
    <row r="143" spans="1:7">
      <c r="A143" s="202" t="s">
        <v>23</v>
      </c>
      <c r="B143" s="274" t="s">
        <v>155</v>
      </c>
      <c r="C143" s="274"/>
      <c r="D143" s="274"/>
      <c r="E143" s="274"/>
      <c r="F143" s="206">
        <f>SUM(F139:F142)</f>
        <v>6.3200000000000006E-2</v>
      </c>
      <c r="G143" s="204">
        <f>ROUND(SUM(G139:G142),2)</f>
        <v>379.38</v>
      </c>
    </row>
    <row r="144" spans="1:7">
      <c r="A144" s="269" t="s">
        <v>156</v>
      </c>
      <c r="B144" s="269"/>
      <c r="C144" s="269"/>
      <c r="D144" s="269"/>
      <c r="E144" s="269"/>
      <c r="F144" s="187">
        <f>(1+F137)*(1+F138)/(1-F143)-1</f>
        <v>7.9237830913748919E-2</v>
      </c>
      <c r="G144" s="182">
        <f>ROUND(SUM(G137,G138,G143),2)</f>
        <v>440.73</v>
      </c>
    </row>
    <row r="145" spans="1:7" ht="15" customHeight="1">
      <c r="A145" s="268" t="s">
        <v>157</v>
      </c>
      <c r="B145" s="268"/>
      <c r="C145" s="268"/>
      <c r="D145" s="268"/>
      <c r="E145" s="268"/>
      <c r="F145" s="268"/>
      <c r="G145" s="268"/>
    </row>
    <row r="146" spans="1:7" ht="15" customHeight="1">
      <c r="A146" s="268" t="s">
        <v>158</v>
      </c>
      <c r="B146" s="268"/>
      <c r="C146" s="268"/>
      <c r="D146" s="268"/>
      <c r="E146" s="268"/>
      <c r="F146" s="268"/>
      <c r="G146" s="268"/>
    </row>
    <row r="147" spans="1:7">
      <c r="A147" s="170"/>
      <c r="B147" s="170"/>
      <c r="C147" s="170"/>
      <c r="D147" s="170"/>
      <c r="E147" s="170"/>
      <c r="F147" s="170"/>
      <c r="G147" s="170"/>
    </row>
    <row r="148" spans="1:7">
      <c r="A148" s="265" t="s">
        <v>159</v>
      </c>
      <c r="B148" s="265"/>
      <c r="C148" s="265"/>
      <c r="D148" s="265"/>
      <c r="E148" s="265"/>
      <c r="F148" s="265"/>
      <c r="G148" s="265"/>
    </row>
    <row r="149" spans="1:7" ht="15" customHeight="1">
      <c r="A149" s="175"/>
      <c r="B149" s="266" t="s">
        <v>160</v>
      </c>
      <c r="C149" s="266"/>
      <c r="D149" s="266"/>
      <c r="E149" s="266"/>
      <c r="F149" s="266"/>
      <c r="G149" s="175" t="s">
        <v>52</v>
      </c>
    </row>
    <row r="150" spans="1:7">
      <c r="A150" s="207" t="s">
        <v>18</v>
      </c>
      <c r="B150" s="263" t="s">
        <v>161</v>
      </c>
      <c r="C150" s="263"/>
      <c r="D150" s="263"/>
      <c r="E150" s="263"/>
      <c r="F150" s="263"/>
      <c r="G150" s="208">
        <f>$G$44</f>
        <v>2696.19</v>
      </c>
    </row>
    <row r="151" spans="1:7">
      <c r="A151" s="207" t="s">
        <v>20</v>
      </c>
      <c r="B151" s="263" t="s">
        <v>162</v>
      </c>
      <c r="C151" s="263"/>
      <c r="D151" s="263"/>
      <c r="E151" s="263"/>
      <c r="F151" s="263"/>
      <c r="G151" s="208">
        <f>$G$91</f>
        <v>2542.9699999999998</v>
      </c>
    </row>
    <row r="152" spans="1:7">
      <c r="A152" s="207" t="s">
        <v>23</v>
      </c>
      <c r="B152" s="263" t="s">
        <v>163</v>
      </c>
      <c r="C152" s="263"/>
      <c r="D152" s="263"/>
      <c r="E152" s="263"/>
      <c r="F152" s="263"/>
      <c r="G152" s="208">
        <f>$G$100</f>
        <v>192.42</v>
      </c>
    </row>
    <row r="153" spans="1:7">
      <c r="A153" s="207" t="s">
        <v>26</v>
      </c>
      <c r="B153" s="263" t="s">
        <v>164</v>
      </c>
      <c r="C153" s="263"/>
      <c r="D153" s="263"/>
      <c r="E153" s="263"/>
      <c r="F153" s="263"/>
      <c r="G153" s="208">
        <f>$G$125</f>
        <v>64.650000000000006</v>
      </c>
    </row>
    <row r="154" spans="1:7">
      <c r="A154" s="207" t="s">
        <v>28</v>
      </c>
      <c r="B154" s="263" t="s">
        <v>165</v>
      </c>
      <c r="C154" s="263"/>
      <c r="D154" s="263"/>
      <c r="E154" s="263"/>
      <c r="F154" s="263"/>
      <c r="G154" s="208">
        <f>$G$132</f>
        <v>65.81</v>
      </c>
    </row>
    <row r="155" spans="1:7">
      <c r="A155" s="269" t="s">
        <v>166</v>
      </c>
      <c r="B155" s="269"/>
      <c r="C155" s="269"/>
      <c r="D155" s="269"/>
      <c r="E155" s="269"/>
      <c r="F155" s="269"/>
      <c r="G155" s="195">
        <f>ROUND(SUM(G150:G154),2)</f>
        <v>5562.04</v>
      </c>
    </row>
    <row r="156" spans="1:7">
      <c r="A156" s="207" t="s">
        <v>80</v>
      </c>
      <c r="B156" s="263" t="s">
        <v>167</v>
      </c>
      <c r="C156" s="263"/>
      <c r="D156" s="263"/>
      <c r="E156" s="263"/>
      <c r="F156" s="263"/>
      <c r="G156" s="208">
        <f>G144</f>
        <v>440.73</v>
      </c>
    </row>
    <row r="157" spans="1:7">
      <c r="A157" s="264" t="s">
        <v>168</v>
      </c>
      <c r="B157" s="264"/>
      <c r="C157" s="264"/>
      <c r="D157" s="264"/>
      <c r="E157" s="264"/>
      <c r="F157" s="264"/>
      <c r="G157" s="182">
        <f>ROUND((G155+G137+G138)/(1-F143),2)</f>
        <v>6002.76</v>
      </c>
    </row>
    <row r="158" spans="1:7">
      <c r="A158" s="170"/>
      <c r="B158" s="170"/>
      <c r="C158" s="170"/>
      <c r="D158" s="170"/>
      <c r="E158" s="170"/>
      <c r="F158" s="170"/>
      <c r="G158" s="170"/>
    </row>
    <row r="159" spans="1:7">
      <c r="A159" s="265" t="s">
        <v>169</v>
      </c>
      <c r="B159" s="265"/>
      <c r="C159" s="265"/>
      <c r="D159" s="265"/>
      <c r="E159" s="265"/>
      <c r="F159" s="265"/>
      <c r="G159" s="265"/>
    </row>
    <row r="160" spans="1:7" ht="15" customHeight="1">
      <c r="A160" s="175"/>
      <c r="B160" s="266" t="s">
        <v>170</v>
      </c>
      <c r="C160" s="266"/>
      <c r="D160" s="266"/>
      <c r="E160" s="266"/>
      <c r="F160" s="266"/>
      <c r="G160" s="175" t="s">
        <v>52</v>
      </c>
    </row>
    <row r="161" spans="1:7">
      <c r="A161" s="207" t="s">
        <v>18</v>
      </c>
      <c r="B161" s="263" t="s">
        <v>171</v>
      </c>
      <c r="C161" s="263"/>
      <c r="D161" s="263"/>
      <c r="E161" s="263"/>
      <c r="F161" s="263"/>
      <c r="G161" s="182">
        <f>G157</f>
        <v>6002.76</v>
      </c>
    </row>
    <row r="162" spans="1:7">
      <c r="A162" s="207" t="s">
        <v>20</v>
      </c>
      <c r="B162" s="263" t="s">
        <v>172</v>
      </c>
      <c r="C162" s="263"/>
      <c r="D162" s="263"/>
      <c r="E162" s="263"/>
      <c r="F162" s="263"/>
      <c r="G162" s="182">
        <f>ROUND($G$161/$E$35,2)</f>
        <v>285.70999999999998</v>
      </c>
    </row>
    <row r="163" spans="1:7">
      <c r="A163" s="207" t="s">
        <v>23</v>
      </c>
      <c r="B163" s="263" t="s">
        <v>173</v>
      </c>
      <c r="C163" s="263"/>
      <c r="D163" s="263"/>
      <c r="E163" s="209">
        <f>$F$24</f>
        <v>1</v>
      </c>
      <c r="F163" s="210" t="s">
        <v>174</v>
      </c>
      <c r="G163" s="182">
        <f>ROUND($G$161*E163,2)</f>
        <v>6002.76</v>
      </c>
    </row>
    <row r="164" spans="1:7">
      <c r="A164" s="207" t="s">
        <v>26</v>
      </c>
      <c r="B164" s="267" t="s">
        <v>175</v>
      </c>
      <c r="C164" s="267"/>
      <c r="D164" s="267"/>
      <c r="E164" s="209">
        <f>F19</f>
        <v>12</v>
      </c>
      <c r="F164" s="210" t="s">
        <v>176</v>
      </c>
      <c r="G164" s="182">
        <f>ROUND(G163*E164,2)</f>
        <v>72033.119999999995</v>
      </c>
    </row>
    <row r="165" spans="1:7" ht="15" customHeight="1">
      <c r="A165" s="268" t="s">
        <v>177</v>
      </c>
      <c r="B165" s="268"/>
      <c r="C165" s="268"/>
      <c r="D165" s="268"/>
      <c r="E165" s="268"/>
      <c r="F165" s="268"/>
      <c r="G165" s="268"/>
    </row>
    <row r="166" spans="1:7" ht="25.2" customHeight="1">
      <c r="A166" s="177"/>
      <c r="B166" s="177"/>
      <c r="C166" s="177"/>
      <c r="D166" s="177"/>
      <c r="E166" s="177"/>
      <c r="F166" s="177"/>
      <c r="G166" s="177"/>
    </row>
    <row r="167" spans="1:7" ht="19.8" customHeight="1">
      <c r="A167" s="177"/>
      <c r="B167" s="177"/>
      <c r="C167" s="177"/>
      <c r="D167" s="177"/>
      <c r="E167" s="177"/>
      <c r="F167" s="177"/>
      <c r="G167" s="177"/>
    </row>
    <row r="168" spans="1:7" ht="15.6" customHeight="1">
      <c r="A168" s="177"/>
      <c r="B168" s="177"/>
      <c r="C168" s="177"/>
      <c r="D168" s="177"/>
      <c r="E168" s="177"/>
      <c r="F168" s="177"/>
      <c r="G168" s="177"/>
    </row>
    <row r="169" spans="1:7">
      <c r="A169" s="170"/>
      <c r="B169" s="170"/>
      <c r="C169" s="170"/>
      <c r="D169" s="170"/>
      <c r="E169" s="170"/>
      <c r="F169" s="170"/>
      <c r="G169" s="170"/>
    </row>
    <row r="170" spans="1:7">
      <c r="A170" s="170"/>
      <c r="B170" s="170"/>
      <c r="C170" s="170"/>
      <c r="D170" s="170"/>
      <c r="E170" s="170"/>
      <c r="F170" s="170"/>
      <c r="G170" s="170"/>
    </row>
    <row r="171" spans="1:7">
      <c r="A171" s="169"/>
      <c r="B171" s="169"/>
      <c r="C171" s="211"/>
      <c r="D171" s="211"/>
      <c r="E171" s="211"/>
      <c r="F171" s="169"/>
      <c r="G171" s="169"/>
    </row>
    <row r="172" spans="1:7">
      <c r="A172" s="169"/>
      <c r="B172" s="169"/>
      <c r="C172" s="262" t="s">
        <v>337</v>
      </c>
      <c r="D172" s="262"/>
      <c r="E172" s="262"/>
      <c r="F172" s="169"/>
      <c r="G172" s="169"/>
    </row>
    <row r="173" spans="1:7">
      <c r="A173" s="169"/>
      <c r="B173" s="169"/>
      <c r="C173" s="262" t="s">
        <v>336</v>
      </c>
      <c r="D173" s="262"/>
      <c r="E173" s="262"/>
      <c r="F173" s="169"/>
      <c r="G173" s="169"/>
    </row>
    <row r="174" spans="1:7">
      <c r="A174" s="358"/>
      <c r="B174" s="358"/>
      <c r="C174" s="358"/>
      <c r="D174" s="358"/>
      <c r="E174" s="358"/>
      <c r="F174" s="358"/>
      <c r="G174" s="358"/>
    </row>
    <row r="175" spans="1:7" hidden="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20" zoomScaleNormal="100" zoomScaleSheetLayoutView="100" workbookViewId="0">
      <selection activeCell="A176" sqref="A1:G176"/>
    </sheetView>
  </sheetViews>
  <sheetFormatPr defaultColWidth="14.44140625" defaultRowHeight="14.4" zeroHeight="1"/>
  <cols>
    <col min="1" max="1" width="8.6640625" style="47" customWidth="1"/>
    <col min="2" max="4" width="18" style="47" customWidth="1"/>
    <col min="5" max="5" width="36.44140625" style="47" customWidth="1"/>
    <col min="6" max="7" width="14.44140625" style="47"/>
    <col min="8" max="12" width="14.44140625" style="1"/>
    <col min="13" max="1024" width="14.44140625" style="1" hidden="1"/>
  </cols>
  <sheetData>
    <row r="1" spans="1:7" ht="66" customHeight="1">
      <c r="A1" s="257" t="s">
        <v>11</v>
      </c>
      <c r="B1" s="257"/>
      <c r="C1" s="257"/>
      <c r="D1" s="257"/>
      <c r="E1" s="257"/>
      <c r="F1" s="257"/>
      <c r="G1" s="257"/>
    </row>
    <row r="2" spans="1:7" ht="45">
      <c r="A2" s="303"/>
      <c r="B2" s="303"/>
      <c r="C2" s="303"/>
      <c r="D2" s="303"/>
      <c r="E2" s="303"/>
      <c r="F2" s="303"/>
      <c r="G2" s="303"/>
    </row>
    <row r="3" spans="1:7">
      <c r="A3" s="169"/>
      <c r="B3" s="169"/>
      <c r="C3" s="169"/>
      <c r="D3" s="169"/>
      <c r="E3" s="169"/>
      <c r="F3" s="169"/>
      <c r="G3" s="169"/>
    </row>
    <row r="4" spans="1:7">
      <c r="A4" s="169"/>
      <c r="B4" s="169"/>
      <c r="C4" s="169"/>
      <c r="D4" s="169"/>
      <c r="E4" s="169"/>
      <c r="F4" s="169"/>
      <c r="G4" s="169"/>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69"/>
      <c r="B9" s="169"/>
      <c r="C9" s="169"/>
      <c r="D9" s="169"/>
      <c r="E9" s="169"/>
      <c r="F9" s="169"/>
      <c r="G9" s="169"/>
    </row>
    <row r="10" spans="1:7">
      <c r="A10" s="169"/>
      <c r="B10" s="169"/>
      <c r="C10" s="169"/>
      <c r="D10" s="169"/>
      <c r="E10" s="169"/>
      <c r="F10" s="169"/>
      <c r="G10" s="169"/>
    </row>
    <row r="11" spans="1:7">
      <c r="A11" s="305" t="s">
        <v>334</v>
      </c>
      <c r="B11" s="305"/>
      <c r="C11" s="305"/>
      <c r="D11" s="305"/>
      <c r="E11" s="305"/>
      <c r="F11" s="305"/>
      <c r="G11" s="305"/>
    </row>
    <row r="12" spans="1:7">
      <c r="A12" s="170"/>
      <c r="B12" s="170"/>
      <c r="C12" s="170"/>
      <c r="D12" s="170"/>
      <c r="E12" s="170"/>
      <c r="F12" s="170"/>
      <c r="G12" s="170"/>
    </row>
    <row r="13" spans="1:7">
      <c r="A13" s="170"/>
      <c r="B13" s="170"/>
      <c r="C13" s="170"/>
      <c r="D13" s="170"/>
      <c r="E13" s="170"/>
      <c r="F13" s="170"/>
      <c r="G13" s="170"/>
    </row>
    <row r="14" spans="1:7" ht="15" customHeight="1">
      <c r="A14" s="306" t="s">
        <v>0</v>
      </c>
      <c r="B14" s="306"/>
      <c r="C14" s="306"/>
      <c r="D14" s="306"/>
      <c r="E14" s="306"/>
      <c r="F14" s="306"/>
      <c r="G14" s="306"/>
    </row>
    <row r="15" spans="1:7">
      <c r="A15" s="171" t="s">
        <v>12</v>
      </c>
      <c r="B15" s="172" t="s">
        <v>13</v>
      </c>
      <c r="C15" s="299" t="s">
        <v>14</v>
      </c>
      <c r="D15" s="299"/>
      <c r="E15" s="299"/>
      <c r="F15" s="299"/>
      <c r="G15" s="299"/>
    </row>
    <row r="16" spans="1:7">
      <c r="A16" s="171" t="s">
        <v>12</v>
      </c>
      <c r="B16" s="172" t="s">
        <v>15</v>
      </c>
      <c r="C16" s="298" t="s">
        <v>324</v>
      </c>
      <c r="D16" s="298"/>
      <c r="E16" s="298"/>
      <c r="F16" s="298"/>
      <c r="G16" s="298"/>
    </row>
    <row r="17" spans="1:7">
      <c r="A17" s="171" t="s">
        <v>12</v>
      </c>
      <c r="B17" s="172" t="s">
        <v>16</v>
      </c>
      <c r="C17" s="299" t="s">
        <v>325</v>
      </c>
      <c r="D17" s="299"/>
      <c r="E17" s="299"/>
      <c r="F17" s="299"/>
      <c r="G17" s="299"/>
    </row>
    <row r="18" spans="1:7">
      <c r="A18" s="170"/>
      <c r="B18" s="170"/>
      <c r="C18" s="170"/>
      <c r="D18" s="170"/>
      <c r="E18" s="170"/>
      <c r="F18" s="170"/>
      <c r="G18" s="170"/>
    </row>
    <row r="19" spans="1:7" ht="15" customHeight="1">
      <c r="A19" s="292" t="s">
        <v>17</v>
      </c>
      <c r="B19" s="292"/>
      <c r="C19" s="292"/>
      <c r="D19" s="292"/>
      <c r="E19" s="292"/>
      <c r="F19" s="292"/>
      <c r="G19" s="292"/>
    </row>
    <row r="20" spans="1:7">
      <c r="A20" s="171" t="s">
        <v>18</v>
      </c>
      <c r="B20" s="278" t="s">
        <v>19</v>
      </c>
      <c r="C20" s="278"/>
      <c r="D20" s="278"/>
      <c r="E20" s="278"/>
      <c r="F20" s="300">
        <v>44470</v>
      </c>
      <c r="G20" s="301"/>
    </row>
    <row r="21" spans="1:7" ht="15" customHeight="1">
      <c r="A21" s="171" t="s">
        <v>20</v>
      </c>
      <c r="B21" s="278" t="s">
        <v>21</v>
      </c>
      <c r="C21" s="278"/>
      <c r="D21" s="278"/>
      <c r="E21" s="278"/>
      <c r="F21" s="302" t="s">
        <v>22</v>
      </c>
      <c r="G21" s="302"/>
    </row>
    <row r="22" spans="1:7">
      <c r="A22" s="171" t="s">
        <v>23</v>
      </c>
      <c r="B22" s="278" t="s">
        <v>24</v>
      </c>
      <c r="C22" s="278"/>
      <c r="D22" s="278"/>
      <c r="E22" s="278"/>
      <c r="F22" s="301" t="s">
        <v>25</v>
      </c>
      <c r="G22" s="301"/>
    </row>
    <row r="23" spans="1:7">
      <c r="A23" s="171" t="s">
        <v>26</v>
      </c>
      <c r="B23" s="278" t="s">
        <v>27</v>
      </c>
      <c r="C23" s="278"/>
      <c r="D23" s="278"/>
      <c r="E23" s="278"/>
      <c r="F23" s="295">
        <v>12</v>
      </c>
      <c r="G23" s="295"/>
    </row>
    <row r="24" spans="1:7">
      <c r="A24" s="174" t="s">
        <v>28</v>
      </c>
      <c r="B24" s="296" t="s">
        <v>29</v>
      </c>
      <c r="C24" s="296"/>
      <c r="D24" s="296"/>
      <c r="E24" s="296"/>
      <c r="F24" s="295" t="s">
        <v>326</v>
      </c>
      <c r="G24" s="295"/>
    </row>
    <row r="25" spans="1:7">
      <c r="A25" s="170"/>
      <c r="B25" s="170"/>
      <c r="C25" s="170"/>
      <c r="D25" s="170"/>
      <c r="E25" s="170"/>
      <c r="F25" s="170"/>
      <c r="G25" s="170"/>
    </row>
    <row r="26" spans="1:7" ht="15" customHeight="1">
      <c r="A26" s="292" t="s">
        <v>30</v>
      </c>
      <c r="B26" s="292"/>
      <c r="C26" s="292"/>
      <c r="D26" s="292"/>
      <c r="E26" s="292"/>
      <c r="F26" s="292"/>
      <c r="G26" s="292"/>
    </row>
    <row r="27" spans="1:7" ht="18.75" customHeight="1">
      <c r="A27" s="266" t="s">
        <v>31</v>
      </c>
      <c r="B27" s="266"/>
      <c r="C27" s="266"/>
      <c r="D27" s="266"/>
      <c r="E27" s="175" t="s">
        <v>32</v>
      </c>
      <c r="F27" s="266" t="s">
        <v>33</v>
      </c>
      <c r="G27" s="266"/>
    </row>
    <row r="28" spans="1:7">
      <c r="A28" s="297" t="str">
        <f>Geral!B4</f>
        <v>Motorista Executivo (14h00 - 24h00)</v>
      </c>
      <c r="B28" s="297"/>
      <c r="C28" s="297"/>
      <c r="D28" s="297"/>
      <c r="E28" s="176" t="str">
        <f>Geral!G4</f>
        <v>Posto/mês</v>
      </c>
      <c r="F28" s="251">
        <f>IFERROR(VLOOKUP(A28,Proposta!$B$17:$D$23,3,FALSE()),1)</f>
        <v>1</v>
      </c>
      <c r="G28" s="251"/>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0"/>
      <c r="B31" s="170"/>
      <c r="C31" s="170"/>
      <c r="D31" s="170"/>
      <c r="E31" s="170"/>
      <c r="F31" s="170"/>
      <c r="G31" s="170"/>
    </row>
    <row r="32" spans="1:7" ht="15" customHeight="1">
      <c r="A32" s="292" t="s">
        <v>36</v>
      </c>
      <c r="B32" s="292"/>
      <c r="C32" s="292"/>
      <c r="D32" s="292"/>
      <c r="E32" s="292"/>
      <c r="F32" s="292"/>
      <c r="G32" s="292"/>
    </row>
    <row r="33" spans="1:9" ht="15" customHeight="1">
      <c r="A33" s="293" t="s">
        <v>37</v>
      </c>
      <c r="B33" s="293"/>
      <c r="C33" s="293"/>
      <c r="D33" s="293"/>
      <c r="E33" s="293"/>
      <c r="F33" s="293"/>
      <c r="G33" s="293"/>
    </row>
    <row r="34" spans="1:9">
      <c r="A34" s="171">
        <v>1</v>
      </c>
      <c r="B34" s="278" t="s">
        <v>38</v>
      </c>
      <c r="C34" s="278"/>
      <c r="D34" s="278"/>
      <c r="E34" s="288" t="s">
        <v>39</v>
      </c>
      <c r="F34" s="288"/>
      <c r="G34" s="288"/>
    </row>
    <row r="35" spans="1:9">
      <c r="A35" s="171">
        <v>2</v>
      </c>
      <c r="B35" s="278" t="s">
        <v>40</v>
      </c>
      <c r="C35" s="278"/>
      <c r="D35" s="278"/>
      <c r="E35" s="288" t="s">
        <v>41</v>
      </c>
      <c r="F35" s="288"/>
      <c r="G35" s="288"/>
    </row>
    <row r="36" spans="1:9">
      <c r="A36" s="171">
        <v>3</v>
      </c>
      <c r="B36" s="278" t="s">
        <v>42</v>
      </c>
      <c r="C36" s="278"/>
      <c r="D36" s="278"/>
      <c r="E36" s="294">
        <v>1368.91</v>
      </c>
      <c r="F36" s="294"/>
      <c r="G36" s="294"/>
    </row>
    <row r="37" spans="1:9">
      <c r="A37" s="171">
        <v>4</v>
      </c>
      <c r="B37" s="278" t="s">
        <v>43</v>
      </c>
      <c r="C37" s="278"/>
      <c r="D37" s="278"/>
      <c r="E37" s="288" t="s">
        <v>44</v>
      </c>
      <c r="F37" s="288"/>
      <c r="G37" s="288"/>
    </row>
    <row r="38" spans="1:9">
      <c r="A38" s="171">
        <v>5</v>
      </c>
      <c r="B38" s="278" t="s">
        <v>45</v>
      </c>
      <c r="C38" s="278"/>
      <c r="D38" s="278"/>
      <c r="E38" s="289">
        <v>44197</v>
      </c>
      <c r="F38" s="289"/>
      <c r="G38" s="289"/>
    </row>
    <row r="39" spans="1:9">
      <c r="A39" s="178">
        <v>6</v>
      </c>
      <c r="B39" s="290" t="s">
        <v>46</v>
      </c>
      <c r="C39" s="290"/>
      <c r="D39" s="290"/>
      <c r="E39" s="288">
        <v>21.01</v>
      </c>
      <c r="F39" s="288"/>
      <c r="G39" s="288"/>
    </row>
    <row r="40" spans="1:9">
      <c r="A40" s="178">
        <v>7</v>
      </c>
      <c r="B40" s="290" t="s">
        <v>47</v>
      </c>
      <c r="C40" s="290"/>
      <c r="D40" s="290"/>
      <c r="E40" s="291">
        <v>1100</v>
      </c>
      <c r="F40" s="291"/>
      <c r="G40" s="291"/>
    </row>
    <row r="41" spans="1:9" ht="15" customHeight="1">
      <c r="A41" s="268" t="s">
        <v>48</v>
      </c>
      <c r="B41" s="268"/>
      <c r="C41" s="268"/>
      <c r="D41" s="268"/>
      <c r="E41" s="268"/>
      <c r="F41" s="268"/>
      <c r="G41" s="268"/>
    </row>
    <row r="42" spans="1:9" ht="15" customHeight="1">
      <c r="A42" s="268" t="s">
        <v>49</v>
      </c>
      <c r="B42" s="268"/>
      <c r="C42" s="268"/>
      <c r="D42" s="268"/>
      <c r="E42" s="268"/>
      <c r="F42" s="268"/>
      <c r="G42" s="268"/>
    </row>
    <row r="43" spans="1:9">
      <c r="A43" s="170"/>
      <c r="B43" s="170"/>
      <c r="C43" s="170"/>
      <c r="D43" s="170"/>
      <c r="E43" s="170"/>
      <c r="F43" s="170"/>
      <c r="G43" s="170"/>
    </row>
    <row r="44" spans="1:9">
      <c r="A44" s="265" t="s">
        <v>50</v>
      </c>
      <c r="B44" s="265"/>
      <c r="C44" s="265"/>
      <c r="D44" s="265"/>
      <c r="E44" s="265"/>
      <c r="F44" s="265"/>
      <c r="G44" s="265"/>
    </row>
    <row r="45" spans="1:9" ht="15" customHeight="1">
      <c r="A45" s="175">
        <v>1</v>
      </c>
      <c r="B45" s="266" t="s">
        <v>51</v>
      </c>
      <c r="C45" s="266"/>
      <c r="D45" s="266"/>
      <c r="E45" s="266"/>
      <c r="F45" s="266"/>
      <c r="G45" s="175" t="s">
        <v>52</v>
      </c>
    </row>
    <row r="46" spans="1:9">
      <c r="A46" s="171" t="s">
        <v>18</v>
      </c>
      <c r="B46" s="276" t="s">
        <v>53</v>
      </c>
      <c r="C46" s="276"/>
      <c r="D46" s="276"/>
      <c r="E46" s="276"/>
      <c r="F46" s="276"/>
      <c r="G46" s="179">
        <v>2696.19</v>
      </c>
    </row>
    <row r="47" spans="1:9" ht="30" customHeight="1">
      <c r="A47" s="171" t="s">
        <v>20</v>
      </c>
      <c r="B47" s="287" t="s">
        <v>179</v>
      </c>
      <c r="C47" s="287"/>
      <c r="D47" s="287"/>
      <c r="E47" s="287"/>
      <c r="F47" s="287"/>
      <c r="G47" s="180">
        <f>ROUND(2*$E$39*(($G$46/220)*20%),2)</f>
        <v>102.99</v>
      </c>
    </row>
    <row r="48" spans="1:9">
      <c r="A48" s="171" t="s">
        <v>23</v>
      </c>
      <c r="B48" s="278" t="s">
        <v>180</v>
      </c>
      <c r="C48" s="278"/>
      <c r="D48" s="278"/>
      <c r="E48" s="278"/>
      <c r="F48" s="278"/>
      <c r="G48" s="180">
        <f>ROUND(2*$E$39*((60/52.5)-1)*(($G$46/220)*120%),2)</f>
        <v>88.28</v>
      </c>
      <c r="I48" s="49"/>
    </row>
    <row r="49" spans="1:7">
      <c r="A49" s="171" t="s">
        <v>26</v>
      </c>
      <c r="B49" s="277" t="s">
        <v>54</v>
      </c>
      <c r="C49" s="277"/>
      <c r="D49" s="277"/>
      <c r="E49" s="277"/>
      <c r="F49" s="277"/>
      <c r="G49" s="181">
        <v>0</v>
      </c>
    </row>
    <row r="50" spans="1:7">
      <c r="A50" s="264" t="s">
        <v>55</v>
      </c>
      <c r="B50" s="264"/>
      <c r="C50" s="264"/>
      <c r="D50" s="264"/>
      <c r="E50" s="264"/>
      <c r="F50" s="264"/>
      <c r="G50" s="182">
        <f>ROUND(SUM(G46:G49),2)</f>
        <v>2887.46</v>
      </c>
    </row>
    <row r="51" spans="1:7">
      <c r="A51" s="170"/>
      <c r="B51" s="170"/>
      <c r="C51" s="170"/>
      <c r="D51" s="170"/>
      <c r="E51" s="170"/>
      <c r="F51" s="170"/>
      <c r="G51" s="170"/>
    </row>
    <row r="52" spans="1:7">
      <c r="A52" s="265" t="s">
        <v>56</v>
      </c>
      <c r="B52" s="265"/>
      <c r="C52" s="265"/>
      <c r="D52" s="265"/>
      <c r="E52" s="265"/>
      <c r="F52" s="265"/>
      <c r="G52" s="265"/>
    </row>
    <row r="53" spans="1:7" ht="15" customHeight="1">
      <c r="A53" s="281" t="s">
        <v>57</v>
      </c>
      <c r="B53" s="281"/>
      <c r="C53" s="281"/>
      <c r="D53" s="281"/>
      <c r="E53" s="281"/>
      <c r="F53" s="281"/>
      <c r="G53" s="281"/>
    </row>
    <row r="54" spans="1:7" ht="15" customHeight="1">
      <c r="A54" s="175" t="s">
        <v>58</v>
      </c>
      <c r="B54" s="266" t="s">
        <v>59</v>
      </c>
      <c r="C54" s="266"/>
      <c r="D54" s="266"/>
      <c r="E54" s="266"/>
      <c r="F54" s="175" t="s">
        <v>60</v>
      </c>
      <c r="G54" s="175" t="s">
        <v>52</v>
      </c>
    </row>
    <row r="55" spans="1:7">
      <c r="A55" s="171" t="s">
        <v>18</v>
      </c>
      <c r="B55" s="275" t="s">
        <v>61</v>
      </c>
      <c r="C55" s="275"/>
      <c r="D55" s="275"/>
      <c r="E55" s="275"/>
      <c r="F55" s="183">
        <f>1/12</f>
        <v>8.3333333333333329E-2</v>
      </c>
      <c r="G55" s="184">
        <f>ROUND($G$50*F55,2)</f>
        <v>240.62</v>
      </c>
    </row>
    <row r="56" spans="1:7">
      <c r="A56" s="171" t="s">
        <v>20</v>
      </c>
      <c r="B56" s="284" t="s">
        <v>62</v>
      </c>
      <c r="C56" s="284"/>
      <c r="D56" s="284"/>
      <c r="E56" s="284"/>
      <c r="F56" s="183">
        <v>0.1111</v>
      </c>
      <c r="G56" s="184">
        <f>ROUND($G$50*F56,2)</f>
        <v>320.8</v>
      </c>
    </row>
    <row r="57" spans="1:7">
      <c r="A57" s="264" t="s">
        <v>63</v>
      </c>
      <c r="B57" s="264"/>
      <c r="C57" s="264"/>
      <c r="D57" s="264"/>
      <c r="E57" s="264"/>
      <c r="F57" s="264"/>
      <c r="G57" s="182">
        <f>ROUND(SUM(G55:G56),2)</f>
        <v>561.41999999999996</v>
      </c>
    </row>
    <row r="58" spans="1:7" ht="29.25" customHeight="1">
      <c r="A58" s="285" t="s">
        <v>64</v>
      </c>
      <c r="B58" s="285"/>
      <c r="C58" s="285"/>
      <c r="D58" s="285"/>
      <c r="E58" s="285"/>
      <c r="F58" s="285"/>
      <c r="G58" s="285"/>
    </row>
    <row r="59" spans="1:7" ht="29.25" customHeight="1">
      <c r="A59" s="268" t="s">
        <v>65</v>
      </c>
      <c r="B59" s="268"/>
      <c r="C59" s="268"/>
      <c r="D59" s="268"/>
      <c r="E59" s="268"/>
      <c r="F59" s="268"/>
      <c r="G59" s="268"/>
    </row>
    <row r="60" spans="1:7" ht="41.25" customHeight="1">
      <c r="A60" s="268" t="s">
        <v>66</v>
      </c>
      <c r="B60" s="268"/>
      <c r="C60" s="268"/>
      <c r="D60" s="268"/>
      <c r="E60" s="268"/>
      <c r="F60" s="268"/>
      <c r="G60" s="268"/>
    </row>
    <row r="61" spans="1:7">
      <c r="A61" s="170"/>
      <c r="B61" s="170"/>
      <c r="C61" s="170"/>
      <c r="D61" s="170"/>
      <c r="E61" s="170"/>
      <c r="F61" s="170"/>
      <c r="G61" s="170"/>
    </row>
    <row r="62" spans="1:7">
      <c r="A62" s="286" t="s">
        <v>67</v>
      </c>
      <c r="B62" s="286"/>
      <c r="C62" s="286"/>
      <c r="D62" s="286"/>
      <c r="E62" s="286"/>
      <c r="F62" s="286"/>
      <c r="G62" s="185">
        <f>ROUND(G50+G57,2)</f>
        <v>3448.88</v>
      </c>
    </row>
    <row r="63" spans="1:7" ht="15" customHeight="1">
      <c r="A63" s="281" t="s">
        <v>68</v>
      </c>
      <c r="B63" s="281"/>
      <c r="C63" s="281"/>
      <c r="D63" s="281"/>
      <c r="E63" s="281"/>
      <c r="F63" s="281"/>
      <c r="G63" s="281"/>
    </row>
    <row r="64" spans="1:7" ht="15" customHeight="1">
      <c r="A64" s="175" t="s">
        <v>69</v>
      </c>
      <c r="B64" s="266" t="s">
        <v>70</v>
      </c>
      <c r="C64" s="266"/>
      <c r="D64" s="266"/>
      <c r="E64" s="266"/>
      <c r="F64" s="175" t="s">
        <v>60</v>
      </c>
      <c r="G64" s="175" t="s">
        <v>52</v>
      </c>
    </row>
    <row r="65" spans="1:7">
      <c r="A65" s="171" t="s">
        <v>18</v>
      </c>
      <c r="B65" s="275" t="s">
        <v>71</v>
      </c>
      <c r="C65" s="275"/>
      <c r="D65" s="275"/>
      <c r="E65" s="275"/>
      <c r="F65" s="183">
        <v>0.2</v>
      </c>
      <c r="G65" s="184">
        <f t="shared" ref="G65:G72" si="0">ROUND($G$62*F65,2)</f>
        <v>689.78</v>
      </c>
    </row>
    <row r="66" spans="1:7">
      <c r="A66" s="171" t="s">
        <v>72</v>
      </c>
      <c r="B66" s="275" t="s">
        <v>73</v>
      </c>
      <c r="C66" s="275"/>
      <c r="D66" s="275"/>
      <c r="E66" s="275"/>
      <c r="F66" s="183">
        <v>2.5000000000000001E-2</v>
      </c>
      <c r="G66" s="184">
        <f t="shared" si="0"/>
        <v>86.22</v>
      </c>
    </row>
    <row r="67" spans="1:7">
      <c r="A67" s="171" t="s">
        <v>74</v>
      </c>
      <c r="B67" s="276" t="s">
        <v>75</v>
      </c>
      <c r="C67" s="276"/>
      <c r="D67" s="276"/>
      <c r="E67" s="276"/>
      <c r="F67" s="186">
        <f>'Cargo1-Leve22h'!F61</f>
        <v>1.8200000000000001E-2</v>
      </c>
      <c r="G67" s="184">
        <f t="shared" si="0"/>
        <v>62.77</v>
      </c>
    </row>
    <row r="68" spans="1:7">
      <c r="A68" s="171" t="s">
        <v>20</v>
      </c>
      <c r="B68" s="275" t="s">
        <v>76</v>
      </c>
      <c r="C68" s="275"/>
      <c r="D68" s="275"/>
      <c r="E68" s="275"/>
      <c r="F68" s="183">
        <v>0.08</v>
      </c>
      <c r="G68" s="184">
        <f t="shared" si="0"/>
        <v>275.91000000000003</v>
      </c>
    </row>
    <row r="69" spans="1:7">
      <c r="A69" s="171" t="s">
        <v>23</v>
      </c>
      <c r="B69" s="275" t="s">
        <v>77</v>
      </c>
      <c r="C69" s="275"/>
      <c r="D69" s="275"/>
      <c r="E69" s="275"/>
      <c r="F69" s="183">
        <v>1.4999999999999999E-2</v>
      </c>
      <c r="G69" s="184">
        <f t="shared" si="0"/>
        <v>51.73</v>
      </c>
    </row>
    <row r="70" spans="1:7">
      <c r="A70" s="171" t="s">
        <v>26</v>
      </c>
      <c r="B70" s="275" t="s">
        <v>78</v>
      </c>
      <c r="C70" s="275"/>
      <c r="D70" s="275"/>
      <c r="E70" s="275"/>
      <c r="F70" s="183">
        <v>0.01</v>
      </c>
      <c r="G70" s="184">
        <f t="shared" si="0"/>
        <v>34.49</v>
      </c>
    </row>
    <row r="71" spans="1:7">
      <c r="A71" s="171" t="s">
        <v>28</v>
      </c>
      <c r="B71" s="275" t="s">
        <v>79</v>
      </c>
      <c r="C71" s="275"/>
      <c r="D71" s="275"/>
      <c r="E71" s="275"/>
      <c r="F71" s="183">
        <v>6.0000000000000001E-3</v>
      </c>
      <c r="G71" s="184">
        <f t="shared" si="0"/>
        <v>20.69</v>
      </c>
    </row>
    <row r="72" spans="1:7">
      <c r="A72" s="171" t="s">
        <v>80</v>
      </c>
      <c r="B72" s="275" t="s">
        <v>81</v>
      </c>
      <c r="C72" s="275"/>
      <c r="D72" s="275"/>
      <c r="E72" s="275"/>
      <c r="F72" s="183">
        <v>2E-3</v>
      </c>
      <c r="G72" s="184">
        <f t="shared" si="0"/>
        <v>6.9</v>
      </c>
    </row>
    <row r="73" spans="1:7">
      <c r="A73" s="264" t="s">
        <v>82</v>
      </c>
      <c r="B73" s="264"/>
      <c r="C73" s="264"/>
      <c r="D73" s="264"/>
      <c r="E73" s="264"/>
      <c r="F73" s="187">
        <f>SUM(F65:F72)</f>
        <v>0.35620000000000002</v>
      </c>
      <c r="G73" s="182">
        <f>ROUND(SUM(G65:G72),2)</f>
        <v>1228.49</v>
      </c>
    </row>
    <row r="74" spans="1:7">
      <c r="A74" s="283" t="s">
        <v>83</v>
      </c>
      <c r="B74" s="283"/>
      <c r="C74" s="283"/>
      <c r="D74" s="283"/>
      <c r="E74" s="283"/>
      <c r="F74" s="283"/>
      <c r="G74" s="283"/>
    </row>
    <row r="75" spans="1:7">
      <c r="A75" s="283" t="s">
        <v>84</v>
      </c>
      <c r="B75" s="283"/>
      <c r="C75" s="283"/>
      <c r="D75" s="283"/>
      <c r="E75" s="283"/>
      <c r="F75" s="283"/>
      <c r="G75" s="283"/>
    </row>
    <row r="76" spans="1:7">
      <c r="A76" s="283" t="s">
        <v>85</v>
      </c>
      <c r="B76" s="283"/>
      <c r="C76" s="283"/>
      <c r="D76" s="283"/>
      <c r="E76" s="283"/>
      <c r="F76" s="283"/>
      <c r="G76" s="283"/>
    </row>
    <row r="77" spans="1:7">
      <c r="A77" s="170"/>
      <c r="B77" s="170"/>
      <c r="C77" s="170"/>
      <c r="D77" s="170"/>
      <c r="E77" s="170"/>
      <c r="F77" s="170"/>
      <c r="G77" s="170"/>
    </row>
    <row r="78" spans="1:7" ht="15" customHeight="1">
      <c r="A78" s="281" t="s">
        <v>86</v>
      </c>
      <c r="B78" s="281"/>
      <c r="C78" s="281"/>
      <c r="D78" s="281"/>
      <c r="E78" s="281"/>
      <c r="F78" s="281"/>
      <c r="G78" s="281"/>
    </row>
    <row r="79" spans="1:7" ht="15" customHeight="1">
      <c r="A79" s="175" t="s">
        <v>87</v>
      </c>
      <c r="B79" s="266" t="s">
        <v>88</v>
      </c>
      <c r="C79" s="266"/>
      <c r="D79" s="266"/>
      <c r="E79" s="266"/>
      <c r="F79" s="266"/>
      <c r="G79" s="175" t="s">
        <v>52</v>
      </c>
    </row>
    <row r="80" spans="1:7">
      <c r="A80" s="171" t="s">
        <v>18</v>
      </c>
      <c r="B80" s="275" t="s">
        <v>89</v>
      </c>
      <c r="C80" s="275"/>
      <c r="D80" s="275"/>
      <c r="E80" s="188" t="s">
        <v>90</v>
      </c>
      <c r="F80" s="181">
        <v>5.5</v>
      </c>
      <c r="G80" s="189">
        <f>ROUND($E$39,0)*2*F80</f>
        <v>231</v>
      </c>
    </row>
    <row r="81" spans="1:7">
      <c r="A81" s="190" t="s">
        <v>91</v>
      </c>
      <c r="B81" s="271" t="s">
        <v>92</v>
      </c>
      <c r="C81" s="271"/>
      <c r="D81" s="271"/>
      <c r="E81" s="271"/>
      <c r="F81" s="191">
        <v>-0.06</v>
      </c>
      <c r="G81" s="192">
        <f>ROUND($G$46*F81,2)</f>
        <v>-161.77000000000001</v>
      </c>
    </row>
    <row r="82" spans="1:7">
      <c r="A82" s="171" t="s">
        <v>20</v>
      </c>
      <c r="B82" s="276" t="s">
        <v>93</v>
      </c>
      <c r="C82" s="276"/>
      <c r="D82" s="276"/>
      <c r="E82" s="188" t="s">
        <v>90</v>
      </c>
      <c r="F82" s="181">
        <v>38.51</v>
      </c>
      <c r="G82" s="193">
        <f>ROUND($E$39,0)*F82</f>
        <v>808.70999999999992</v>
      </c>
    </row>
    <row r="83" spans="1:7">
      <c r="A83" s="190" t="s">
        <v>94</v>
      </c>
      <c r="B83" s="282" t="s">
        <v>95</v>
      </c>
      <c r="C83" s="282"/>
      <c r="D83" s="282"/>
      <c r="E83" s="282"/>
      <c r="F83" s="180">
        <v>-0.3</v>
      </c>
      <c r="G83" s="192">
        <f>ROUND($E$39,0)*F83</f>
        <v>-6.3</v>
      </c>
    </row>
    <row r="84" spans="1:7">
      <c r="A84" s="171" t="s">
        <v>23</v>
      </c>
      <c r="B84" s="277" t="s">
        <v>178</v>
      </c>
      <c r="C84" s="277"/>
      <c r="D84" s="277"/>
      <c r="E84" s="277"/>
      <c r="F84" s="277"/>
      <c r="G84" s="181">
        <v>0</v>
      </c>
    </row>
    <row r="85" spans="1:7">
      <c r="A85" s="171" t="s">
        <v>26</v>
      </c>
      <c r="B85" s="278" t="s">
        <v>97</v>
      </c>
      <c r="C85" s="278"/>
      <c r="D85" s="278"/>
      <c r="E85" s="278"/>
      <c r="F85" s="278"/>
      <c r="G85" s="181">
        <v>0</v>
      </c>
    </row>
    <row r="86" spans="1:7">
      <c r="A86" s="171" t="s">
        <v>28</v>
      </c>
      <c r="B86" s="278" t="s">
        <v>98</v>
      </c>
      <c r="C86" s="278"/>
      <c r="D86" s="278"/>
      <c r="E86" s="278"/>
      <c r="F86" s="278"/>
      <c r="G86" s="181">
        <v>0</v>
      </c>
    </row>
    <row r="87" spans="1:7">
      <c r="A87" s="171" t="s">
        <v>80</v>
      </c>
      <c r="B87" s="276" t="s">
        <v>99</v>
      </c>
      <c r="C87" s="276"/>
      <c r="D87" s="276"/>
      <c r="E87" s="276"/>
      <c r="F87" s="276"/>
      <c r="G87" s="181">
        <v>0</v>
      </c>
    </row>
    <row r="88" spans="1:7">
      <c r="A88" s="264" t="s">
        <v>100</v>
      </c>
      <c r="B88" s="264"/>
      <c r="C88" s="264"/>
      <c r="D88" s="264"/>
      <c r="E88" s="264"/>
      <c r="F88" s="264"/>
      <c r="G88" s="182">
        <f>ROUND(SUM(G80:G87),2)</f>
        <v>871.64</v>
      </c>
    </row>
    <row r="89" spans="1:7">
      <c r="A89" s="283" t="s">
        <v>101</v>
      </c>
      <c r="B89" s="283"/>
      <c r="C89" s="283"/>
      <c r="D89" s="283"/>
      <c r="E89" s="283"/>
      <c r="F89" s="283"/>
      <c r="G89" s="283"/>
    </row>
    <row r="90" spans="1:7" ht="31.5" customHeight="1">
      <c r="A90" s="268" t="s">
        <v>102</v>
      </c>
      <c r="B90" s="268"/>
      <c r="C90" s="268"/>
      <c r="D90" s="268"/>
      <c r="E90" s="268"/>
      <c r="F90" s="268"/>
      <c r="G90" s="268"/>
    </row>
    <row r="91" spans="1:7">
      <c r="A91" s="170"/>
      <c r="B91" s="170"/>
      <c r="C91" s="170"/>
      <c r="D91" s="170"/>
      <c r="E91" s="170"/>
      <c r="F91" s="170"/>
      <c r="G91" s="170"/>
    </row>
    <row r="92" spans="1:7">
      <c r="A92" s="265" t="s">
        <v>103</v>
      </c>
      <c r="B92" s="265"/>
      <c r="C92" s="265"/>
      <c r="D92" s="265"/>
      <c r="E92" s="265"/>
      <c r="F92" s="265"/>
      <c r="G92" s="265"/>
    </row>
    <row r="93" spans="1:7" ht="15" customHeight="1">
      <c r="A93" s="175">
        <v>2</v>
      </c>
      <c r="B93" s="266" t="s">
        <v>104</v>
      </c>
      <c r="C93" s="266"/>
      <c r="D93" s="266"/>
      <c r="E93" s="266"/>
      <c r="F93" s="266"/>
      <c r="G93" s="175" t="s">
        <v>52</v>
      </c>
    </row>
    <row r="94" spans="1:7">
      <c r="A94" s="194" t="s">
        <v>58</v>
      </c>
      <c r="B94" s="279" t="s">
        <v>59</v>
      </c>
      <c r="C94" s="279"/>
      <c r="D94" s="279"/>
      <c r="E94" s="279"/>
      <c r="F94" s="279"/>
      <c r="G94" s="195">
        <f>$G$57</f>
        <v>561.41999999999996</v>
      </c>
    </row>
    <row r="95" spans="1:7">
      <c r="A95" s="194" t="s">
        <v>69</v>
      </c>
      <c r="B95" s="279" t="s">
        <v>70</v>
      </c>
      <c r="C95" s="279"/>
      <c r="D95" s="279"/>
      <c r="E95" s="279"/>
      <c r="F95" s="279"/>
      <c r="G95" s="195">
        <f>$G$73</f>
        <v>1228.49</v>
      </c>
    </row>
    <row r="96" spans="1:7">
      <c r="A96" s="194" t="s">
        <v>87</v>
      </c>
      <c r="B96" s="279" t="s">
        <v>88</v>
      </c>
      <c r="C96" s="279"/>
      <c r="D96" s="279"/>
      <c r="E96" s="279"/>
      <c r="F96" s="279"/>
      <c r="G96" s="195">
        <f>$G$88</f>
        <v>871.64</v>
      </c>
    </row>
    <row r="97" spans="1:7">
      <c r="A97" s="264" t="s">
        <v>105</v>
      </c>
      <c r="B97" s="264"/>
      <c r="C97" s="264"/>
      <c r="D97" s="264"/>
      <c r="E97" s="264"/>
      <c r="F97" s="264"/>
      <c r="G97" s="182">
        <f>ROUND(SUM(G94:G96),2)</f>
        <v>2661.55</v>
      </c>
    </row>
    <row r="98" spans="1:7">
      <c r="A98" s="170"/>
      <c r="B98" s="170"/>
      <c r="C98" s="170"/>
      <c r="D98" s="170"/>
      <c r="E98" s="170"/>
      <c r="F98" s="170"/>
      <c r="G98" s="170"/>
    </row>
    <row r="99" spans="1:7">
      <c r="A99" s="265" t="s">
        <v>106</v>
      </c>
      <c r="B99" s="265"/>
      <c r="C99" s="265"/>
      <c r="D99" s="265"/>
      <c r="E99" s="265"/>
      <c r="F99" s="265"/>
      <c r="G99" s="265"/>
    </row>
    <row r="100" spans="1:7" ht="15" customHeight="1">
      <c r="A100" s="175">
        <v>3</v>
      </c>
      <c r="B100" s="266" t="s">
        <v>107</v>
      </c>
      <c r="C100" s="266"/>
      <c r="D100" s="266"/>
      <c r="E100" s="266"/>
      <c r="F100" s="175" t="s">
        <v>60</v>
      </c>
      <c r="G100" s="175" t="s">
        <v>52</v>
      </c>
    </row>
    <row r="101" spans="1:7">
      <c r="A101" s="171" t="s">
        <v>18</v>
      </c>
      <c r="B101" s="276" t="s">
        <v>108</v>
      </c>
      <c r="C101" s="276"/>
      <c r="D101" s="276"/>
      <c r="E101" s="276"/>
      <c r="F101" s="183">
        <f>(1/12)*5.55%</f>
        <v>4.6249999999999998E-3</v>
      </c>
      <c r="G101" s="184">
        <f>ROUND($G$50*F101,2)</f>
        <v>13.35</v>
      </c>
    </row>
    <row r="102" spans="1:7">
      <c r="A102" s="171" t="s">
        <v>20</v>
      </c>
      <c r="B102" s="278" t="s">
        <v>109</v>
      </c>
      <c r="C102" s="278"/>
      <c r="D102" s="278"/>
      <c r="E102" s="278"/>
      <c r="F102" s="196">
        <f>$F$68</f>
        <v>0.08</v>
      </c>
      <c r="G102" s="184">
        <f>G101*F102</f>
        <v>1.0680000000000001</v>
      </c>
    </row>
    <row r="103" spans="1:7">
      <c r="A103" s="171" t="s">
        <v>23</v>
      </c>
      <c r="B103" s="277" t="s">
        <v>110</v>
      </c>
      <c r="C103" s="277"/>
      <c r="D103" s="277"/>
      <c r="E103" s="277"/>
      <c r="F103" s="183">
        <f>(7/30)/12</f>
        <v>1.9444444444444445E-2</v>
      </c>
      <c r="G103" s="184">
        <f>ROUND($G$50*F103,2)</f>
        <v>56.15</v>
      </c>
    </row>
    <row r="104" spans="1:7">
      <c r="A104" s="171" t="s">
        <v>26</v>
      </c>
      <c r="B104" s="278" t="s">
        <v>111</v>
      </c>
      <c r="C104" s="278"/>
      <c r="D104" s="278"/>
      <c r="E104" s="278"/>
      <c r="F104" s="196">
        <f>$F$73</f>
        <v>0.35620000000000002</v>
      </c>
      <c r="G104" s="184">
        <f>G103*F104</f>
        <v>20.000630000000001</v>
      </c>
    </row>
    <row r="105" spans="1:7">
      <c r="A105" s="171" t="s">
        <v>28</v>
      </c>
      <c r="B105" s="277" t="s">
        <v>112</v>
      </c>
      <c r="C105" s="277"/>
      <c r="D105" s="277"/>
      <c r="E105" s="277"/>
      <c r="F105" s="197">
        <v>0.04</v>
      </c>
      <c r="G105" s="184">
        <f>ROUND($G$50*F105,2)</f>
        <v>115.5</v>
      </c>
    </row>
    <row r="106" spans="1:7">
      <c r="A106" s="264" t="s">
        <v>113</v>
      </c>
      <c r="B106" s="264"/>
      <c r="C106" s="264"/>
      <c r="D106" s="264"/>
      <c r="E106" s="264"/>
      <c r="F106" s="264"/>
      <c r="G106" s="182">
        <f>ROUND(SUM(G101:G105),2)</f>
        <v>206.07</v>
      </c>
    </row>
    <row r="107" spans="1:7">
      <c r="A107" s="170"/>
      <c r="B107" s="170"/>
      <c r="C107" s="170"/>
      <c r="D107" s="170"/>
      <c r="E107" s="170"/>
      <c r="F107" s="170"/>
      <c r="G107" s="170"/>
    </row>
    <row r="108" spans="1:7">
      <c r="A108" s="265" t="s">
        <v>114</v>
      </c>
      <c r="B108" s="265"/>
      <c r="C108" s="265"/>
      <c r="D108" s="265"/>
      <c r="E108" s="265"/>
      <c r="F108" s="265"/>
      <c r="G108" s="265"/>
    </row>
    <row r="109" spans="1:7" ht="15" customHeight="1">
      <c r="A109" s="281" t="s">
        <v>115</v>
      </c>
      <c r="B109" s="281"/>
      <c r="C109" s="281"/>
      <c r="D109" s="281"/>
      <c r="E109" s="281"/>
      <c r="F109" s="281"/>
      <c r="G109" s="281"/>
    </row>
    <row r="110" spans="1:7" ht="15" customHeight="1">
      <c r="A110" s="175" t="s">
        <v>116</v>
      </c>
      <c r="B110" s="266" t="s">
        <v>117</v>
      </c>
      <c r="C110" s="266"/>
      <c r="D110" s="266"/>
      <c r="E110" s="266"/>
      <c r="F110" s="175" t="s">
        <v>60</v>
      </c>
      <c r="G110" s="175" t="s">
        <v>52</v>
      </c>
    </row>
    <row r="111" spans="1:7">
      <c r="A111" s="171" t="s">
        <v>18</v>
      </c>
      <c r="B111" s="278" t="s">
        <v>118</v>
      </c>
      <c r="C111" s="278"/>
      <c r="D111" s="278"/>
      <c r="E111" s="278"/>
      <c r="F111" s="183">
        <v>9.2999999999999992E-3</v>
      </c>
      <c r="G111" s="184">
        <f>ROUND($G$50*F111,2)</f>
        <v>26.85</v>
      </c>
    </row>
    <row r="112" spans="1:7" ht="15" customHeight="1">
      <c r="A112" s="171" t="s">
        <v>12</v>
      </c>
      <c r="B112" s="280" t="s">
        <v>119</v>
      </c>
      <c r="C112" s="280"/>
      <c r="D112" s="280"/>
      <c r="E112" s="280"/>
      <c r="F112" s="198">
        <f>$F$73</f>
        <v>0.35620000000000002</v>
      </c>
      <c r="G112" s="184">
        <f>ROUND(G111*F112,2)</f>
        <v>9.56</v>
      </c>
    </row>
    <row r="113" spans="1:7">
      <c r="A113" s="171" t="s">
        <v>20</v>
      </c>
      <c r="B113" s="277" t="s">
        <v>120</v>
      </c>
      <c r="C113" s="277"/>
      <c r="D113" s="277"/>
      <c r="E113" s="277"/>
      <c r="F113" s="199">
        <v>7.3000000000000001E-3</v>
      </c>
      <c r="G113" s="184">
        <f>ROUND($G$50*F113,2)</f>
        <v>21.08</v>
      </c>
    </row>
    <row r="114" spans="1:7">
      <c r="A114" s="171" t="s">
        <v>23</v>
      </c>
      <c r="B114" s="276" t="s">
        <v>121</v>
      </c>
      <c r="C114" s="276"/>
      <c r="D114" s="276"/>
      <c r="E114" s="276"/>
      <c r="F114" s="199">
        <v>8.1999999999999998E-4</v>
      </c>
      <c r="G114" s="184">
        <f>ROUND($G$50*F114,2)</f>
        <v>2.37</v>
      </c>
    </row>
    <row r="115" spans="1:7">
      <c r="A115" s="171" t="s">
        <v>26</v>
      </c>
      <c r="B115" s="277" t="s">
        <v>122</v>
      </c>
      <c r="C115" s="277"/>
      <c r="D115" s="277"/>
      <c r="E115" s="277"/>
      <c r="F115" s="199">
        <v>2.7000000000000001E-3</v>
      </c>
      <c r="G115" s="184">
        <f>ROUND($G$50*F115,2)</f>
        <v>7.8</v>
      </c>
    </row>
    <row r="116" spans="1:7">
      <c r="A116" s="171" t="s">
        <v>28</v>
      </c>
      <c r="B116" s="276" t="s">
        <v>123</v>
      </c>
      <c r="C116" s="276"/>
      <c r="D116" s="276"/>
      <c r="E116" s="276"/>
      <c r="F116" s="199">
        <v>5.5000000000000003E-4</v>
      </c>
      <c r="G116" s="184">
        <f>ROUND($G$50*F116,2)</f>
        <v>1.59</v>
      </c>
    </row>
    <row r="117" spans="1:7" ht="15" customHeight="1">
      <c r="A117" s="171" t="s">
        <v>80</v>
      </c>
      <c r="B117" s="280" t="s">
        <v>124</v>
      </c>
      <c r="C117" s="280"/>
      <c r="D117" s="280"/>
      <c r="E117" s="280"/>
      <c r="F117" s="199">
        <v>0</v>
      </c>
      <c r="G117" s="184">
        <f>ROUND($G$50*F117,2)</f>
        <v>0</v>
      </c>
    </row>
    <row r="118" spans="1:7">
      <c r="A118" s="264" t="s">
        <v>125</v>
      </c>
      <c r="B118" s="264"/>
      <c r="C118" s="264"/>
      <c r="D118" s="264"/>
      <c r="E118" s="264"/>
      <c r="F118" s="264"/>
      <c r="G118" s="182">
        <f>ROUND(SUM(G111:G117),2)</f>
        <v>69.25</v>
      </c>
    </row>
    <row r="119" spans="1:7" ht="44.25" customHeight="1">
      <c r="A119" s="268" t="s">
        <v>126</v>
      </c>
      <c r="B119" s="268"/>
      <c r="C119" s="268"/>
      <c r="D119" s="268"/>
      <c r="E119" s="268"/>
      <c r="F119" s="268"/>
      <c r="G119" s="268"/>
    </row>
    <row r="120" spans="1:7">
      <c r="A120" s="170"/>
      <c r="B120" s="170"/>
      <c r="C120" s="170"/>
      <c r="D120" s="170"/>
      <c r="E120" s="170"/>
      <c r="F120" s="170"/>
      <c r="G120" s="170"/>
    </row>
    <row r="121" spans="1:7" ht="15.75" customHeight="1">
      <c r="A121" s="281" t="s">
        <v>127</v>
      </c>
      <c r="B121" s="281"/>
      <c r="C121" s="281"/>
      <c r="D121" s="281"/>
      <c r="E121" s="281"/>
      <c r="F121" s="281"/>
      <c r="G121" s="281"/>
    </row>
    <row r="122" spans="1:7" ht="15" customHeight="1">
      <c r="A122" s="175" t="s">
        <v>128</v>
      </c>
      <c r="B122" s="266" t="s">
        <v>129</v>
      </c>
      <c r="C122" s="266"/>
      <c r="D122" s="266"/>
      <c r="E122" s="266"/>
      <c r="F122" s="175" t="s">
        <v>130</v>
      </c>
      <c r="G122" s="175" t="s">
        <v>52</v>
      </c>
    </row>
    <row r="123" spans="1:7">
      <c r="A123" s="171" t="s">
        <v>18</v>
      </c>
      <c r="B123" s="278" t="s">
        <v>131</v>
      </c>
      <c r="C123" s="278"/>
      <c r="D123" s="278"/>
      <c r="E123" s="278"/>
      <c r="F123" s="200">
        <v>0</v>
      </c>
      <c r="G123" s="184">
        <f>ROUND(F123*$E$39,2)</f>
        <v>0</v>
      </c>
    </row>
    <row r="124" spans="1:7">
      <c r="A124" s="264" t="s">
        <v>132</v>
      </c>
      <c r="B124" s="264"/>
      <c r="C124" s="264"/>
      <c r="D124" s="264"/>
      <c r="E124" s="264"/>
      <c r="F124" s="264"/>
      <c r="G124" s="182">
        <f>ROUND(SUM(G123),2)</f>
        <v>0</v>
      </c>
    </row>
    <row r="125" spans="1:7" ht="30" customHeight="1">
      <c r="A125" s="268" t="s">
        <v>133</v>
      </c>
      <c r="B125" s="268"/>
      <c r="C125" s="268"/>
      <c r="D125" s="268"/>
      <c r="E125" s="268"/>
      <c r="F125" s="268"/>
      <c r="G125" s="268"/>
    </row>
    <row r="126" spans="1:7">
      <c r="A126" s="170"/>
      <c r="B126" s="170"/>
      <c r="C126" s="170"/>
      <c r="D126" s="170"/>
      <c r="E126" s="170"/>
      <c r="F126" s="170"/>
      <c r="G126" s="170"/>
    </row>
    <row r="127" spans="1:7">
      <c r="A127" s="265" t="s">
        <v>134</v>
      </c>
      <c r="B127" s="265"/>
      <c r="C127" s="265"/>
      <c r="D127" s="265"/>
      <c r="E127" s="265"/>
      <c r="F127" s="265"/>
      <c r="G127" s="265"/>
    </row>
    <row r="128" spans="1:7" ht="15" customHeight="1">
      <c r="A128" s="175">
        <v>4</v>
      </c>
      <c r="B128" s="266" t="s">
        <v>104</v>
      </c>
      <c r="C128" s="266"/>
      <c r="D128" s="266"/>
      <c r="E128" s="266"/>
      <c r="F128" s="175" t="s">
        <v>60</v>
      </c>
      <c r="G128" s="175" t="s">
        <v>52</v>
      </c>
    </row>
    <row r="129" spans="1:7">
      <c r="A129" s="194" t="s">
        <v>116</v>
      </c>
      <c r="B129" s="279" t="s">
        <v>135</v>
      </c>
      <c r="C129" s="279"/>
      <c r="D129" s="279"/>
      <c r="E129" s="279"/>
      <c r="F129" s="201" t="s">
        <v>12</v>
      </c>
      <c r="G129" s="195">
        <f>$G$118</f>
        <v>69.25</v>
      </c>
    </row>
    <row r="130" spans="1:7">
      <c r="A130" s="194" t="s">
        <v>128</v>
      </c>
      <c r="B130" s="279" t="s">
        <v>136</v>
      </c>
      <c r="C130" s="279"/>
      <c r="D130" s="279"/>
      <c r="E130" s="279"/>
      <c r="F130" s="201" t="s">
        <v>12</v>
      </c>
      <c r="G130" s="195">
        <f>$G$124</f>
        <v>0</v>
      </c>
    </row>
    <row r="131" spans="1:7">
      <c r="A131" s="264" t="s">
        <v>137</v>
      </c>
      <c r="B131" s="264"/>
      <c r="C131" s="264"/>
      <c r="D131" s="264"/>
      <c r="E131" s="264"/>
      <c r="F131" s="264"/>
      <c r="G131" s="182">
        <f>ROUND(SUM(G129:G130),2)</f>
        <v>69.25</v>
      </c>
    </row>
    <row r="132" spans="1:7">
      <c r="A132" s="170"/>
      <c r="B132" s="170"/>
      <c r="C132" s="170"/>
      <c r="D132" s="170"/>
      <c r="E132" s="170"/>
      <c r="F132" s="170"/>
      <c r="G132" s="170"/>
    </row>
    <row r="133" spans="1:7">
      <c r="A133" s="265" t="s">
        <v>138</v>
      </c>
      <c r="B133" s="265"/>
      <c r="C133" s="265"/>
      <c r="D133" s="265"/>
      <c r="E133" s="265"/>
      <c r="F133" s="265"/>
      <c r="G133" s="265"/>
    </row>
    <row r="134" spans="1:7" ht="15" customHeight="1">
      <c r="A134" s="175">
        <v>5</v>
      </c>
      <c r="B134" s="266" t="s">
        <v>139</v>
      </c>
      <c r="C134" s="266"/>
      <c r="D134" s="266"/>
      <c r="E134" s="266"/>
      <c r="F134" s="266"/>
      <c r="G134" s="175" t="s">
        <v>52</v>
      </c>
    </row>
    <row r="135" spans="1:7">
      <c r="A135" s="171" t="s">
        <v>18</v>
      </c>
      <c r="B135" s="275" t="s">
        <v>140</v>
      </c>
      <c r="C135" s="275"/>
      <c r="D135" s="275"/>
      <c r="E135" s="275"/>
      <c r="F135" s="275"/>
      <c r="G135" s="181">
        <f>Insumos!G19</f>
        <v>65.806666666666658</v>
      </c>
    </row>
    <row r="136" spans="1:7">
      <c r="A136" s="171" t="s">
        <v>20</v>
      </c>
      <c r="B136" s="276" t="s">
        <v>141</v>
      </c>
      <c r="C136" s="276"/>
      <c r="D136" s="276"/>
      <c r="E136" s="276"/>
      <c r="F136" s="276"/>
      <c r="G136" s="181"/>
    </row>
    <row r="137" spans="1:7">
      <c r="A137" s="171" t="s">
        <v>28</v>
      </c>
      <c r="B137" s="277" t="s">
        <v>54</v>
      </c>
      <c r="C137" s="277"/>
      <c r="D137" s="277"/>
      <c r="E137" s="277"/>
      <c r="F137" s="277"/>
      <c r="G137" s="181">
        <v>0</v>
      </c>
    </row>
    <row r="138" spans="1:7">
      <c r="A138" s="264" t="s">
        <v>142</v>
      </c>
      <c r="B138" s="264"/>
      <c r="C138" s="264"/>
      <c r="D138" s="264"/>
      <c r="E138" s="264"/>
      <c r="F138" s="264"/>
      <c r="G138" s="182">
        <f>ROUND(SUM(G135:G137),2)</f>
        <v>65.81</v>
      </c>
    </row>
    <row r="139" spans="1:7" ht="15" customHeight="1">
      <c r="A139" s="268" t="s">
        <v>143</v>
      </c>
      <c r="B139" s="268"/>
      <c r="C139" s="268"/>
      <c r="D139" s="268"/>
      <c r="E139" s="268"/>
      <c r="F139" s="268"/>
      <c r="G139" s="268"/>
    </row>
    <row r="140" spans="1:7">
      <c r="A140" s="170"/>
      <c r="B140" s="170"/>
      <c r="C140" s="170"/>
      <c r="D140" s="170"/>
      <c r="E140" s="170"/>
      <c r="F140" s="170"/>
      <c r="G140" s="170"/>
    </row>
    <row r="141" spans="1:7">
      <c r="A141" s="265" t="s">
        <v>144</v>
      </c>
      <c r="B141" s="265"/>
      <c r="C141" s="265"/>
      <c r="D141" s="265"/>
      <c r="E141" s="265"/>
      <c r="F141" s="265"/>
      <c r="G141" s="265"/>
    </row>
    <row r="142" spans="1:7" ht="15" customHeight="1">
      <c r="A142" s="175">
        <v>6</v>
      </c>
      <c r="B142" s="266" t="s">
        <v>145</v>
      </c>
      <c r="C142" s="266"/>
      <c r="D142" s="266"/>
      <c r="E142" s="266"/>
      <c r="F142" s="266"/>
      <c r="G142" s="175" t="s">
        <v>52</v>
      </c>
    </row>
    <row r="143" spans="1:7">
      <c r="A143" s="202" t="s">
        <v>18</v>
      </c>
      <c r="B143" s="270" t="s">
        <v>146</v>
      </c>
      <c r="C143" s="270"/>
      <c r="D143" s="270"/>
      <c r="E143" s="270"/>
      <c r="F143" s="203">
        <f>'Cargo2-Exec22h'!F137</f>
        <v>6.0000000000000001E-3</v>
      </c>
      <c r="G143" s="204">
        <f>ROUND($G$161*F143,2)</f>
        <v>35.340000000000003</v>
      </c>
    </row>
    <row r="144" spans="1:7">
      <c r="A144" s="202" t="s">
        <v>20</v>
      </c>
      <c r="B144" s="270" t="s">
        <v>147</v>
      </c>
      <c r="C144" s="270"/>
      <c r="D144" s="270"/>
      <c r="E144" s="270"/>
      <c r="F144" s="203">
        <f>'Cargo2-Exec22h'!F138</f>
        <v>5.0000000000000001E-3</v>
      </c>
      <c r="G144" s="204">
        <f>ROUND(($G$161+$G$143)*F144,2)</f>
        <v>29.63</v>
      </c>
    </row>
    <row r="145" spans="1:7">
      <c r="A145" s="171" t="s">
        <v>148</v>
      </c>
      <c r="B145" s="271" t="str">
        <f>'Cargo1-Leve22h'!B139:E139</f>
        <v>Tributos Federais  (Ref. Acórdão TCU 1753/2008–P, PIS 0,24% e COFINS 1,08%)</v>
      </c>
      <c r="C145" s="271"/>
      <c r="D145" s="271"/>
      <c r="E145" s="271"/>
      <c r="F145" s="191">
        <f>'Cargo1-Leve22h'!F139</f>
        <v>1.32E-2</v>
      </c>
      <c r="G145" s="205">
        <f>ROUND($G$163*F145,2)</f>
        <v>83.91</v>
      </c>
    </row>
    <row r="146" spans="1:7">
      <c r="A146" s="171" t="s">
        <v>149</v>
      </c>
      <c r="B146" s="272" t="s">
        <v>150</v>
      </c>
      <c r="C146" s="272"/>
      <c r="D146" s="272"/>
      <c r="E146" s="272"/>
      <c r="F146" s="191">
        <f>'Cargo1-Leve22h'!F140</f>
        <v>0</v>
      </c>
      <c r="G146" s="205">
        <f>ROUND($G$163*F146,2)</f>
        <v>0</v>
      </c>
    </row>
    <row r="147" spans="1:7">
      <c r="A147" s="171" t="s">
        <v>151</v>
      </c>
      <c r="B147" s="271" t="s">
        <v>152</v>
      </c>
      <c r="C147" s="271"/>
      <c r="D147" s="271"/>
      <c r="E147" s="271"/>
      <c r="F147" s="191">
        <f>'Cargo1-Leve22h'!F141</f>
        <v>0.05</v>
      </c>
      <c r="G147" s="205">
        <f>ROUND($G$163*F147,2)</f>
        <v>317.83999999999997</v>
      </c>
    </row>
    <row r="148" spans="1:7">
      <c r="A148" s="171" t="s">
        <v>153</v>
      </c>
      <c r="B148" s="273" t="s">
        <v>154</v>
      </c>
      <c r="C148" s="273"/>
      <c r="D148" s="273"/>
      <c r="E148" s="273"/>
      <c r="F148" s="191">
        <f>'Cargo1-Leve22h'!F142</f>
        <v>0</v>
      </c>
      <c r="G148" s="205">
        <f>ROUND($G$163*F148,2)</f>
        <v>0</v>
      </c>
    </row>
    <row r="149" spans="1:7">
      <c r="A149" s="202" t="s">
        <v>23</v>
      </c>
      <c r="B149" s="274" t="s">
        <v>155</v>
      </c>
      <c r="C149" s="274"/>
      <c r="D149" s="274"/>
      <c r="E149" s="274"/>
      <c r="F149" s="206">
        <f>SUM(F145:F148)</f>
        <v>6.3200000000000006E-2</v>
      </c>
      <c r="G149" s="204">
        <f>ROUND(SUM(G145:G148),2)</f>
        <v>401.75</v>
      </c>
    </row>
    <row r="150" spans="1:7">
      <c r="A150" s="269" t="s">
        <v>156</v>
      </c>
      <c r="B150" s="269"/>
      <c r="C150" s="269"/>
      <c r="D150" s="269"/>
      <c r="E150" s="269"/>
      <c r="F150" s="187">
        <f>(1+F143)*(1+F144)/(1-F149)-1</f>
        <v>7.9237830913748919E-2</v>
      </c>
      <c r="G150" s="182">
        <f>ROUND(SUM(G143,G144,G149),2)</f>
        <v>466.72</v>
      </c>
    </row>
    <row r="151" spans="1:7" ht="15" customHeight="1">
      <c r="A151" s="268" t="s">
        <v>157</v>
      </c>
      <c r="B151" s="268"/>
      <c r="C151" s="268"/>
      <c r="D151" s="268"/>
      <c r="E151" s="268"/>
      <c r="F151" s="268"/>
      <c r="G151" s="268"/>
    </row>
    <row r="152" spans="1:7" ht="15" customHeight="1">
      <c r="A152" s="268" t="s">
        <v>158</v>
      </c>
      <c r="B152" s="268"/>
      <c r="C152" s="268"/>
      <c r="D152" s="268"/>
      <c r="E152" s="268"/>
      <c r="F152" s="268"/>
      <c r="G152" s="268"/>
    </row>
    <row r="153" spans="1:7">
      <c r="A153" s="170"/>
      <c r="B153" s="170"/>
      <c r="C153" s="170"/>
      <c r="D153" s="170"/>
      <c r="E153" s="170"/>
      <c r="F153" s="170"/>
      <c r="G153" s="170"/>
    </row>
    <row r="154" spans="1:7">
      <c r="A154" s="265" t="s">
        <v>159</v>
      </c>
      <c r="B154" s="265"/>
      <c r="C154" s="265"/>
      <c r="D154" s="265"/>
      <c r="E154" s="265"/>
      <c r="F154" s="265"/>
      <c r="G154" s="265"/>
    </row>
    <row r="155" spans="1:7" ht="15" customHeight="1">
      <c r="A155" s="175"/>
      <c r="B155" s="266" t="s">
        <v>160</v>
      </c>
      <c r="C155" s="266"/>
      <c r="D155" s="266"/>
      <c r="E155" s="266"/>
      <c r="F155" s="266"/>
      <c r="G155" s="175" t="s">
        <v>52</v>
      </c>
    </row>
    <row r="156" spans="1:7">
      <c r="A156" s="207" t="s">
        <v>18</v>
      </c>
      <c r="B156" s="263" t="s">
        <v>161</v>
      </c>
      <c r="C156" s="263"/>
      <c r="D156" s="263"/>
      <c r="E156" s="263"/>
      <c r="F156" s="263"/>
      <c r="G156" s="208">
        <f>$G$50</f>
        <v>2887.46</v>
      </c>
    </row>
    <row r="157" spans="1:7">
      <c r="A157" s="207" t="s">
        <v>20</v>
      </c>
      <c r="B157" s="263" t="s">
        <v>162</v>
      </c>
      <c r="C157" s="263"/>
      <c r="D157" s="263"/>
      <c r="E157" s="263"/>
      <c r="F157" s="263"/>
      <c r="G157" s="208">
        <f>$G$97</f>
        <v>2661.55</v>
      </c>
    </row>
    <row r="158" spans="1:7">
      <c r="A158" s="207" t="s">
        <v>23</v>
      </c>
      <c r="B158" s="263" t="s">
        <v>163</v>
      </c>
      <c r="C158" s="263"/>
      <c r="D158" s="263"/>
      <c r="E158" s="263"/>
      <c r="F158" s="263"/>
      <c r="G158" s="208">
        <f>$G$106</f>
        <v>206.07</v>
      </c>
    </row>
    <row r="159" spans="1:7">
      <c r="A159" s="207" t="s">
        <v>26</v>
      </c>
      <c r="B159" s="263" t="s">
        <v>164</v>
      </c>
      <c r="C159" s="263"/>
      <c r="D159" s="263"/>
      <c r="E159" s="263"/>
      <c r="F159" s="263"/>
      <c r="G159" s="208">
        <f>$G$131</f>
        <v>69.25</v>
      </c>
    </row>
    <row r="160" spans="1:7">
      <c r="A160" s="207" t="s">
        <v>28</v>
      </c>
      <c r="B160" s="263" t="s">
        <v>165</v>
      </c>
      <c r="C160" s="263"/>
      <c r="D160" s="263"/>
      <c r="E160" s="263"/>
      <c r="F160" s="263"/>
      <c r="G160" s="208">
        <f>$G$138</f>
        <v>65.81</v>
      </c>
    </row>
    <row r="161" spans="1:7">
      <c r="A161" s="269" t="s">
        <v>166</v>
      </c>
      <c r="B161" s="269"/>
      <c r="C161" s="269"/>
      <c r="D161" s="269"/>
      <c r="E161" s="269"/>
      <c r="F161" s="269"/>
      <c r="G161" s="195">
        <f>ROUND(SUM(G156:G160),2)</f>
        <v>5890.14</v>
      </c>
    </row>
    <row r="162" spans="1:7">
      <c r="A162" s="207" t="s">
        <v>80</v>
      </c>
      <c r="B162" s="263" t="s">
        <v>167</v>
      </c>
      <c r="C162" s="263"/>
      <c r="D162" s="263"/>
      <c r="E162" s="263"/>
      <c r="F162" s="263"/>
      <c r="G162" s="208">
        <f>G150</f>
        <v>466.72</v>
      </c>
    </row>
    <row r="163" spans="1:7">
      <c r="A163" s="264" t="s">
        <v>168</v>
      </c>
      <c r="B163" s="264"/>
      <c r="C163" s="264"/>
      <c r="D163" s="264"/>
      <c r="E163" s="264"/>
      <c r="F163" s="264"/>
      <c r="G163" s="182">
        <f>ROUND((G161+G143+G144)/(1-F149),2)</f>
        <v>6356.86</v>
      </c>
    </row>
    <row r="164" spans="1:7">
      <c r="A164" s="170"/>
      <c r="B164" s="170"/>
      <c r="C164" s="170"/>
      <c r="D164" s="170"/>
      <c r="E164" s="170"/>
      <c r="F164" s="170"/>
      <c r="G164" s="170"/>
    </row>
    <row r="165" spans="1:7">
      <c r="A165" s="265" t="s">
        <v>169</v>
      </c>
      <c r="B165" s="265"/>
      <c r="C165" s="265"/>
      <c r="D165" s="265"/>
      <c r="E165" s="265"/>
      <c r="F165" s="265"/>
      <c r="G165" s="265"/>
    </row>
    <row r="166" spans="1:7" ht="15" customHeight="1">
      <c r="A166" s="175"/>
      <c r="B166" s="266" t="s">
        <v>170</v>
      </c>
      <c r="C166" s="266"/>
      <c r="D166" s="266"/>
      <c r="E166" s="266"/>
      <c r="F166" s="266"/>
      <c r="G166" s="175" t="s">
        <v>52</v>
      </c>
    </row>
    <row r="167" spans="1:7">
      <c r="A167" s="207" t="s">
        <v>18</v>
      </c>
      <c r="B167" s="263" t="s">
        <v>171</v>
      </c>
      <c r="C167" s="263"/>
      <c r="D167" s="263"/>
      <c r="E167" s="263"/>
      <c r="F167" s="263"/>
      <c r="G167" s="182">
        <f>G163</f>
        <v>6356.86</v>
      </c>
    </row>
    <row r="168" spans="1:7">
      <c r="A168" s="207" t="s">
        <v>20</v>
      </c>
      <c r="B168" s="263" t="s">
        <v>172</v>
      </c>
      <c r="C168" s="263"/>
      <c r="D168" s="263"/>
      <c r="E168" s="263"/>
      <c r="F168" s="263"/>
      <c r="G168" s="182">
        <f>ROUND($G$167/$E$39,2)</f>
        <v>302.56</v>
      </c>
    </row>
    <row r="169" spans="1:7">
      <c r="A169" s="207" t="s">
        <v>23</v>
      </c>
      <c r="B169" s="263" t="s">
        <v>173</v>
      </c>
      <c r="C169" s="263"/>
      <c r="D169" s="263"/>
      <c r="E169" s="209">
        <f>$F$28</f>
        <v>1</v>
      </c>
      <c r="F169" s="210" t="s">
        <v>174</v>
      </c>
      <c r="G169" s="182">
        <f>ROUND($G$167*E169,2)</f>
        <v>6356.86</v>
      </c>
    </row>
    <row r="170" spans="1:7">
      <c r="A170" s="207" t="s">
        <v>26</v>
      </c>
      <c r="B170" s="267" t="s">
        <v>175</v>
      </c>
      <c r="C170" s="267"/>
      <c r="D170" s="267"/>
      <c r="E170" s="209">
        <f>F23</f>
        <v>12</v>
      </c>
      <c r="F170" s="210" t="s">
        <v>176</v>
      </c>
      <c r="G170" s="182">
        <f>ROUND(G169*E170,2)</f>
        <v>76282.320000000007</v>
      </c>
    </row>
    <row r="171" spans="1:7" ht="15" customHeight="1">
      <c r="A171" s="268" t="s">
        <v>177</v>
      </c>
      <c r="B171" s="268"/>
      <c r="C171" s="268"/>
      <c r="D171" s="268"/>
      <c r="E171" s="268"/>
      <c r="F171" s="268"/>
      <c r="G171" s="268"/>
    </row>
    <row r="172" spans="1:7" ht="73.2" customHeight="1">
      <c r="A172" s="170"/>
      <c r="B172" s="170"/>
      <c r="C172" s="170"/>
      <c r="D172" s="170"/>
      <c r="E172" s="170"/>
      <c r="F172" s="170"/>
      <c r="G172" s="170"/>
    </row>
    <row r="173" spans="1:7">
      <c r="A173" s="170"/>
      <c r="B173" s="170"/>
      <c r="C173" s="170"/>
      <c r="D173" s="170"/>
      <c r="E173" s="170"/>
      <c r="F173" s="170"/>
      <c r="G173" s="170"/>
    </row>
    <row r="174" spans="1:7">
      <c r="A174" s="169"/>
      <c r="B174" s="169"/>
      <c r="C174" s="211"/>
      <c r="D174" s="211"/>
      <c r="E174" s="211"/>
      <c r="F174" s="169"/>
      <c r="G174" s="169"/>
    </row>
    <row r="175" spans="1:7">
      <c r="A175" s="169"/>
      <c r="B175" s="169"/>
      <c r="C175" s="262" t="s">
        <v>337</v>
      </c>
      <c r="D175" s="262"/>
      <c r="E175" s="262"/>
      <c r="F175" s="169"/>
      <c r="G175" s="169"/>
    </row>
    <row r="176" spans="1:7">
      <c r="A176" s="169"/>
      <c r="B176" s="169"/>
      <c r="C176" s="262" t="s">
        <v>336</v>
      </c>
      <c r="D176" s="262"/>
      <c r="E176" s="262"/>
      <c r="F176" s="169"/>
      <c r="G176" s="169"/>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idden="1">
      <c r="A180" s="48"/>
      <c r="B180" s="48"/>
      <c r="C180" s="48"/>
      <c r="D180" s="48"/>
      <c r="E180" s="48"/>
      <c r="F180" s="48"/>
      <c r="G180" s="48"/>
    </row>
    <row r="181" spans="1:7" hidden="1">
      <c r="A181" s="48"/>
      <c r="B181" s="48"/>
      <c r="C181" s="48"/>
      <c r="D181" s="48"/>
      <c r="E181" s="48"/>
      <c r="F181" s="48"/>
      <c r="G181" s="48"/>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0"/>
  <sheetViews>
    <sheetView showGridLines="0" view="pageBreakPreview" topLeftCell="A166" zoomScaleNormal="100" zoomScaleSheetLayoutView="100" workbookViewId="0">
      <selection activeCell="A175" sqref="A1:G175"/>
    </sheetView>
  </sheetViews>
  <sheetFormatPr defaultColWidth="14.44140625" defaultRowHeight="14.4" zeroHeight="1"/>
  <cols>
    <col min="1" max="1" width="8.6640625" style="47" customWidth="1"/>
    <col min="2" max="4" width="18" style="47" customWidth="1"/>
    <col min="5" max="5" width="36.109375" style="47" customWidth="1"/>
    <col min="6" max="7" width="14.44140625" style="47"/>
    <col min="8" max="12" width="14.44140625" style="1"/>
    <col min="13" max="1024" width="14.44140625" style="1" hidden="1"/>
  </cols>
  <sheetData>
    <row r="1" spans="1:7" ht="62.25" customHeight="1">
      <c r="A1" s="257" t="s">
        <v>11</v>
      </c>
      <c r="B1" s="257"/>
      <c r="C1" s="257"/>
      <c r="D1" s="257"/>
      <c r="E1" s="257"/>
      <c r="F1" s="257"/>
      <c r="G1" s="257"/>
    </row>
    <row r="2" spans="1:7" ht="45">
      <c r="A2" s="303"/>
      <c r="B2" s="303"/>
      <c r="C2" s="303"/>
      <c r="D2" s="303"/>
      <c r="E2" s="303"/>
      <c r="F2" s="303"/>
      <c r="G2" s="303"/>
    </row>
    <row r="3" spans="1:7">
      <c r="A3" s="169"/>
      <c r="B3" s="169"/>
      <c r="C3" s="169"/>
      <c r="D3" s="169"/>
      <c r="E3" s="169"/>
      <c r="F3" s="169"/>
      <c r="G3" s="169"/>
    </row>
    <row r="4" spans="1:7">
      <c r="A4" s="169"/>
      <c r="B4" s="169"/>
      <c r="C4" s="169"/>
      <c r="D4" s="169"/>
      <c r="E4" s="169"/>
      <c r="F4" s="169"/>
      <c r="G4" s="169"/>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69"/>
      <c r="B9" s="169"/>
      <c r="C9" s="169"/>
      <c r="D9" s="169"/>
      <c r="E9" s="169"/>
      <c r="F9" s="169"/>
      <c r="G9" s="169"/>
    </row>
    <row r="10" spans="1:7">
      <c r="A10" s="169"/>
      <c r="B10" s="169"/>
      <c r="C10" s="169"/>
      <c r="D10" s="169"/>
      <c r="E10" s="169"/>
      <c r="F10" s="169"/>
      <c r="G10" s="169"/>
    </row>
    <row r="11" spans="1:7">
      <c r="A11" s="305" t="s">
        <v>334</v>
      </c>
      <c r="B11" s="305"/>
      <c r="C11" s="305"/>
      <c r="D11" s="305"/>
      <c r="E11" s="305"/>
      <c r="F11" s="305"/>
      <c r="G11" s="305"/>
    </row>
    <row r="12" spans="1:7">
      <c r="A12" s="170"/>
      <c r="B12" s="170"/>
      <c r="C12" s="170"/>
      <c r="D12" s="170"/>
      <c r="E12" s="170"/>
      <c r="F12" s="170"/>
      <c r="G12" s="170"/>
    </row>
    <row r="13" spans="1:7">
      <c r="A13" s="170"/>
      <c r="B13" s="170"/>
      <c r="C13" s="170"/>
      <c r="D13" s="170"/>
      <c r="E13" s="170"/>
      <c r="F13" s="170"/>
      <c r="G13" s="170"/>
    </row>
    <row r="14" spans="1:7" ht="15" customHeight="1">
      <c r="A14" s="306" t="s">
        <v>0</v>
      </c>
      <c r="B14" s="306"/>
      <c r="C14" s="306"/>
      <c r="D14" s="306"/>
      <c r="E14" s="306"/>
      <c r="F14" s="306"/>
      <c r="G14" s="306"/>
    </row>
    <row r="15" spans="1:7">
      <c r="A15" s="171" t="s">
        <v>12</v>
      </c>
      <c r="B15" s="173" t="s">
        <v>13</v>
      </c>
      <c r="C15" s="299" t="s">
        <v>14</v>
      </c>
      <c r="D15" s="299"/>
      <c r="E15" s="299"/>
      <c r="F15" s="299"/>
      <c r="G15" s="299"/>
    </row>
    <row r="16" spans="1:7">
      <c r="A16" s="171" t="s">
        <v>12</v>
      </c>
      <c r="B16" s="173" t="s">
        <v>15</v>
      </c>
      <c r="C16" s="298" t="s">
        <v>324</v>
      </c>
      <c r="D16" s="298"/>
      <c r="E16" s="298"/>
      <c r="F16" s="298"/>
      <c r="G16" s="298"/>
    </row>
    <row r="17" spans="1:7">
      <c r="A17" s="171" t="s">
        <v>12</v>
      </c>
      <c r="B17" s="173" t="s">
        <v>16</v>
      </c>
      <c r="C17" s="299" t="s">
        <v>325</v>
      </c>
      <c r="D17" s="299"/>
      <c r="E17" s="299"/>
      <c r="F17" s="299"/>
      <c r="G17" s="299"/>
    </row>
    <row r="18" spans="1:7">
      <c r="A18" s="170"/>
      <c r="B18" s="170"/>
      <c r="C18" s="170"/>
      <c r="D18" s="170"/>
      <c r="E18" s="170"/>
      <c r="F18" s="170"/>
      <c r="G18" s="170"/>
    </row>
    <row r="19" spans="1:7" ht="15" customHeight="1">
      <c r="A19" s="292" t="s">
        <v>17</v>
      </c>
      <c r="B19" s="292"/>
      <c r="C19" s="292"/>
      <c r="D19" s="292"/>
      <c r="E19" s="292"/>
      <c r="F19" s="292"/>
      <c r="G19" s="292"/>
    </row>
    <row r="20" spans="1:7">
      <c r="A20" s="171" t="s">
        <v>18</v>
      </c>
      <c r="B20" s="278" t="s">
        <v>19</v>
      </c>
      <c r="C20" s="278"/>
      <c r="D20" s="278"/>
      <c r="E20" s="278"/>
      <c r="F20" s="300">
        <v>44470</v>
      </c>
      <c r="G20" s="301"/>
    </row>
    <row r="21" spans="1:7" ht="15" customHeight="1">
      <c r="A21" s="171" t="s">
        <v>20</v>
      </c>
      <c r="B21" s="278" t="s">
        <v>21</v>
      </c>
      <c r="C21" s="278"/>
      <c r="D21" s="278"/>
      <c r="E21" s="278"/>
      <c r="F21" s="302" t="s">
        <v>22</v>
      </c>
      <c r="G21" s="302"/>
    </row>
    <row r="22" spans="1:7">
      <c r="A22" s="171" t="s">
        <v>23</v>
      </c>
      <c r="B22" s="278" t="s">
        <v>24</v>
      </c>
      <c r="C22" s="278"/>
      <c r="D22" s="278"/>
      <c r="E22" s="278"/>
      <c r="F22" s="301" t="s">
        <v>25</v>
      </c>
      <c r="G22" s="301"/>
    </row>
    <row r="23" spans="1:7">
      <c r="A23" s="171" t="s">
        <v>26</v>
      </c>
      <c r="B23" s="278" t="s">
        <v>27</v>
      </c>
      <c r="C23" s="278"/>
      <c r="D23" s="278"/>
      <c r="E23" s="278"/>
      <c r="F23" s="295">
        <v>12</v>
      </c>
      <c r="G23" s="295"/>
    </row>
    <row r="24" spans="1:7">
      <c r="A24" s="174" t="s">
        <v>28</v>
      </c>
      <c r="B24" s="296" t="s">
        <v>29</v>
      </c>
      <c r="C24" s="296"/>
      <c r="D24" s="296"/>
      <c r="E24" s="296"/>
      <c r="F24" s="295" t="s">
        <v>326</v>
      </c>
      <c r="G24" s="295"/>
    </row>
    <row r="25" spans="1:7">
      <c r="A25" s="170"/>
      <c r="B25" s="170"/>
      <c r="C25" s="170"/>
      <c r="D25" s="170"/>
      <c r="E25" s="170"/>
      <c r="F25" s="170"/>
      <c r="G25" s="170"/>
    </row>
    <row r="26" spans="1:7" ht="15" customHeight="1">
      <c r="A26" s="292" t="s">
        <v>30</v>
      </c>
      <c r="B26" s="292"/>
      <c r="C26" s="292"/>
      <c r="D26" s="292"/>
      <c r="E26" s="292"/>
      <c r="F26" s="292"/>
      <c r="G26" s="292"/>
    </row>
    <row r="27" spans="1:7" ht="22.5" customHeight="1">
      <c r="A27" s="266" t="s">
        <v>31</v>
      </c>
      <c r="B27" s="266"/>
      <c r="C27" s="266"/>
      <c r="D27" s="266"/>
      <c r="E27" s="175" t="s">
        <v>32</v>
      </c>
      <c r="F27" s="266" t="s">
        <v>33</v>
      </c>
      <c r="G27" s="266"/>
    </row>
    <row r="28" spans="1:7">
      <c r="A28" s="297" t="str">
        <f>Geral!B5</f>
        <v>Motorista Veículo Pesado (6h00 - 22h00)</v>
      </c>
      <c r="B28" s="297"/>
      <c r="C28" s="297"/>
      <c r="D28" s="297"/>
      <c r="E28" s="176" t="str">
        <f>Geral!G5</f>
        <v>Posto/mês</v>
      </c>
      <c r="F28" s="251">
        <f>IFERROR(VLOOKUP(A28,Proposta!$B$17:$D$23,3,FALSE()),1)</f>
        <v>1</v>
      </c>
      <c r="G28" s="251"/>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0"/>
      <c r="B31" s="170"/>
      <c r="C31" s="170"/>
      <c r="D31" s="170"/>
      <c r="E31" s="170"/>
      <c r="F31" s="170"/>
      <c r="G31" s="170"/>
    </row>
    <row r="32" spans="1:7" ht="15" customHeight="1">
      <c r="A32" s="292" t="s">
        <v>36</v>
      </c>
      <c r="B32" s="292"/>
      <c r="C32" s="292"/>
      <c r="D32" s="292"/>
      <c r="E32" s="292"/>
      <c r="F32" s="292"/>
      <c r="G32" s="292"/>
    </row>
    <row r="33" spans="1:7" ht="15" customHeight="1">
      <c r="A33" s="293" t="s">
        <v>37</v>
      </c>
      <c r="B33" s="293"/>
      <c r="C33" s="293"/>
      <c r="D33" s="293"/>
      <c r="E33" s="293"/>
      <c r="F33" s="293"/>
      <c r="G33" s="293"/>
    </row>
    <row r="34" spans="1:7">
      <c r="A34" s="171">
        <v>1</v>
      </c>
      <c r="B34" s="278" t="s">
        <v>38</v>
      </c>
      <c r="C34" s="278"/>
      <c r="D34" s="278"/>
      <c r="E34" s="288" t="s">
        <v>39</v>
      </c>
      <c r="F34" s="288"/>
      <c r="G34" s="288"/>
    </row>
    <row r="35" spans="1:7">
      <c r="A35" s="171">
        <v>2</v>
      </c>
      <c r="B35" s="278" t="s">
        <v>40</v>
      </c>
      <c r="C35" s="278"/>
      <c r="D35" s="278"/>
      <c r="E35" s="288" t="s">
        <v>41</v>
      </c>
      <c r="F35" s="288"/>
      <c r="G35" s="288"/>
    </row>
    <row r="36" spans="1:7">
      <c r="A36" s="171">
        <v>3</v>
      </c>
      <c r="B36" s="278" t="s">
        <v>42</v>
      </c>
      <c r="C36" s="278"/>
      <c r="D36" s="278"/>
      <c r="E36" s="294">
        <v>1368.91</v>
      </c>
      <c r="F36" s="294"/>
      <c r="G36" s="294"/>
    </row>
    <row r="37" spans="1:7">
      <c r="A37" s="171">
        <v>4</v>
      </c>
      <c r="B37" s="278" t="s">
        <v>43</v>
      </c>
      <c r="C37" s="278"/>
      <c r="D37" s="278"/>
      <c r="E37" s="288" t="s">
        <v>44</v>
      </c>
      <c r="F37" s="288"/>
      <c r="G37" s="288"/>
    </row>
    <row r="38" spans="1:7">
      <c r="A38" s="171">
        <v>5</v>
      </c>
      <c r="B38" s="278" t="s">
        <v>45</v>
      </c>
      <c r="C38" s="278"/>
      <c r="D38" s="278"/>
      <c r="E38" s="289">
        <v>44197</v>
      </c>
      <c r="F38" s="289"/>
      <c r="G38" s="289"/>
    </row>
    <row r="39" spans="1:7">
      <c r="A39" s="178">
        <v>6</v>
      </c>
      <c r="B39" s="290" t="s">
        <v>46</v>
      </c>
      <c r="C39" s="290"/>
      <c r="D39" s="290"/>
      <c r="E39" s="288">
        <v>21.01</v>
      </c>
      <c r="F39" s="288"/>
      <c r="G39" s="288"/>
    </row>
    <row r="40" spans="1:7">
      <c r="A40" s="178">
        <v>7</v>
      </c>
      <c r="B40" s="290" t="s">
        <v>47</v>
      </c>
      <c r="C40" s="290"/>
      <c r="D40" s="290"/>
      <c r="E40" s="291">
        <v>1100</v>
      </c>
      <c r="F40" s="291"/>
      <c r="G40" s="291"/>
    </row>
    <row r="41" spans="1:7" ht="15" customHeight="1">
      <c r="A41" s="268" t="s">
        <v>48</v>
      </c>
      <c r="B41" s="268"/>
      <c r="C41" s="268"/>
      <c r="D41" s="268"/>
      <c r="E41" s="268"/>
      <c r="F41" s="268"/>
      <c r="G41" s="268"/>
    </row>
    <row r="42" spans="1:7" ht="15" customHeight="1">
      <c r="A42" s="268" t="s">
        <v>49</v>
      </c>
      <c r="B42" s="268"/>
      <c r="C42" s="268"/>
      <c r="D42" s="268"/>
      <c r="E42" s="268"/>
      <c r="F42" s="268"/>
      <c r="G42" s="268"/>
    </row>
    <row r="43" spans="1:7">
      <c r="A43" s="170"/>
      <c r="B43" s="170"/>
      <c r="C43" s="170"/>
      <c r="D43" s="170"/>
      <c r="E43" s="170"/>
      <c r="F43" s="170"/>
      <c r="G43" s="170"/>
    </row>
    <row r="44" spans="1:7">
      <c r="A44" s="265" t="s">
        <v>50</v>
      </c>
      <c r="B44" s="265"/>
      <c r="C44" s="265"/>
      <c r="D44" s="265"/>
      <c r="E44" s="265"/>
      <c r="F44" s="265"/>
      <c r="G44" s="265"/>
    </row>
    <row r="45" spans="1:7" ht="15" customHeight="1">
      <c r="A45" s="175">
        <v>1</v>
      </c>
      <c r="B45" s="266" t="s">
        <v>51</v>
      </c>
      <c r="C45" s="266"/>
      <c r="D45" s="266"/>
      <c r="E45" s="266"/>
      <c r="F45" s="266"/>
      <c r="G45" s="175" t="s">
        <v>52</v>
      </c>
    </row>
    <row r="46" spans="1:7">
      <c r="A46" s="171" t="s">
        <v>18</v>
      </c>
      <c r="B46" s="276" t="s">
        <v>53</v>
      </c>
      <c r="C46" s="276"/>
      <c r="D46" s="276"/>
      <c r="E46" s="276"/>
      <c r="F46" s="276"/>
      <c r="G46" s="179">
        <v>2696.19</v>
      </c>
    </row>
    <row r="47" spans="1:7">
      <c r="A47" s="171" t="s">
        <v>20</v>
      </c>
      <c r="B47" s="277" t="s">
        <v>54</v>
      </c>
      <c r="C47" s="277"/>
      <c r="D47" s="277"/>
      <c r="E47" s="277"/>
      <c r="F47" s="277"/>
      <c r="G47" s="181">
        <v>0</v>
      </c>
    </row>
    <row r="48" spans="1:7">
      <c r="A48" s="264" t="s">
        <v>55</v>
      </c>
      <c r="B48" s="264"/>
      <c r="C48" s="264"/>
      <c r="D48" s="264"/>
      <c r="E48" s="264"/>
      <c r="F48" s="264"/>
      <c r="G48" s="182">
        <f>ROUND(SUM(G46:G47),2)</f>
        <v>2696.19</v>
      </c>
    </row>
    <row r="49" spans="1:7">
      <c r="A49" s="170"/>
      <c r="B49" s="170"/>
      <c r="C49" s="170"/>
      <c r="D49" s="170"/>
      <c r="E49" s="170"/>
      <c r="F49" s="170"/>
      <c r="G49" s="170"/>
    </row>
    <row r="50" spans="1:7">
      <c r="A50" s="265" t="s">
        <v>56</v>
      </c>
      <c r="B50" s="265"/>
      <c r="C50" s="265"/>
      <c r="D50" s="265"/>
      <c r="E50" s="265"/>
      <c r="F50" s="265"/>
      <c r="G50" s="265"/>
    </row>
    <row r="51" spans="1:7" ht="15" customHeight="1">
      <c r="A51" s="281" t="s">
        <v>57</v>
      </c>
      <c r="B51" s="281"/>
      <c r="C51" s="281"/>
      <c r="D51" s="281"/>
      <c r="E51" s="281"/>
      <c r="F51" s="281"/>
      <c r="G51" s="281"/>
    </row>
    <row r="52" spans="1:7" ht="15" customHeight="1">
      <c r="A52" s="175" t="s">
        <v>58</v>
      </c>
      <c r="B52" s="266" t="s">
        <v>59</v>
      </c>
      <c r="C52" s="266"/>
      <c r="D52" s="266"/>
      <c r="E52" s="266"/>
      <c r="F52" s="175" t="s">
        <v>60</v>
      </c>
      <c r="G52" s="175" t="s">
        <v>52</v>
      </c>
    </row>
    <row r="53" spans="1:7">
      <c r="A53" s="171" t="s">
        <v>18</v>
      </c>
      <c r="B53" s="275" t="s">
        <v>61</v>
      </c>
      <c r="C53" s="275"/>
      <c r="D53" s="275"/>
      <c r="E53" s="275"/>
      <c r="F53" s="183">
        <f>1/12</f>
        <v>8.3333333333333329E-2</v>
      </c>
      <c r="G53" s="184">
        <f>ROUND($G$48*F53,2)</f>
        <v>224.68</v>
      </c>
    </row>
    <row r="54" spans="1:7">
      <c r="A54" s="171" t="s">
        <v>20</v>
      </c>
      <c r="B54" s="284" t="s">
        <v>62</v>
      </c>
      <c r="C54" s="284"/>
      <c r="D54" s="284"/>
      <c r="E54" s="284"/>
      <c r="F54" s="183">
        <v>0.1111</v>
      </c>
      <c r="G54" s="184">
        <f>ROUND($G$48*F54,2)</f>
        <v>299.55</v>
      </c>
    </row>
    <row r="55" spans="1:7">
      <c r="A55" s="264" t="s">
        <v>63</v>
      </c>
      <c r="B55" s="264"/>
      <c r="C55" s="264"/>
      <c r="D55" s="264"/>
      <c r="E55" s="264"/>
      <c r="F55" s="264"/>
      <c r="G55" s="182">
        <f>ROUND(SUM(G53:G54),2)</f>
        <v>524.23</v>
      </c>
    </row>
    <row r="56" spans="1:7" ht="31.5" customHeight="1">
      <c r="A56" s="285" t="s">
        <v>64</v>
      </c>
      <c r="B56" s="285"/>
      <c r="C56" s="285"/>
      <c r="D56" s="285"/>
      <c r="E56" s="285"/>
      <c r="F56" s="285"/>
      <c r="G56" s="285"/>
    </row>
    <row r="57" spans="1:7" ht="31.5" customHeight="1">
      <c r="A57" s="268" t="s">
        <v>65</v>
      </c>
      <c r="B57" s="268"/>
      <c r="C57" s="268"/>
      <c r="D57" s="268"/>
      <c r="E57" s="268"/>
      <c r="F57" s="268"/>
      <c r="G57" s="268"/>
    </row>
    <row r="58" spans="1:7" ht="42.75" customHeight="1">
      <c r="A58" s="268" t="s">
        <v>66</v>
      </c>
      <c r="B58" s="268"/>
      <c r="C58" s="268"/>
      <c r="D58" s="268"/>
      <c r="E58" s="268"/>
      <c r="F58" s="268"/>
      <c r="G58" s="268"/>
    </row>
    <row r="59" spans="1:7">
      <c r="A59" s="170"/>
      <c r="B59" s="170"/>
      <c r="C59" s="170"/>
      <c r="D59" s="170"/>
      <c r="E59" s="170"/>
      <c r="F59" s="170"/>
      <c r="G59" s="170"/>
    </row>
    <row r="60" spans="1:7">
      <c r="A60" s="286" t="s">
        <v>67</v>
      </c>
      <c r="B60" s="286"/>
      <c r="C60" s="286"/>
      <c r="D60" s="286"/>
      <c r="E60" s="286"/>
      <c r="F60" s="286"/>
      <c r="G60" s="185">
        <f>ROUND(G48+G55,2)</f>
        <v>3220.42</v>
      </c>
    </row>
    <row r="61" spans="1:7" ht="15" customHeight="1">
      <c r="A61" s="281" t="s">
        <v>68</v>
      </c>
      <c r="B61" s="281"/>
      <c r="C61" s="281"/>
      <c r="D61" s="281"/>
      <c r="E61" s="281"/>
      <c r="F61" s="281"/>
      <c r="G61" s="281"/>
    </row>
    <row r="62" spans="1:7" ht="15" customHeight="1">
      <c r="A62" s="175" t="s">
        <v>69</v>
      </c>
      <c r="B62" s="266" t="s">
        <v>70</v>
      </c>
      <c r="C62" s="266"/>
      <c r="D62" s="266"/>
      <c r="E62" s="266"/>
      <c r="F62" s="175" t="s">
        <v>60</v>
      </c>
      <c r="G62" s="175" t="s">
        <v>52</v>
      </c>
    </row>
    <row r="63" spans="1:7">
      <c r="A63" s="171" t="s">
        <v>18</v>
      </c>
      <c r="B63" s="275" t="s">
        <v>71</v>
      </c>
      <c r="C63" s="275"/>
      <c r="D63" s="275"/>
      <c r="E63" s="275"/>
      <c r="F63" s="183">
        <v>0.2</v>
      </c>
      <c r="G63" s="184">
        <f t="shared" ref="G63:G70" si="0">ROUND($G$60*F63,2)</f>
        <v>644.08000000000004</v>
      </c>
    </row>
    <row r="64" spans="1:7">
      <c r="A64" s="171" t="s">
        <v>72</v>
      </c>
      <c r="B64" s="275" t="s">
        <v>73</v>
      </c>
      <c r="C64" s="275"/>
      <c r="D64" s="275"/>
      <c r="E64" s="275"/>
      <c r="F64" s="183">
        <v>2.5000000000000001E-2</v>
      </c>
      <c r="G64" s="184">
        <f t="shared" si="0"/>
        <v>80.510000000000005</v>
      </c>
    </row>
    <row r="65" spans="1:7">
      <c r="A65" s="171" t="s">
        <v>74</v>
      </c>
      <c r="B65" s="276" t="s">
        <v>75</v>
      </c>
      <c r="C65" s="276"/>
      <c r="D65" s="276"/>
      <c r="E65" s="276"/>
      <c r="F65" s="197">
        <f>'Cargo1-Leve22h'!F61</f>
        <v>1.8200000000000001E-2</v>
      </c>
      <c r="G65" s="184">
        <f t="shared" si="0"/>
        <v>58.61</v>
      </c>
    </row>
    <row r="66" spans="1:7">
      <c r="A66" s="171" t="s">
        <v>20</v>
      </c>
      <c r="B66" s="275" t="s">
        <v>76</v>
      </c>
      <c r="C66" s="275"/>
      <c r="D66" s="275"/>
      <c r="E66" s="275"/>
      <c r="F66" s="183">
        <v>0.08</v>
      </c>
      <c r="G66" s="184">
        <f t="shared" si="0"/>
        <v>257.63</v>
      </c>
    </row>
    <row r="67" spans="1:7">
      <c r="A67" s="171" t="s">
        <v>23</v>
      </c>
      <c r="B67" s="275" t="s">
        <v>77</v>
      </c>
      <c r="C67" s="275"/>
      <c r="D67" s="275"/>
      <c r="E67" s="275"/>
      <c r="F67" s="183">
        <v>1.4999999999999999E-2</v>
      </c>
      <c r="G67" s="184">
        <f t="shared" si="0"/>
        <v>48.31</v>
      </c>
    </row>
    <row r="68" spans="1:7">
      <c r="A68" s="171" t="s">
        <v>26</v>
      </c>
      <c r="B68" s="275" t="s">
        <v>78</v>
      </c>
      <c r="C68" s="275"/>
      <c r="D68" s="275"/>
      <c r="E68" s="275"/>
      <c r="F68" s="183">
        <v>0.01</v>
      </c>
      <c r="G68" s="184">
        <f t="shared" si="0"/>
        <v>32.200000000000003</v>
      </c>
    </row>
    <row r="69" spans="1:7">
      <c r="A69" s="171" t="s">
        <v>28</v>
      </c>
      <c r="B69" s="275" t="s">
        <v>79</v>
      </c>
      <c r="C69" s="275"/>
      <c r="D69" s="275"/>
      <c r="E69" s="275"/>
      <c r="F69" s="183">
        <v>6.0000000000000001E-3</v>
      </c>
      <c r="G69" s="184">
        <f t="shared" si="0"/>
        <v>19.32</v>
      </c>
    </row>
    <row r="70" spans="1:7">
      <c r="A70" s="171" t="s">
        <v>80</v>
      </c>
      <c r="B70" s="275" t="s">
        <v>81</v>
      </c>
      <c r="C70" s="275"/>
      <c r="D70" s="275"/>
      <c r="E70" s="275"/>
      <c r="F70" s="183">
        <v>2E-3</v>
      </c>
      <c r="G70" s="184">
        <f t="shared" si="0"/>
        <v>6.44</v>
      </c>
    </row>
    <row r="71" spans="1:7">
      <c r="A71" s="264" t="s">
        <v>82</v>
      </c>
      <c r="B71" s="264"/>
      <c r="C71" s="264"/>
      <c r="D71" s="264"/>
      <c r="E71" s="264"/>
      <c r="F71" s="187">
        <f>SUM(F63:F70)</f>
        <v>0.35620000000000002</v>
      </c>
      <c r="G71" s="182">
        <f>ROUND(SUM(G63:G70),2)</f>
        <v>1147.0999999999999</v>
      </c>
    </row>
    <row r="72" spans="1:7" ht="30" customHeight="1">
      <c r="A72" s="268" t="s">
        <v>83</v>
      </c>
      <c r="B72" s="268"/>
      <c r="C72" s="268"/>
      <c r="D72" s="268"/>
      <c r="E72" s="268"/>
      <c r="F72" s="268"/>
      <c r="G72" s="268"/>
    </row>
    <row r="73" spans="1:7" ht="30" customHeight="1">
      <c r="A73" s="268" t="s">
        <v>84</v>
      </c>
      <c r="B73" s="268"/>
      <c r="C73" s="268"/>
      <c r="D73" s="268"/>
      <c r="E73" s="268"/>
      <c r="F73" s="268"/>
      <c r="G73" s="268"/>
    </row>
    <row r="74" spans="1:7">
      <c r="A74" s="283" t="s">
        <v>85</v>
      </c>
      <c r="B74" s="283"/>
      <c r="C74" s="283"/>
      <c r="D74" s="283"/>
      <c r="E74" s="283"/>
      <c r="F74" s="283"/>
      <c r="G74" s="283"/>
    </row>
    <row r="75" spans="1:7">
      <c r="A75" s="170"/>
      <c r="B75" s="170"/>
      <c r="C75" s="170"/>
      <c r="D75" s="170"/>
      <c r="E75" s="170"/>
      <c r="F75" s="170"/>
      <c r="G75" s="170"/>
    </row>
    <row r="76" spans="1:7" ht="15" customHeight="1">
      <c r="A76" s="281" t="s">
        <v>86</v>
      </c>
      <c r="B76" s="281"/>
      <c r="C76" s="281"/>
      <c r="D76" s="281"/>
      <c r="E76" s="281"/>
      <c r="F76" s="281"/>
      <c r="G76" s="281"/>
    </row>
    <row r="77" spans="1:7" ht="15" customHeight="1">
      <c r="A77" s="175" t="s">
        <v>87</v>
      </c>
      <c r="B77" s="266" t="s">
        <v>88</v>
      </c>
      <c r="C77" s="266"/>
      <c r="D77" s="266"/>
      <c r="E77" s="266"/>
      <c r="F77" s="266"/>
      <c r="G77" s="175" t="s">
        <v>52</v>
      </c>
    </row>
    <row r="78" spans="1:7">
      <c r="A78" s="171" t="s">
        <v>18</v>
      </c>
      <c r="B78" s="275" t="s">
        <v>89</v>
      </c>
      <c r="C78" s="275"/>
      <c r="D78" s="275"/>
      <c r="E78" s="188" t="s">
        <v>90</v>
      </c>
      <c r="F78" s="181">
        <v>5.5</v>
      </c>
      <c r="G78" s="189">
        <f>ROUND($E$39,0)*2*F78</f>
        <v>231</v>
      </c>
    </row>
    <row r="79" spans="1:7">
      <c r="A79" s="190" t="s">
        <v>91</v>
      </c>
      <c r="B79" s="271" t="s">
        <v>92</v>
      </c>
      <c r="C79" s="271"/>
      <c r="D79" s="271"/>
      <c r="E79" s="271"/>
      <c r="F79" s="191">
        <v>-0.06</v>
      </c>
      <c r="G79" s="192">
        <f>ROUND($G$46*F79,2)</f>
        <v>-161.77000000000001</v>
      </c>
    </row>
    <row r="80" spans="1:7">
      <c r="A80" s="171" t="s">
        <v>20</v>
      </c>
      <c r="B80" s="276" t="s">
        <v>93</v>
      </c>
      <c r="C80" s="276"/>
      <c r="D80" s="276"/>
      <c r="E80" s="188" t="s">
        <v>90</v>
      </c>
      <c r="F80" s="181">
        <v>38.51</v>
      </c>
      <c r="G80" s="193">
        <f>ROUND($E$39,0)*F80</f>
        <v>808.70999999999992</v>
      </c>
    </row>
    <row r="81" spans="1:7">
      <c r="A81" s="190" t="s">
        <v>94</v>
      </c>
      <c r="B81" s="282" t="s">
        <v>95</v>
      </c>
      <c r="C81" s="282"/>
      <c r="D81" s="282"/>
      <c r="E81" s="282"/>
      <c r="F81" s="180">
        <v>-0.3</v>
      </c>
      <c r="G81" s="192">
        <f>ROUND($E$39,0)*F81</f>
        <v>-6.3</v>
      </c>
    </row>
    <row r="82" spans="1:7">
      <c r="A82" s="171" t="s">
        <v>23</v>
      </c>
      <c r="B82" s="277" t="s">
        <v>178</v>
      </c>
      <c r="C82" s="277"/>
      <c r="D82" s="277"/>
      <c r="E82" s="277"/>
      <c r="F82" s="277"/>
      <c r="G82" s="181">
        <v>0</v>
      </c>
    </row>
    <row r="83" spans="1:7">
      <c r="A83" s="171" t="s">
        <v>26</v>
      </c>
      <c r="B83" s="278" t="s">
        <v>97</v>
      </c>
      <c r="C83" s="278"/>
      <c r="D83" s="278"/>
      <c r="E83" s="278"/>
      <c r="F83" s="278"/>
      <c r="G83" s="181">
        <v>0</v>
      </c>
    </row>
    <row r="84" spans="1:7">
      <c r="A84" s="171" t="s">
        <v>28</v>
      </c>
      <c r="B84" s="278" t="s">
        <v>98</v>
      </c>
      <c r="C84" s="278"/>
      <c r="D84" s="278"/>
      <c r="E84" s="278"/>
      <c r="F84" s="278"/>
      <c r="G84" s="181">
        <v>0</v>
      </c>
    </row>
    <row r="85" spans="1:7">
      <c r="A85" s="171" t="s">
        <v>80</v>
      </c>
      <c r="B85" s="276" t="s">
        <v>99</v>
      </c>
      <c r="C85" s="276"/>
      <c r="D85" s="276"/>
      <c r="E85" s="276"/>
      <c r="F85" s="276"/>
      <c r="G85" s="181">
        <v>0</v>
      </c>
    </row>
    <row r="86" spans="1:7">
      <c r="A86" s="264" t="s">
        <v>100</v>
      </c>
      <c r="B86" s="264"/>
      <c r="C86" s="264"/>
      <c r="D86" s="264"/>
      <c r="E86" s="264"/>
      <c r="F86" s="264"/>
      <c r="G86" s="182">
        <f>ROUND(SUM(G78:G85),2)</f>
        <v>871.64</v>
      </c>
    </row>
    <row r="87" spans="1:7">
      <c r="A87" s="283" t="s">
        <v>101</v>
      </c>
      <c r="B87" s="283"/>
      <c r="C87" s="283"/>
      <c r="D87" s="283"/>
      <c r="E87" s="283"/>
      <c r="F87" s="283"/>
      <c r="G87" s="283"/>
    </row>
    <row r="88" spans="1:7" ht="30" customHeight="1">
      <c r="A88" s="268" t="s">
        <v>102</v>
      </c>
      <c r="B88" s="268"/>
      <c r="C88" s="268"/>
      <c r="D88" s="268"/>
      <c r="E88" s="268"/>
      <c r="F88" s="268"/>
      <c r="G88" s="268"/>
    </row>
    <row r="89" spans="1:7">
      <c r="A89" s="170"/>
      <c r="B89" s="170"/>
      <c r="C89" s="170"/>
      <c r="D89" s="170"/>
      <c r="E89" s="170"/>
      <c r="F89" s="170"/>
      <c r="G89" s="170"/>
    </row>
    <row r="90" spans="1:7">
      <c r="A90" s="265" t="s">
        <v>103</v>
      </c>
      <c r="B90" s="265"/>
      <c r="C90" s="265"/>
      <c r="D90" s="265"/>
      <c r="E90" s="265"/>
      <c r="F90" s="265"/>
      <c r="G90" s="265"/>
    </row>
    <row r="91" spans="1:7" ht="15" customHeight="1">
      <c r="A91" s="175">
        <v>2</v>
      </c>
      <c r="B91" s="266" t="s">
        <v>104</v>
      </c>
      <c r="C91" s="266"/>
      <c r="D91" s="266"/>
      <c r="E91" s="266"/>
      <c r="F91" s="266"/>
      <c r="G91" s="175" t="s">
        <v>52</v>
      </c>
    </row>
    <row r="92" spans="1:7">
      <c r="A92" s="194" t="s">
        <v>58</v>
      </c>
      <c r="B92" s="279" t="s">
        <v>59</v>
      </c>
      <c r="C92" s="279"/>
      <c r="D92" s="279"/>
      <c r="E92" s="279"/>
      <c r="F92" s="279"/>
      <c r="G92" s="195">
        <f>$G$55</f>
        <v>524.23</v>
      </c>
    </row>
    <row r="93" spans="1:7">
      <c r="A93" s="194" t="s">
        <v>69</v>
      </c>
      <c r="B93" s="279" t="s">
        <v>70</v>
      </c>
      <c r="C93" s="279"/>
      <c r="D93" s="279"/>
      <c r="E93" s="279"/>
      <c r="F93" s="279"/>
      <c r="G93" s="195">
        <f>$G$71</f>
        <v>1147.0999999999999</v>
      </c>
    </row>
    <row r="94" spans="1:7">
      <c r="A94" s="194" t="s">
        <v>87</v>
      </c>
      <c r="B94" s="279" t="s">
        <v>88</v>
      </c>
      <c r="C94" s="279"/>
      <c r="D94" s="279"/>
      <c r="E94" s="279"/>
      <c r="F94" s="279"/>
      <c r="G94" s="195">
        <f>$G$86</f>
        <v>871.64</v>
      </c>
    </row>
    <row r="95" spans="1:7">
      <c r="A95" s="264" t="s">
        <v>105</v>
      </c>
      <c r="B95" s="264"/>
      <c r="C95" s="264"/>
      <c r="D95" s="264"/>
      <c r="E95" s="264"/>
      <c r="F95" s="264"/>
      <c r="G95" s="182">
        <f>ROUND(SUM(G92:G94),2)</f>
        <v>2542.9699999999998</v>
      </c>
    </row>
    <row r="96" spans="1:7">
      <c r="A96" s="170"/>
      <c r="B96" s="170"/>
      <c r="C96" s="170"/>
      <c r="D96" s="170"/>
      <c r="E96" s="170"/>
      <c r="F96" s="170"/>
      <c r="G96" s="170"/>
    </row>
    <row r="97" spans="1:7">
      <c r="A97" s="265" t="s">
        <v>106</v>
      </c>
      <c r="B97" s="265"/>
      <c r="C97" s="265"/>
      <c r="D97" s="265"/>
      <c r="E97" s="265"/>
      <c r="F97" s="265"/>
      <c r="G97" s="265"/>
    </row>
    <row r="98" spans="1:7" ht="15" customHeight="1">
      <c r="A98" s="175">
        <v>3</v>
      </c>
      <c r="B98" s="266" t="s">
        <v>107</v>
      </c>
      <c r="C98" s="266"/>
      <c r="D98" s="266"/>
      <c r="E98" s="266"/>
      <c r="F98" s="175" t="s">
        <v>60</v>
      </c>
      <c r="G98" s="175" t="s">
        <v>52</v>
      </c>
    </row>
    <row r="99" spans="1:7">
      <c r="A99" s="171" t="s">
        <v>18</v>
      </c>
      <c r="B99" s="276" t="s">
        <v>108</v>
      </c>
      <c r="C99" s="276"/>
      <c r="D99" s="276"/>
      <c r="E99" s="276"/>
      <c r="F99" s="183">
        <f>(1/12)*5.55%</f>
        <v>4.6249999999999998E-3</v>
      </c>
      <c r="G99" s="184">
        <f>ROUND($G$48*F99,2)</f>
        <v>12.47</v>
      </c>
    </row>
    <row r="100" spans="1:7">
      <c r="A100" s="171" t="s">
        <v>20</v>
      </c>
      <c r="B100" s="278" t="s">
        <v>109</v>
      </c>
      <c r="C100" s="278"/>
      <c r="D100" s="278"/>
      <c r="E100" s="278"/>
      <c r="F100" s="196">
        <f>$F$66</f>
        <v>0.08</v>
      </c>
      <c r="G100" s="184">
        <f>G99*F100</f>
        <v>0.99760000000000004</v>
      </c>
    </row>
    <row r="101" spans="1:7">
      <c r="A101" s="171" t="s">
        <v>23</v>
      </c>
      <c r="B101" s="277" t="s">
        <v>110</v>
      </c>
      <c r="C101" s="277"/>
      <c r="D101" s="277"/>
      <c r="E101" s="277"/>
      <c r="F101" s="183">
        <f>(7/30)/12</f>
        <v>1.9444444444444445E-2</v>
      </c>
      <c r="G101" s="184">
        <f>ROUND($G$48*F101,2)</f>
        <v>52.43</v>
      </c>
    </row>
    <row r="102" spans="1:7">
      <c r="A102" s="171" t="s">
        <v>26</v>
      </c>
      <c r="B102" s="278" t="s">
        <v>111</v>
      </c>
      <c r="C102" s="278"/>
      <c r="D102" s="278"/>
      <c r="E102" s="278"/>
      <c r="F102" s="196">
        <f>$F$71</f>
        <v>0.35620000000000002</v>
      </c>
      <c r="G102" s="184">
        <f>G101*F102</f>
        <v>18.675566</v>
      </c>
    </row>
    <row r="103" spans="1:7">
      <c r="A103" s="171" t="s">
        <v>28</v>
      </c>
      <c r="B103" s="277" t="s">
        <v>112</v>
      </c>
      <c r="C103" s="277"/>
      <c r="D103" s="277"/>
      <c r="E103" s="277"/>
      <c r="F103" s="197">
        <v>0.04</v>
      </c>
      <c r="G103" s="184">
        <f>ROUND($G$48*F103,2)</f>
        <v>107.85</v>
      </c>
    </row>
    <row r="104" spans="1:7">
      <c r="A104" s="264" t="s">
        <v>113</v>
      </c>
      <c r="B104" s="264"/>
      <c r="C104" s="264"/>
      <c r="D104" s="264"/>
      <c r="E104" s="264"/>
      <c r="F104" s="264"/>
      <c r="G104" s="182">
        <f>ROUND(SUM(G99:G103),2)</f>
        <v>192.42</v>
      </c>
    </row>
    <row r="105" spans="1:7">
      <c r="A105" s="170"/>
      <c r="B105" s="170"/>
      <c r="C105" s="170"/>
      <c r="D105" s="170"/>
      <c r="E105" s="170"/>
      <c r="F105" s="170"/>
      <c r="G105" s="170"/>
    </row>
    <row r="106" spans="1:7">
      <c r="A106" s="265" t="s">
        <v>114</v>
      </c>
      <c r="B106" s="265"/>
      <c r="C106" s="265"/>
      <c r="D106" s="265"/>
      <c r="E106" s="265"/>
      <c r="F106" s="265"/>
      <c r="G106" s="265"/>
    </row>
    <row r="107" spans="1:7" ht="15" customHeight="1">
      <c r="A107" s="281" t="s">
        <v>115</v>
      </c>
      <c r="B107" s="281"/>
      <c r="C107" s="281"/>
      <c r="D107" s="281"/>
      <c r="E107" s="281"/>
      <c r="F107" s="281"/>
      <c r="G107" s="281"/>
    </row>
    <row r="108" spans="1:7" ht="15" customHeight="1">
      <c r="A108" s="175" t="s">
        <v>116</v>
      </c>
      <c r="B108" s="266" t="s">
        <v>117</v>
      </c>
      <c r="C108" s="266"/>
      <c r="D108" s="266"/>
      <c r="E108" s="266"/>
      <c r="F108" s="175" t="s">
        <v>60</v>
      </c>
      <c r="G108" s="175" t="s">
        <v>52</v>
      </c>
    </row>
    <row r="109" spans="1:7">
      <c r="A109" s="171" t="s">
        <v>18</v>
      </c>
      <c r="B109" s="278" t="s">
        <v>118</v>
      </c>
      <c r="C109" s="278"/>
      <c r="D109" s="278"/>
      <c r="E109" s="278"/>
      <c r="F109" s="183">
        <v>9.2999999999999992E-3</v>
      </c>
      <c r="G109" s="184">
        <f>ROUND($G$48*F109,2)</f>
        <v>25.07</v>
      </c>
    </row>
    <row r="110" spans="1:7" ht="15" customHeight="1">
      <c r="A110" s="171" t="s">
        <v>12</v>
      </c>
      <c r="B110" s="280" t="s">
        <v>119</v>
      </c>
      <c r="C110" s="280"/>
      <c r="D110" s="280"/>
      <c r="E110" s="280"/>
      <c r="F110" s="198">
        <f>$F$71</f>
        <v>0.35620000000000002</v>
      </c>
      <c r="G110" s="184">
        <f>ROUND(G109*F110,2)</f>
        <v>8.93</v>
      </c>
    </row>
    <row r="111" spans="1:7">
      <c r="A111" s="171" t="s">
        <v>20</v>
      </c>
      <c r="B111" s="277" t="s">
        <v>120</v>
      </c>
      <c r="C111" s="277"/>
      <c r="D111" s="277"/>
      <c r="E111" s="277"/>
      <c r="F111" s="199">
        <v>7.3000000000000001E-3</v>
      </c>
      <c r="G111" s="184">
        <f>ROUND($G$48*F111,2)</f>
        <v>19.68</v>
      </c>
    </row>
    <row r="112" spans="1:7">
      <c r="A112" s="171" t="s">
        <v>23</v>
      </c>
      <c r="B112" s="276" t="s">
        <v>121</v>
      </c>
      <c r="C112" s="276"/>
      <c r="D112" s="276"/>
      <c r="E112" s="276"/>
      <c r="F112" s="199">
        <v>8.1999999999999998E-4</v>
      </c>
      <c r="G112" s="184">
        <f>ROUND($G$48*F112,2)</f>
        <v>2.21</v>
      </c>
    </row>
    <row r="113" spans="1:7">
      <c r="A113" s="171" t="s">
        <v>26</v>
      </c>
      <c r="B113" s="277" t="s">
        <v>122</v>
      </c>
      <c r="C113" s="277"/>
      <c r="D113" s="277"/>
      <c r="E113" s="277"/>
      <c r="F113" s="199">
        <v>2.7000000000000001E-3</v>
      </c>
      <c r="G113" s="184">
        <f>ROUND($G$48*F113,2)</f>
        <v>7.28</v>
      </c>
    </row>
    <row r="114" spans="1:7">
      <c r="A114" s="171" t="s">
        <v>28</v>
      </c>
      <c r="B114" s="276" t="s">
        <v>123</v>
      </c>
      <c r="C114" s="276"/>
      <c r="D114" s="276"/>
      <c r="E114" s="276"/>
      <c r="F114" s="199">
        <v>5.5000000000000003E-4</v>
      </c>
      <c r="G114" s="184">
        <f>ROUND($G$48*F114,2)</f>
        <v>1.48</v>
      </c>
    </row>
    <row r="115" spans="1:7" ht="15" customHeight="1">
      <c r="A115" s="171" t="s">
        <v>80</v>
      </c>
      <c r="B115" s="280" t="s">
        <v>124</v>
      </c>
      <c r="C115" s="280"/>
      <c r="D115" s="280"/>
      <c r="E115" s="280"/>
      <c r="F115" s="199">
        <v>0</v>
      </c>
      <c r="G115" s="184">
        <f>ROUND($G$48*F115,2)</f>
        <v>0</v>
      </c>
    </row>
    <row r="116" spans="1:7">
      <c r="A116" s="264" t="s">
        <v>125</v>
      </c>
      <c r="B116" s="264"/>
      <c r="C116" s="264"/>
      <c r="D116" s="264"/>
      <c r="E116" s="264"/>
      <c r="F116" s="264"/>
      <c r="G116" s="182">
        <f>ROUND(SUM(G109:G115),2)</f>
        <v>64.650000000000006</v>
      </c>
    </row>
    <row r="117" spans="1:7" ht="45" customHeight="1">
      <c r="A117" s="268" t="s">
        <v>126</v>
      </c>
      <c r="B117" s="268"/>
      <c r="C117" s="268"/>
      <c r="D117" s="268"/>
      <c r="E117" s="268"/>
      <c r="F117" s="268"/>
      <c r="G117" s="268"/>
    </row>
    <row r="118" spans="1:7">
      <c r="A118" s="170"/>
      <c r="B118" s="170"/>
      <c r="C118" s="170"/>
      <c r="D118" s="170"/>
      <c r="E118" s="170"/>
      <c r="F118" s="170"/>
      <c r="G118" s="170"/>
    </row>
    <row r="119" spans="1:7" ht="15.75" customHeight="1">
      <c r="A119" s="281" t="s">
        <v>127</v>
      </c>
      <c r="B119" s="281"/>
      <c r="C119" s="281"/>
      <c r="D119" s="281"/>
      <c r="E119" s="281"/>
      <c r="F119" s="281"/>
      <c r="G119" s="281"/>
    </row>
    <row r="120" spans="1:7" ht="15" customHeight="1">
      <c r="A120" s="175" t="s">
        <v>128</v>
      </c>
      <c r="B120" s="266" t="s">
        <v>129</v>
      </c>
      <c r="C120" s="266"/>
      <c r="D120" s="266"/>
      <c r="E120" s="266"/>
      <c r="F120" s="175" t="s">
        <v>130</v>
      </c>
      <c r="G120" s="175" t="s">
        <v>52</v>
      </c>
    </row>
    <row r="121" spans="1:7">
      <c r="A121" s="171" t="s">
        <v>18</v>
      </c>
      <c r="B121" s="278" t="s">
        <v>131</v>
      </c>
      <c r="C121" s="278"/>
      <c r="D121" s="278"/>
      <c r="E121" s="278"/>
      <c r="F121" s="200">
        <v>0</v>
      </c>
      <c r="G121" s="184">
        <f>ROUND(F121*$E$39,2)</f>
        <v>0</v>
      </c>
    </row>
    <row r="122" spans="1:7">
      <c r="A122" s="264" t="s">
        <v>132</v>
      </c>
      <c r="B122" s="264"/>
      <c r="C122" s="264"/>
      <c r="D122" s="264"/>
      <c r="E122" s="264"/>
      <c r="F122" s="264"/>
      <c r="G122" s="182">
        <f>ROUND(SUM(G121),2)</f>
        <v>0</v>
      </c>
    </row>
    <row r="123" spans="1:7" ht="30" customHeight="1">
      <c r="A123" s="268" t="s">
        <v>133</v>
      </c>
      <c r="B123" s="268"/>
      <c r="C123" s="268"/>
      <c r="D123" s="268"/>
      <c r="E123" s="268"/>
      <c r="F123" s="268"/>
      <c r="G123" s="268"/>
    </row>
    <row r="124" spans="1:7">
      <c r="A124" s="170"/>
      <c r="B124" s="170"/>
      <c r="C124" s="170"/>
      <c r="D124" s="170"/>
      <c r="E124" s="170"/>
      <c r="F124" s="170"/>
      <c r="G124" s="170"/>
    </row>
    <row r="125" spans="1:7">
      <c r="A125" s="265" t="s">
        <v>134</v>
      </c>
      <c r="B125" s="265"/>
      <c r="C125" s="265"/>
      <c r="D125" s="265"/>
      <c r="E125" s="265"/>
      <c r="F125" s="265"/>
      <c r="G125" s="265"/>
    </row>
    <row r="126" spans="1:7" ht="15" customHeight="1">
      <c r="A126" s="175">
        <v>4</v>
      </c>
      <c r="B126" s="266" t="s">
        <v>104</v>
      </c>
      <c r="C126" s="266"/>
      <c r="D126" s="266"/>
      <c r="E126" s="266"/>
      <c r="F126" s="175" t="s">
        <v>60</v>
      </c>
      <c r="G126" s="175" t="s">
        <v>52</v>
      </c>
    </row>
    <row r="127" spans="1:7">
      <c r="A127" s="194" t="s">
        <v>116</v>
      </c>
      <c r="B127" s="279" t="s">
        <v>135</v>
      </c>
      <c r="C127" s="279"/>
      <c r="D127" s="279"/>
      <c r="E127" s="279"/>
      <c r="F127" s="201" t="s">
        <v>12</v>
      </c>
      <c r="G127" s="195">
        <f>$G$116</f>
        <v>64.650000000000006</v>
      </c>
    </row>
    <row r="128" spans="1:7">
      <c r="A128" s="194" t="s">
        <v>128</v>
      </c>
      <c r="B128" s="279" t="s">
        <v>136</v>
      </c>
      <c r="C128" s="279"/>
      <c r="D128" s="279"/>
      <c r="E128" s="279"/>
      <c r="F128" s="201" t="s">
        <v>12</v>
      </c>
      <c r="G128" s="195">
        <f>$G$122</f>
        <v>0</v>
      </c>
    </row>
    <row r="129" spans="1:7">
      <c r="A129" s="264" t="s">
        <v>137</v>
      </c>
      <c r="B129" s="264"/>
      <c r="C129" s="264"/>
      <c r="D129" s="264"/>
      <c r="E129" s="264"/>
      <c r="F129" s="264"/>
      <c r="G129" s="182">
        <f>ROUND(SUM(G127:G128),2)</f>
        <v>64.650000000000006</v>
      </c>
    </row>
    <row r="130" spans="1:7">
      <c r="A130" s="170"/>
      <c r="B130" s="170"/>
      <c r="C130" s="170"/>
      <c r="D130" s="170"/>
      <c r="E130" s="170"/>
      <c r="F130" s="170"/>
      <c r="G130" s="170"/>
    </row>
    <row r="131" spans="1:7">
      <c r="A131" s="265" t="s">
        <v>138</v>
      </c>
      <c r="B131" s="265"/>
      <c r="C131" s="265"/>
      <c r="D131" s="265"/>
      <c r="E131" s="265"/>
      <c r="F131" s="265"/>
      <c r="G131" s="265"/>
    </row>
    <row r="132" spans="1:7" ht="15" customHeight="1">
      <c r="A132" s="175">
        <v>5</v>
      </c>
      <c r="B132" s="266" t="s">
        <v>139</v>
      </c>
      <c r="C132" s="266"/>
      <c r="D132" s="266"/>
      <c r="E132" s="266"/>
      <c r="F132" s="266"/>
      <c r="G132" s="175" t="s">
        <v>52</v>
      </c>
    </row>
    <row r="133" spans="1:7">
      <c r="A133" s="171" t="s">
        <v>18</v>
      </c>
      <c r="B133" s="275" t="s">
        <v>140</v>
      </c>
      <c r="C133" s="275"/>
      <c r="D133" s="275"/>
      <c r="E133" s="275"/>
      <c r="F133" s="275"/>
      <c r="G133" s="181">
        <f>Insumos!G38</f>
        <v>47.833333333333336</v>
      </c>
    </row>
    <row r="134" spans="1:7">
      <c r="A134" s="171" t="s">
        <v>20</v>
      </c>
      <c r="B134" s="276" t="s">
        <v>141</v>
      </c>
      <c r="C134" s="276"/>
      <c r="D134" s="276"/>
      <c r="E134" s="276"/>
      <c r="F134" s="276"/>
      <c r="G134" s="181"/>
    </row>
    <row r="135" spans="1:7">
      <c r="A135" s="171" t="s">
        <v>28</v>
      </c>
      <c r="B135" s="277" t="s">
        <v>54</v>
      </c>
      <c r="C135" s="277"/>
      <c r="D135" s="277"/>
      <c r="E135" s="277"/>
      <c r="F135" s="277"/>
      <c r="G135" s="181">
        <v>0</v>
      </c>
    </row>
    <row r="136" spans="1:7">
      <c r="A136" s="264" t="s">
        <v>142</v>
      </c>
      <c r="B136" s="264"/>
      <c r="C136" s="264"/>
      <c r="D136" s="264"/>
      <c r="E136" s="264"/>
      <c r="F136" s="264"/>
      <c r="G136" s="182">
        <f>ROUND(SUM(G133:G135),2)</f>
        <v>47.83</v>
      </c>
    </row>
    <row r="137" spans="1:7" ht="15" customHeight="1">
      <c r="A137" s="268" t="s">
        <v>143</v>
      </c>
      <c r="B137" s="268"/>
      <c r="C137" s="268"/>
      <c r="D137" s="268"/>
      <c r="E137" s="268"/>
      <c r="F137" s="268"/>
      <c r="G137" s="268"/>
    </row>
    <row r="138" spans="1:7">
      <c r="A138" s="170"/>
      <c r="B138" s="170"/>
      <c r="C138" s="170"/>
      <c r="D138" s="170"/>
      <c r="E138" s="170"/>
      <c r="F138" s="170"/>
      <c r="G138" s="170"/>
    </row>
    <row r="139" spans="1:7">
      <c r="A139" s="265" t="s">
        <v>144</v>
      </c>
      <c r="B139" s="265"/>
      <c r="C139" s="265"/>
      <c r="D139" s="265"/>
      <c r="E139" s="265"/>
      <c r="F139" s="265"/>
      <c r="G139" s="265"/>
    </row>
    <row r="140" spans="1:7" ht="15" customHeight="1">
      <c r="A140" s="175">
        <v>6</v>
      </c>
      <c r="B140" s="266" t="s">
        <v>145</v>
      </c>
      <c r="C140" s="266"/>
      <c r="D140" s="266"/>
      <c r="E140" s="266"/>
      <c r="F140" s="266"/>
      <c r="G140" s="175" t="s">
        <v>52</v>
      </c>
    </row>
    <row r="141" spans="1:7">
      <c r="A141" s="202" t="s">
        <v>18</v>
      </c>
      <c r="B141" s="270" t="s">
        <v>146</v>
      </c>
      <c r="C141" s="270"/>
      <c r="D141" s="270"/>
      <c r="E141" s="270"/>
      <c r="F141" s="203">
        <f>'Cargo1-Leve22h'!F137</f>
        <v>6.0000000000000001E-3</v>
      </c>
      <c r="G141" s="204">
        <f>ROUND($G$159*F141,2)</f>
        <v>33.26</v>
      </c>
    </row>
    <row r="142" spans="1:7">
      <c r="A142" s="202" t="s">
        <v>20</v>
      </c>
      <c r="B142" s="270" t="s">
        <v>147</v>
      </c>
      <c r="C142" s="270"/>
      <c r="D142" s="270"/>
      <c r="E142" s="270"/>
      <c r="F142" s="203">
        <f>'Cargo1-Leve22h'!F138</f>
        <v>6.4999999999999997E-3</v>
      </c>
      <c r="G142" s="204">
        <f>ROUND(($G$159+$G$141)*F142,2)</f>
        <v>36.25</v>
      </c>
    </row>
    <row r="143" spans="1:7">
      <c r="A143" s="171" t="s">
        <v>148</v>
      </c>
      <c r="B143" s="271" t="str">
        <f>'Cargo1-Leve22h'!B139:E139</f>
        <v>Tributos Federais  (Ref. Acórdão TCU 1753/2008–P, PIS 0,24% e COFINS 1,08%)</v>
      </c>
      <c r="C143" s="271"/>
      <c r="D143" s="271"/>
      <c r="E143" s="271"/>
      <c r="F143" s="191">
        <f>'Cargo1-Leve22h'!F139</f>
        <v>1.32E-2</v>
      </c>
      <c r="G143" s="205">
        <f>ROUND($G$161*F143,2)</f>
        <v>79.099999999999994</v>
      </c>
    </row>
    <row r="144" spans="1:7">
      <c r="A144" s="171" t="s">
        <v>149</v>
      </c>
      <c r="B144" s="272" t="s">
        <v>150</v>
      </c>
      <c r="C144" s="272"/>
      <c r="D144" s="272"/>
      <c r="E144" s="272"/>
      <c r="F144" s="191">
        <f>'Cargo1-Leve22h'!F140</f>
        <v>0</v>
      </c>
      <c r="G144" s="205">
        <f>ROUND($G$161*F144,2)</f>
        <v>0</v>
      </c>
    </row>
    <row r="145" spans="1:7">
      <c r="A145" s="171" t="s">
        <v>151</v>
      </c>
      <c r="B145" s="271" t="s">
        <v>152</v>
      </c>
      <c r="C145" s="271"/>
      <c r="D145" s="271"/>
      <c r="E145" s="271"/>
      <c r="F145" s="191">
        <f>'Cargo1-Leve22h'!F141</f>
        <v>0.05</v>
      </c>
      <c r="G145" s="205">
        <f>ROUND($G$161*F145,2)</f>
        <v>299.61</v>
      </c>
    </row>
    <row r="146" spans="1:7">
      <c r="A146" s="171" t="s">
        <v>153</v>
      </c>
      <c r="B146" s="273" t="s">
        <v>154</v>
      </c>
      <c r="C146" s="273"/>
      <c r="D146" s="273"/>
      <c r="E146" s="273"/>
      <c r="F146" s="191">
        <f>'Cargo1-Leve22h'!F142</f>
        <v>0</v>
      </c>
      <c r="G146" s="205">
        <f>ROUND($G$161*F146,2)</f>
        <v>0</v>
      </c>
    </row>
    <row r="147" spans="1:7">
      <c r="A147" s="202" t="s">
        <v>23</v>
      </c>
      <c r="B147" s="274" t="s">
        <v>155</v>
      </c>
      <c r="C147" s="274"/>
      <c r="D147" s="274"/>
      <c r="E147" s="274"/>
      <c r="F147" s="206">
        <f>SUM(F143:F146)</f>
        <v>6.3200000000000006E-2</v>
      </c>
      <c r="G147" s="204">
        <f>ROUND(SUM(G143:G146),2)</f>
        <v>378.71</v>
      </c>
    </row>
    <row r="148" spans="1:7">
      <c r="A148" s="269" t="s">
        <v>156</v>
      </c>
      <c r="B148" s="269"/>
      <c r="C148" s="269"/>
      <c r="D148" s="269"/>
      <c r="E148" s="269"/>
      <c r="F148" s="187">
        <f>(1+F141)*(1+F142)/(1-F147)-1</f>
        <v>8.0848633646456003E-2</v>
      </c>
      <c r="G148" s="182">
        <f>ROUND(SUM(G141,G142,G147),2)</f>
        <v>448.22</v>
      </c>
    </row>
    <row r="149" spans="1:7" ht="15" customHeight="1">
      <c r="A149" s="268" t="s">
        <v>157</v>
      </c>
      <c r="B149" s="268"/>
      <c r="C149" s="268"/>
      <c r="D149" s="268"/>
      <c r="E149" s="268"/>
      <c r="F149" s="268"/>
      <c r="G149" s="268"/>
    </row>
    <row r="150" spans="1:7" ht="15" customHeight="1">
      <c r="A150" s="268" t="s">
        <v>158</v>
      </c>
      <c r="B150" s="268"/>
      <c r="C150" s="268"/>
      <c r="D150" s="268"/>
      <c r="E150" s="268"/>
      <c r="F150" s="268"/>
      <c r="G150" s="268"/>
    </row>
    <row r="151" spans="1:7">
      <c r="A151" s="170"/>
      <c r="B151" s="170"/>
      <c r="C151" s="170"/>
      <c r="D151" s="170"/>
      <c r="E151" s="170"/>
      <c r="F151" s="170"/>
      <c r="G151" s="170"/>
    </row>
    <row r="152" spans="1:7">
      <c r="A152" s="265" t="s">
        <v>159</v>
      </c>
      <c r="B152" s="265"/>
      <c r="C152" s="265"/>
      <c r="D152" s="265"/>
      <c r="E152" s="265"/>
      <c r="F152" s="265"/>
      <c r="G152" s="265"/>
    </row>
    <row r="153" spans="1:7" ht="15" customHeight="1">
      <c r="A153" s="175"/>
      <c r="B153" s="266" t="s">
        <v>160</v>
      </c>
      <c r="C153" s="266"/>
      <c r="D153" s="266"/>
      <c r="E153" s="266"/>
      <c r="F153" s="266"/>
      <c r="G153" s="175" t="s">
        <v>52</v>
      </c>
    </row>
    <row r="154" spans="1:7">
      <c r="A154" s="207" t="s">
        <v>18</v>
      </c>
      <c r="B154" s="263" t="s">
        <v>161</v>
      </c>
      <c r="C154" s="263"/>
      <c r="D154" s="263"/>
      <c r="E154" s="263"/>
      <c r="F154" s="263"/>
      <c r="G154" s="208">
        <f>$G$48</f>
        <v>2696.19</v>
      </c>
    </row>
    <row r="155" spans="1:7">
      <c r="A155" s="207" t="s">
        <v>20</v>
      </c>
      <c r="B155" s="263" t="s">
        <v>162</v>
      </c>
      <c r="C155" s="263"/>
      <c r="D155" s="263"/>
      <c r="E155" s="263"/>
      <c r="F155" s="263"/>
      <c r="G155" s="208">
        <f>$G$95</f>
        <v>2542.9699999999998</v>
      </c>
    </row>
    <row r="156" spans="1:7">
      <c r="A156" s="207" t="s">
        <v>23</v>
      </c>
      <c r="B156" s="263" t="s">
        <v>163</v>
      </c>
      <c r="C156" s="263"/>
      <c r="D156" s="263"/>
      <c r="E156" s="263"/>
      <c r="F156" s="263"/>
      <c r="G156" s="208">
        <f>$G$104</f>
        <v>192.42</v>
      </c>
    </row>
    <row r="157" spans="1:7">
      <c r="A157" s="207" t="s">
        <v>26</v>
      </c>
      <c r="B157" s="263" t="s">
        <v>164</v>
      </c>
      <c r="C157" s="263"/>
      <c r="D157" s="263"/>
      <c r="E157" s="263"/>
      <c r="F157" s="263"/>
      <c r="G157" s="208">
        <f>$G$129</f>
        <v>64.650000000000006</v>
      </c>
    </row>
    <row r="158" spans="1:7">
      <c r="A158" s="207" t="s">
        <v>28</v>
      </c>
      <c r="B158" s="263" t="s">
        <v>165</v>
      </c>
      <c r="C158" s="263"/>
      <c r="D158" s="263"/>
      <c r="E158" s="263"/>
      <c r="F158" s="263"/>
      <c r="G158" s="208">
        <f>$G$136</f>
        <v>47.83</v>
      </c>
    </row>
    <row r="159" spans="1:7">
      <c r="A159" s="269" t="s">
        <v>166</v>
      </c>
      <c r="B159" s="269"/>
      <c r="C159" s="269"/>
      <c r="D159" s="269"/>
      <c r="E159" s="269"/>
      <c r="F159" s="269"/>
      <c r="G159" s="195">
        <f>ROUND(SUM(G154:G158),2)</f>
        <v>5544.06</v>
      </c>
    </row>
    <row r="160" spans="1:7">
      <c r="A160" s="207" t="s">
        <v>80</v>
      </c>
      <c r="B160" s="263" t="s">
        <v>167</v>
      </c>
      <c r="C160" s="263"/>
      <c r="D160" s="263"/>
      <c r="E160" s="263"/>
      <c r="F160" s="263"/>
      <c r="G160" s="208">
        <f>G148</f>
        <v>448.22</v>
      </c>
    </row>
    <row r="161" spans="1:7">
      <c r="A161" s="264" t="s">
        <v>168</v>
      </c>
      <c r="B161" s="264"/>
      <c r="C161" s="264"/>
      <c r="D161" s="264"/>
      <c r="E161" s="264"/>
      <c r="F161" s="264"/>
      <c r="G161" s="182">
        <f>ROUND((G159+G141+G142)/(1-F147),2)</f>
        <v>5992.28</v>
      </c>
    </row>
    <row r="162" spans="1:7">
      <c r="A162" s="170"/>
      <c r="B162" s="170"/>
      <c r="C162" s="170"/>
      <c r="D162" s="170"/>
      <c r="E162" s="170"/>
      <c r="F162" s="170"/>
      <c r="G162" s="170"/>
    </row>
    <row r="163" spans="1:7">
      <c r="A163" s="265" t="s">
        <v>169</v>
      </c>
      <c r="B163" s="265"/>
      <c r="C163" s="265"/>
      <c r="D163" s="265"/>
      <c r="E163" s="265"/>
      <c r="F163" s="265"/>
      <c r="G163" s="265"/>
    </row>
    <row r="164" spans="1:7" ht="15" customHeight="1">
      <c r="A164" s="175"/>
      <c r="B164" s="266" t="s">
        <v>170</v>
      </c>
      <c r="C164" s="266"/>
      <c r="D164" s="266"/>
      <c r="E164" s="266"/>
      <c r="F164" s="266"/>
      <c r="G164" s="175" t="s">
        <v>52</v>
      </c>
    </row>
    <row r="165" spans="1:7">
      <c r="A165" s="207" t="s">
        <v>18</v>
      </c>
      <c r="B165" s="263" t="s">
        <v>171</v>
      </c>
      <c r="C165" s="263"/>
      <c r="D165" s="263"/>
      <c r="E165" s="263"/>
      <c r="F165" s="263"/>
      <c r="G165" s="182">
        <f>G161</f>
        <v>5992.28</v>
      </c>
    </row>
    <row r="166" spans="1:7">
      <c r="A166" s="207" t="s">
        <v>20</v>
      </c>
      <c r="B166" s="263" t="s">
        <v>172</v>
      </c>
      <c r="C166" s="263"/>
      <c r="D166" s="263"/>
      <c r="E166" s="263"/>
      <c r="F166" s="263"/>
      <c r="G166" s="182">
        <f>ROUND($G$165/$E$39,2)</f>
        <v>285.20999999999998</v>
      </c>
    </row>
    <row r="167" spans="1:7">
      <c r="A167" s="207" t="s">
        <v>23</v>
      </c>
      <c r="B167" s="263" t="s">
        <v>173</v>
      </c>
      <c r="C167" s="263"/>
      <c r="D167" s="263"/>
      <c r="E167" s="209">
        <f>$F$28</f>
        <v>1</v>
      </c>
      <c r="F167" s="210" t="s">
        <v>174</v>
      </c>
      <c r="G167" s="182">
        <f>ROUND($G$165*E167,2)</f>
        <v>5992.28</v>
      </c>
    </row>
    <row r="168" spans="1:7">
      <c r="A168" s="207" t="s">
        <v>26</v>
      </c>
      <c r="B168" s="267" t="s">
        <v>175</v>
      </c>
      <c r="C168" s="267"/>
      <c r="D168" s="267"/>
      <c r="E168" s="209">
        <f>F23</f>
        <v>12</v>
      </c>
      <c r="F168" s="210" t="s">
        <v>176</v>
      </c>
      <c r="G168" s="182">
        <f>ROUND(G167*E168,2)</f>
        <v>71907.360000000001</v>
      </c>
    </row>
    <row r="169" spans="1:7" ht="15" customHeight="1">
      <c r="A169" s="268" t="s">
        <v>177</v>
      </c>
      <c r="B169" s="268"/>
      <c r="C169" s="268"/>
      <c r="D169" s="268"/>
      <c r="E169" s="268"/>
      <c r="F169" s="268"/>
      <c r="G169" s="268"/>
    </row>
    <row r="170" spans="1:7" ht="76.8" customHeight="1">
      <c r="A170" s="170"/>
      <c r="B170" s="170"/>
      <c r="C170" s="170"/>
      <c r="D170" s="170"/>
      <c r="E170" s="170"/>
      <c r="F170" s="170"/>
      <c r="G170" s="170"/>
    </row>
    <row r="171" spans="1:7">
      <c r="A171" s="170"/>
      <c r="B171" s="170"/>
      <c r="C171" s="170"/>
      <c r="D171" s="170"/>
      <c r="E171" s="170"/>
      <c r="F171" s="170"/>
      <c r="G171" s="170"/>
    </row>
    <row r="172" spans="1:7">
      <c r="A172" s="169"/>
      <c r="B172" s="169"/>
      <c r="C172" s="211"/>
      <c r="D172" s="211"/>
      <c r="E172" s="211"/>
      <c r="F172" s="169"/>
      <c r="G172" s="169"/>
    </row>
    <row r="173" spans="1:7">
      <c r="A173" s="169"/>
      <c r="B173" s="169"/>
      <c r="C173" s="262" t="s">
        <v>337</v>
      </c>
      <c r="D173" s="262"/>
      <c r="E173" s="262"/>
      <c r="F173" s="169"/>
      <c r="G173" s="169"/>
    </row>
    <row r="174" spans="1:7">
      <c r="A174" s="169"/>
      <c r="B174" s="169"/>
      <c r="C174" s="262" t="s">
        <v>336</v>
      </c>
      <c r="D174" s="262"/>
      <c r="E174" s="262"/>
      <c r="F174" s="169"/>
      <c r="G174" s="169"/>
    </row>
    <row r="175" spans="1:7" ht="15.75" customHeight="1">
      <c r="A175" s="358"/>
      <c r="B175" s="358"/>
      <c r="C175" s="358"/>
      <c r="D175" s="358"/>
      <c r="E175" s="358"/>
      <c r="F175" s="358"/>
      <c r="G175" s="35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t="15" customHeight="1"/>
  </sheetData>
  <sheetProtection formatCells="0" formatColumns="0" formatRows="0" insertRows="0"/>
  <mergeCells count="163">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A48:F48"/>
    <mergeCell ref="A50:G50"/>
    <mergeCell ref="A51:G51"/>
    <mergeCell ref="B52:E52"/>
    <mergeCell ref="B53:E53"/>
    <mergeCell ref="B54:E54"/>
    <mergeCell ref="A55:F55"/>
    <mergeCell ref="A56:G56"/>
    <mergeCell ref="A57:G57"/>
    <mergeCell ref="A58:G58"/>
    <mergeCell ref="A60:F60"/>
    <mergeCell ref="A61:G61"/>
    <mergeCell ref="B62:E62"/>
    <mergeCell ref="B63:E63"/>
    <mergeCell ref="B64:E64"/>
    <mergeCell ref="B65:E65"/>
    <mergeCell ref="B66:E66"/>
    <mergeCell ref="B67:E67"/>
    <mergeCell ref="B68:E68"/>
    <mergeCell ref="B69:E69"/>
    <mergeCell ref="B70:E70"/>
    <mergeCell ref="A71:E71"/>
    <mergeCell ref="A72:G72"/>
    <mergeCell ref="A73:G73"/>
    <mergeCell ref="A74:G74"/>
    <mergeCell ref="A76:G76"/>
    <mergeCell ref="B77:F77"/>
    <mergeCell ref="B78:D78"/>
    <mergeCell ref="B79:E79"/>
    <mergeCell ref="B80:D80"/>
    <mergeCell ref="B81:E81"/>
    <mergeCell ref="B82:F82"/>
    <mergeCell ref="B83:F83"/>
    <mergeCell ref="B84:F84"/>
    <mergeCell ref="B85:F85"/>
    <mergeCell ref="A86:F86"/>
    <mergeCell ref="A87:G87"/>
    <mergeCell ref="A88:G88"/>
    <mergeCell ref="A90:G90"/>
    <mergeCell ref="B91:F91"/>
    <mergeCell ref="B92:F92"/>
    <mergeCell ref="B93:F93"/>
    <mergeCell ref="B94:F94"/>
    <mergeCell ref="A95:F95"/>
    <mergeCell ref="A97:G97"/>
    <mergeCell ref="B98:E98"/>
    <mergeCell ref="B99:E99"/>
    <mergeCell ref="B100:E100"/>
    <mergeCell ref="B101:E101"/>
    <mergeCell ref="B102:E102"/>
    <mergeCell ref="B103:E103"/>
    <mergeCell ref="A104:F104"/>
    <mergeCell ref="A106:G106"/>
    <mergeCell ref="A107:G107"/>
    <mergeCell ref="B108:E108"/>
    <mergeCell ref="B109:E109"/>
    <mergeCell ref="B110:E110"/>
    <mergeCell ref="B111:E111"/>
    <mergeCell ref="B112:E112"/>
    <mergeCell ref="B113:E113"/>
    <mergeCell ref="B114:E114"/>
    <mergeCell ref="B115:E115"/>
    <mergeCell ref="A116:F116"/>
    <mergeCell ref="A117:G117"/>
    <mergeCell ref="A119:G119"/>
    <mergeCell ref="B120:E120"/>
    <mergeCell ref="B121:E121"/>
    <mergeCell ref="A122:F122"/>
    <mergeCell ref="A123:G123"/>
    <mergeCell ref="A125:G125"/>
    <mergeCell ref="B126:E126"/>
    <mergeCell ref="B127:E127"/>
    <mergeCell ref="B128:E128"/>
    <mergeCell ref="A129:F129"/>
    <mergeCell ref="A131:G131"/>
    <mergeCell ref="B132:F132"/>
    <mergeCell ref="B133:F133"/>
    <mergeCell ref="B134:F134"/>
    <mergeCell ref="B135:F135"/>
    <mergeCell ref="A136:F136"/>
    <mergeCell ref="A137:G137"/>
    <mergeCell ref="A139:G139"/>
    <mergeCell ref="B140:F140"/>
    <mergeCell ref="B141:E141"/>
    <mergeCell ref="B142:E142"/>
    <mergeCell ref="B143:E143"/>
    <mergeCell ref="B144:E144"/>
    <mergeCell ref="B145:E145"/>
    <mergeCell ref="B146:E146"/>
    <mergeCell ref="B147:E147"/>
    <mergeCell ref="A148:E148"/>
    <mergeCell ref="A149:G149"/>
    <mergeCell ref="A150:G150"/>
    <mergeCell ref="A152:G152"/>
    <mergeCell ref="B153:F153"/>
    <mergeCell ref="B154:F154"/>
    <mergeCell ref="B155:F155"/>
    <mergeCell ref="B156:F156"/>
    <mergeCell ref="B157:F157"/>
    <mergeCell ref="B158:F158"/>
    <mergeCell ref="A159:F159"/>
    <mergeCell ref="B160:F160"/>
    <mergeCell ref="A161:F161"/>
    <mergeCell ref="A163:G163"/>
    <mergeCell ref="B164:F164"/>
    <mergeCell ref="B165:F165"/>
    <mergeCell ref="B166:F166"/>
    <mergeCell ref="B167:D167"/>
    <mergeCell ref="B168:D168"/>
    <mergeCell ref="A169:G169"/>
    <mergeCell ref="C173:E173"/>
    <mergeCell ref="C174:E174"/>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1" customWidth="1"/>
    <col min="2" max="4" width="18" style="1" customWidth="1"/>
    <col min="5" max="5" width="35.109375" style="1" customWidth="1"/>
    <col min="6" max="12" width="14.44140625" style="1"/>
    <col min="13" max="1024" width="14.44140625" style="1" hidden="1"/>
  </cols>
  <sheetData>
    <row r="1" spans="1:7" ht="60.75" customHeight="1">
      <c r="A1" s="257" t="s">
        <v>11</v>
      </c>
      <c r="B1" s="257"/>
      <c r="C1" s="257"/>
      <c r="D1" s="257"/>
      <c r="E1" s="257"/>
      <c r="F1" s="257"/>
      <c r="G1" s="257"/>
    </row>
    <row r="2" spans="1:7" ht="45">
      <c r="A2" s="303"/>
      <c r="B2" s="303"/>
      <c r="C2" s="303"/>
      <c r="D2" s="303"/>
      <c r="E2" s="303"/>
      <c r="F2" s="303"/>
      <c r="G2" s="303"/>
    </row>
    <row r="3" spans="1:7">
      <c r="A3" s="169"/>
      <c r="B3" s="169"/>
      <c r="C3" s="169"/>
      <c r="D3" s="169"/>
      <c r="E3" s="169"/>
      <c r="F3" s="169"/>
      <c r="G3" s="169"/>
    </row>
    <row r="4" spans="1:7">
      <c r="A4" s="169"/>
      <c r="B4" s="169"/>
      <c r="C4" s="169"/>
      <c r="D4" s="169"/>
      <c r="E4" s="169"/>
      <c r="F4" s="169"/>
      <c r="G4" s="169"/>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69"/>
      <c r="B9" s="169"/>
      <c r="C9" s="169"/>
      <c r="D9" s="169"/>
      <c r="E9" s="169"/>
      <c r="F9" s="169"/>
      <c r="G9" s="169"/>
    </row>
    <row r="10" spans="1:7">
      <c r="A10" s="169"/>
      <c r="B10" s="169"/>
      <c r="C10" s="169"/>
      <c r="D10" s="169"/>
      <c r="E10" s="169"/>
      <c r="F10" s="169"/>
      <c r="G10" s="169"/>
    </row>
    <row r="11" spans="1:7">
      <c r="A11" s="305" t="s">
        <v>334</v>
      </c>
      <c r="B11" s="305"/>
      <c r="C11" s="305"/>
      <c r="D11" s="305"/>
      <c r="E11" s="305"/>
      <c r="F11" s="305"/>
      <c r="G11" s="305"/>
    </row>
    <row r="12" spans="1:7">
      <c r="A12" s="169"/>
      <c r="B12" s="169"/>
      <c r="C12" s="169"/>
      <c r="D12" s="169"/>
      <c r="E12" s="169"/>
      <c r="F12" s="169"/>
      <c r="G12" s="169"/>
    </row>
    <row r="13" spans="1:7">
      <c r="A13" s="170"/>
      <c r="B13" s="170"/>
      <c r="C13" s="170"/>
      <c r="D13" s="170"/>
      <c r="E13" s="170"/>
      <c r="F13" s="170"/>
      <c r="G13" s="170"/>
    </row>
    <row r="14" spans="1:7" ht="15" customHeight="1">
      <c r="A14" s="306" t="s">
        <v>0</v>
      </c>
      <c r="B14" s="306"/>
      <c r="C14" s="306"/>
      <c r="D14" s="306"/>
      <c r="E14" s="306"/>
      <c r="F14" s="306"/>
      <c r="G14" s="306"/>
    </row>
    <row r="15" spans="1:7">
      <c r="A15" s="171" t="s">
        <v>12</v>
      </c>
      <c r="B15" s="173" t="s">
        <v>13</v>
      </c>
      <c r="C15" s="299" t="s">
        <v>14</v>
      </c>
      <c r="D15" s="299"/>
      <c r="E15" s="299"/>
      <c r="F15" s="299"/>
      <c r="G15" s="299"/>
    </row>
    <row r="16" spans="1:7">
      <c r="A16" s="171" t="s">
        <v>12</v>
      </c>
      <c r="B16" s="173" t="s">
        <v>15</v>
      </c>
      <c r="C16" s="298" t="s">
        <v>324</v>
      </c>
      <c r="D16" s="298"/>
      <c r="E16" s="298"/>
      <c r="F16" s="298"/>
      <c r="G16" s="298"/>
    </row>
    <row r="17" spans="1:7">
      <c r="A17" s="171" t="s">
        <v>12</v>
      </c>
      <c r="B17" s="173" t="s">
        <v>16</v>
      </c>
      <c r="C17" s="299" t="s">
        <v>325</v>
      </c>
      <c r="D17" s="299"/>
      <c r="E17" s="299"/>
      <c r="F17" s="299"/>
      <c r="G17" s="299"/>
    </row>
    <row r="18" spans="1:7">
      <c r="A18" s="170"/>
      <c r="B18" s="170"/>
      <c r="C18" s="170"/>
      <c r="D18" s="170"/>
      <c r="E18" s="170"/>
      <c r="F18" s="170"/>
      <c r="G18" s="170"/>
    </row>
    <row r="19" spans="1:7" ht="15" customHeight="1">
      <c r="A19" s="292" t="s">
        <v>17</v>
      </c>
      <c r="B19" s="292"/>
      <c r="C19" s="292"/>
      <c r="D19" s="292"/>
      <c r="E19" s="292"/>
      <c r="F19" s="292"/>
      <c r="G19" s="292"/>
    </row>
    <row r="20" spans="1:7">
      <c r="A20" s="171" t="s">
        <v>18</v>
      </c>
      <c r="B20" s="278" t="s">
        <v>19</v>
      </c>
      <c r="C20" s="278"/>
      <c r="D20" s="278"/>
      <c r="E20" s="278"/>
      <c r="F20" s="300">
        <v>44470</v>
      </c>
      <c r="G20" s="301"/>
    </row>
    <row r="21" spans="1:7" ht="15" customHeight="1">
      <c r="A21" s="171" t="s">
        <v>20</v>
      </c>
      <c r="B21" s="278" t="s">
        <v>21</v>
      </c>
      <c r="C21" s="278"/>
      <c r="D21" s="278"/>
      <c r="E21" s="278"/>
      <c r="F21" s="302" t="s">
        <v>22</v>
      </c>
      <c r="G21" s="302"/>
    </row>
    <row r="22" spans="1:7">
      <c r="A22" s="171" t="s">
        <v>23</v>
      </c>
      <c r="B22" s="278" t="s">
        <v>24</v>
      </c>
      <c r="C22" s="278"/>
      <c r="D22" s="278"/>
      <c r="E22" s="278"/>
      <c r="F22" s="301" t="s">
        <v>25</v>
      </c>
      <c r="G22" s="301"/>
    </row>
    <row r="23" spans="1:7">
      <c r="A23" s="171" t="s">
        <v>26</v>
      </c>
      <c r="B23" s="278" t="s">
        <v>27</v>
      </c>
      <c r="C23" s="278"/>
      <c r="D23" s="278"/>
      <c r="E23" s="278"/>
      <c r="F23" s="295">
        <v>12</v>
      </c>
      <c r="G23" s="295"/>
    </row>
    <row r="24" spans="1:7">
      <c r="A24" s="174" t="s">
        <v>28</v>
      </c>
      <c r="B24" s="296" t="s">
        <v>29</v>
      </c>
      <c r="C24" s="296"/>
      <c r="D24" s="296"/>
      <c r="E24" s="296"/>
      <c r="F24" s="295" t="s">
        <v>326</v>
      </c>
      <c r="G24" s="295"/>
    </row>
    <row r="25" spans="1:7">
      <c r="A25" s="170"/>
      <c r="B25" s="170"/>
      <c r="C25" s="170"/>
      <c r="D25" s="170"/>
      <c r="E25" s="170"/>
      <c r="F25" s="170"/>
      <c r="G25" s="170"/>
    </row>
    <row r="26" spans="1:7" ht="15" customHeight="1">
      <c r="A26" s="292" t="s">
        <v>30</v>
      </c>
      <c r="B26" s="292"/>
      <c r="C26" s="292"/>
      <c r="D26" s="292"/>
      <c r="E26" s="292"/>
      <c r="F26" s="292"/>
      <c r="G26" s="292"/>
    </row>
    <row r="27" spans="1:7" ht="24" customHeight="1">
      <c r="A27" s="266" t="s">
        <v>31</v>
      </c>
      <c r="B27" s="266"/>
      <c r="C27" s="266"/>
      <c r="D27" s="266"/>
      <c r="E27" s="175" t="s">
        <v>32</v>
      </c>
      <c r="F27" s="266" t="s">
        <v>33</v>
      </c>
      <c r="G27" s="266"/>
    </row>
    <row r="28" spans="1:7">
      <c r="A28" s="297" t="str">
        <f>Geral!B6</f>
        <v>Motorista Veículo Pesado (14h00 - 24h00)</v>
      </c>
      <c r="B28" s="297"/>
      <c r="C28" s="297"/>
      <c r="D28" s="297"/>
      <c r="E28" s="176" t="str">
        <f>Geral!G6</f>
        <v>Posto/mês</v>
      </c>
      <c r="F28" s="251">
        <f>IFERROR(VLOOKUP(A28,Proposta!$B$17:$D$23,3,FALSE()),1)</f>
        <v>1</v>
      </c>
      <c r="G28" s="251"/>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0"/>
      <c r="B31" s="170"/>
      <c r="C31" s="170"/>
      <c r="D31" s="170"/>
      <c r="E31" s="170"/>
      <c r="F31" s="170"/>
      <c r="G31" s="170"/>
    </row>
    <row r="32" spans="1:7" ht="15" customHeight="1">
      <c r="A32" s="292" t="s">
        <v>36</v>
      </c>
      <c r="B32" s="292"/>
      <c r="C32" s="292"/>
      <c r="D32" s="292"/>
      <c r="E32" s="292"/>
      <c r="F32" s="292"/>
      <c r="G32" s="292"/>
    </row>
    <row r="33" spans="1:7" ht="15" customHeight="1">
      <c r="A33" s="293" t="s">
        <v>37</v>
      </c>
      <c r="B33" s="293"/>
      <c r="C33" s="293"/>
      <c r="D33" s="293"/>
      <c r="E33" s="293"/>
      <c r="F33" s="293"/>
      <c r="G33" s="293"/>
    </row>
    <row r="34" spans="1:7">
      <c r="A34" s="171">
        <v>1</v>
      </c>
      <c r="B34" s="278" t="s">
        <v>38</v>
      </c>
      <c r="C34" s="278"/>
      <c r="D34" s="278"/>
      <c r="E34" s="288" t="s">
        <v>39</v>
      </c>
      <c r="F34" s="288"/>
      <c r="G34" s="288"/>
    </row>
    <row r="35" spans="1:7">
      <c r="A35" s="171">
        <v>2</v>
      </c>
      <c r="B35" s="278" t="s">
        <v>40</v>
      </c>
      <c r="C35" s="278"/>
      <c r="D35" s="278"/>
      <c r="E35" s="288" t="s">
        <v>41</v>
      </c>
      <c r="F35" s="288"/>
      <c r="G35" s="288"/>
    </row>
    <row r="36" spans="1:7">
      <c r="A36" s="171">
        <v>3</v>
      </c>
      <c r="B36" s="278" t="s">
        <v>42</v>
      </c>
      <c r="C36" s="278"/>
      <c r="D36" s="278"/>
      <c r="E36" s="294">
        <v>1368.91</v>
      </c>
      <c r="F36" s="294"/>
      <c r="G36" s="294"/>
    </row>
    <row r="37" spans="1:7">
      <c r="A37" s="171">
        <v>4</v>
      </c>
      <c r="B37" s="278" t="s">
        <v>43</v>
      </c>
      <c r="C37" s="278"/>
      <c r="D37" s="278"/>
      <c r="E37" s="288" t="s">
        <v>44</v>
      </c>
      <c r="F37" s="288"/>
      <c r="G37" s="288"/>
    </row>
    <row r="38" spans="1:7">
      <c r="A38" s="171">
        <v>5</v>
      </c>
      <c r="B38" s="278" t="s">
        <v>45</v>
      </c>
      <c r="C38" s="278"/>
      <c r="D38" s="278"/>
      <c r="E38" s="289">
        <v>44197</v>
      </c>
      <c r="F38" s="289"/>
      <c r="G38" s="289"/>
    </row>
    <row r="39" spans="1:7">
      <c r="A39" s="178">
        <v>6</v>
      </c>
      <c r="B39" s="290" t="s">
        <v>46</v>
      </c>
      <c r="C39" s="290"/>
      <c r="D39" s="290"/>
      <c r="E39" s="288">
        <v>21.01</v>
      </c>
      <c r="F39" s="288"/>
      <c r="G39" s="288"/>
    </row>
    <row r="40" spans="1:7">
      <c r="A40" s="178">
        <v>7</v>
      </c>
      <c r="B40" s="290" t="s">
        <v>47</v>
      </c>
      <c r="C40" s="290"/>
      <c r="D40" s="290"/>
      <c r="E40" s="291">
        <v>1100</v>
      </c>
      <c r="F40" s="291"/>
      <c r="G40" s="291"/>
    </row>
    <row r="41" spans="1:7" ht="15" customHeight="1">
      <c r="A41" s="268" t="s">
        <v>48</v>
      </c>
      <c r="B41" s="268"/>
      <c r="C41" s="268"/>
      <c r="D41" s="268"/>
      <c r="E41" s="268"/>
      <c r="F41" s="268"/>
      <c r="G41" s="268"/>
    </row>
    <row r="42" spans="1:7" ht="15" customHeight="1">
      <c r="A42" s="268" t="s">
        <v>49</v>
      </c>
      <c r="B42" s="268"/>
      <c r="C42" s="268"/>
      <c r="D42" s="268"/>
      <c r="E42" s="268"/>
      <c r="F42" s="268"/>
      <c r="G42" s="268"/>
    </row>
    <row r="43" spans="1:7">
      <c r="A43" s="170"/>
      <c r="B43" s="170"/>
      <c r="C43" s="170"/>
      <c r="D43" s="170"/>
      <c r="E43" s="170"/>
      <c r="F43" s="170"/>
      <c r="G43" s="170"/>
    </row>
    <row r="44" spans="1:7">
      <c r="A44" s="265" t="s">
        <v>50</v>
      </c>
      <c r="B44" s="265"/>
      <c r="C44" s="265"/>
      <c r="D44" s="265"/>
      <c r="E44" s="265"/>
      <c r="F44" s="265"/>
      <c r="G44" s="265"/>
    </row>
    <row r="45" spans="1:7" ht="15" customHeight="1">
      <c r="A45" s="175">
        <v>1</v>
      </c>
      <c r="B45" s="266" t="s">
        <v>51</v>
      </c>
      <c r="C45" s="266"/>
      <c r="D45" s="266"/>
      <c r="E45" s="266"/>
      <c r="F45" s="266"/>
      <c r="G45" s="175" t="s">
        <v>52</v>
      </c>
    </row>
    <row r="46" spans="1:7">
      <c r="A46" s="171" t="s">
        <v>18</v>
      </c>
      <c r="B46" s="276" t="s">
        <v>53</v>
      </c>
      <c r="C46" s="276"/>
      <c r="D46" s="276"/>
      <c r="E46" s="276"/>
      <c r="F46" s="276"/>
      <c r="G46" s="179">
        <v>2696.19</v>
      </c>
    </row>
    <row r="47" spans="1:7" ht="28.2" customHeight="1">
      <c r="A47" s="171" t="s">
        <v>20</v>
      </c>
      <c r="B47" s="287" t="s">
        <v>179</v>
      </c>
      <c r="C47" s="287"/>
      <c r="D47" s="287"/>
      <c r="E47" s="287"/>
      <c r="F47" s="287"/>
      <c r="G47" s="180">
        <f>ROUND(2*$E$39*(($G$46/220)*20%),2)</f>
        <v>102.99</v>
      </c>
    </row>
    <row r="48" spans="1:7">
      <c r="A48" s="171" t="s">
        <v>23</v>
      </c>
      <c r="B48" s="278" t="s">
        <v>180</v>
      </c>
      <c r="C48" s="278"/>
      <c r="D48" s="278"/>
      <c r="E48" s="278"/>
      <c r="F48" s="278"/>
      <c r="G48" s="180">
        <f>ROUND(2*$E$39*((60/52.5)-1)*(($G$46/220)*120%),2)</f>
        <v>88.28</v>
      </c>
    </row>
    <row r="49" spans="1:7">
      <c r="A49" s="171" t="s">
        <v>26</v>
      </c>
      <c r="B49" s="277" t="s">
        <v>54</v>
      </c>
      <c r="C49" s="277"/>
      <c r="D49" s="277"/>
      <c r="E49" s="277"/>
      <c r="F49" s="277"/>
      <c r="G49" s="181">
        <v>0</v>
      </c>
    </row>
    <row r="50" spans="1:7">
      <c r="A50" s="264" t="s">
        <v>55</v>
      </c>
      <c r="B50" s="264"/>
      <c r="C50" s="264"/>
      <c r="D50" s="264"/>
      <c r="E50" s="264"/>
      <c r="F50" s="264"/>
      <c r="G50" s="182">
        <f>ROUND(SUM(G46:G49),2)</f>
        <v>2887.46</v>
      </c>
    </row>
    <row r="51" spans="1:7">
      <c r="A51" s="170"/>
      <c r="B51" s="170"/>
      <c r="C51" s="170"/>
      <c r="D51" s="170"/>
      <c r="E51" s="170"/>
      <c r="F51" s="170"/>
      <c r="G51" s="170"/>
    </row>
    <row r="52" spans="1:7">
      <c r="A52" s="265" t="s">
        <v>56</v>
      </c>
      <c r="B52" s="265"/>
      <c r="C52" s="265"/>
      <c r="D52" s="265"/>
      <c r="E52" s="265"/>
      <c r="F52" s="265"/>
      <c r="G52" s="265"/>
    </row>
    <row r="53" spans="1:7" ht="15" customHeight="1">
      <c r="A53" s="281" t="s">
        <v>57</v>
      </c>
      <c r="B53" s="281"/>
      <c r="C53" s="281"/>
      <c r="D53" s="281"/>
      <c r="E53" s="281"/>
      <c r="F53" s="281"/>
      <c r="G53" s="281"/>
    </row>
    <row r="54" spans="1:7" ht="15" customHeight="1">
      <c r="A54" s="175" t="s">
        <v>58</v>
      </c>
      <c r="B54" s="266" t="s">
        <v>59</v>
      </c>
      <c r="C54" s="266"/>
      <c r="D54" s="266"/>
      <c r="E54" s="266"/>
      <c r="F54" s="175" t="s">
        <v>60</v>
      </c>
      <c r="G54" s="175" t="s">
        <v>52</v>
      </c>
    </row>
    <row r="55" spans="1:7">
      <c r="A55" s="171" t="s">
        <v>18</v>
      </c>
      <c r="B55" s="275" t="s">
        <v>61</v>
      </c>
      <c r="C55" s="275"/>
      <c r="D55" s="275"/>
      <c r="E55" s="275"/>
      <c r="F55" s="183">
        <f>1/12</f>
        <v>8.3333333333333329E-2</v>
      </c>
      <c r="G55" s="184">
        <f>ROUND($G$50*F55,2)</f>
        <v>240.62</v>
      </c>
    </row>
    <row r="56" spans="1:7">
      <c r="A56" s="171" t="s">
        <v>20</v>
      </c>
      <c r="B56" s="284" t="s">
        <v>62</v>
      </c>
      <c r="C56" s="284"/>
      <c r="D56" s="284"/>
      <c r="E56" s="284"/>
      <c r="F56" s="183">
        <v>0.1111</v>
      </c>
      <c r="G56" s="184">
        <f>ROUND($G$50*F56,2)</f>
        <v>320.8</v>
      </c>
    </row>
    <row r="57" spans="1:7">
      <c r="A57" s="264" t="s">
        <v>63</v>
      </c>
      <c r="B57" s="264"/>
      <c r="C57" s="264"/>
      <c r="D57" s="264"/>
      <c r="E57" s="264"/>
      <c r="F57" s="264"/>
      <c r="G57" s="182">
        <f>ROUND(SUM(G55:G56),2)</f>
        <v>561.41999999999996</v>
      </c>
    </row>
    <row r="58" spans="1:7" ht="30.75" customHeight="1">
      <c r="A58" s="285" t="s">
        <v>64</v>
      </c>
      <c r="B58" s="285"/>
      <c r="C58" s="285"/>
      <c r="D58" s="285"/>
      <c r="E58" s="285"/>
      <c r="F58" s="285"/>
      <c r="G58" s="285"/>
    </row>
    <row r="59" spans="1:7" ht="30.75" customHeight="1">
      <c r="A59" s="268" t="s">
        <v>65</v>
      </c>
      <c r="B59" s="268"/>
      <c r="C59" s="268"/>
      <c r="D59" s="268"/>
      <c r="E59" s="268"/>
      <c r="F59" s="268"/>
      <c r="G59" s="268"/>
    </row>
    <row r="60" spans="1:7" ht="43.5" customHeight="1">
      <c r="A60" s="268" t="s">
        <v>66</v>
      </c>
      <c r="B60" s="268"/>
      <c r="C60" s="268"/>
      <c r="D60" s="268"/>
      <c r="E60" s="268"/>
      <c r="F60" s="268"/>
      <c r="G60" s="268"/>
    </row>
    <row r="61" spans="1:7">
      <c r="A61" s="170"/>
      <c r="B61" s="170"/>
      <c r="C61" s="170"/>
      <c r="D61" s="170"/>
      <c r="E61" s="170"/>
      <c r="F61" s="170"/>
      <c r="G61" s="170"/>
    </row>
    <row r="62" spans="1:7">
      <c r="A62" s="286" t="s">
        <v>67</v>
      </c>
      <c r="B62" s="286"/>
      <c r="C62" s="286"/>
      <c r="D62" s="286"/>
      <c r="E62" s="286"/>
      <c r="F62" s="286"/>
      <c r="G62" s="185">
        <f>ROUND(G50+G57,2)</f>
        <v>3448.88</v>
      </c>
    </row>
    <row r="63" spans="1:7" ht="15" customHeight="1">
      <c r="A63" s="281" t="s">
        <v>68</v>
      </c>
      <c r="B63" s="281"/>
      <c r="C63" s="281"/>
      <c r="D63" s="281"/>
      <c r="E63" s="281"/>
      <c r="F63" s="281"/>
      <c r="G63" s="281"/>
    </row>
    <row r="64" spans="1:7" ht="15" customHeight="1">
      <c r="A64" s="175" t="s">
        <v>69</v>
      </c>
      <c r="B64" s="266" t="s">
        <v>70</v>
      </c>
      <c r="C64" s="266"/>
      <c r="D64" s="266"/>
      <c r="E64" s="266"/>
      <c r="F64" s="175" t="s">
        <v>60</v>
      </c>
      <c r="G64" s="175" t="s">
        <v>52</v>
      </c>
    </row>
    <row r="65" spans="1:7">
      <c r="A65" s="171" t="s">
        <v>18</v>
      </c>
      <c r="B65" s="275" t="s">
        <v>71</v>
      </c>
      <c r="C65" s="275"/>
      <c r="D65" s="275"/>
      <c r="E65" s="275"/>
      <c r="F65" s="183">
        <v>0.2</v>
      </c>
      <c r="G65" s="184">
        <f t="shared" ref="G65:G72" si="0">ROUND($G$62*F65,2)</f>
        <v>689.78</v>
      </c>
    </row>
    <row r="66" spans="1:7">
      <c r="A66" s="171" t="s">
        <v>72</v>
      </c>
      <c r="B66" s="275" t="s">
        <v>73</v>
      </c>
      <c r="C66" s="275"/>
      <c r="D66" s="275"/>
      <c r="E66" s="275"/>
      <c r="F66" s="183">
        <v>2.5000000000000001E-2</v>
      </c>
      <c r="G66" s="184">
        <f t="shared" si="0"/>
        <v>86.22</v>
      </c>
    </row>
    <row r="67" spans="1:7">
      <c r="A67" s="171" t="s">
        <v>74</v>
      </c>
      <c r="B67" s="276" t="s">
        <v>75</v>
      </c>
      <c r="C67" s="276"/>
      <c r="D67" s="276"/>
      <c r="E67" s="276"/>
      <c r="F67" s="186">
        <f>'Cargo1-Leve22h'!F61</f>
        <v>1.8200000000000001E-2</v>
      </c>
      <c r="G67" s="184">
        <f t="shared" si="0"/>
        <v>62.77</v>
      </c>
    </row>
    <row r="68" spans="1:7">
      <c r="A68" s="171" t="s">
        <v>20</v>
      </c>
      <c r="B68" s="275" t="s">
        <v>76</v>
      </c>
      <c r="C68" s="275"/>
      <c r="D68" s="275"/>
      <c r="E68" s="275"/>
      <c r="F68" s="183">
        <v>0.08</v>
      </c>
      <c r="G68" s="184">
        <f t="shared" si="0"/>
        <v>275.91000000000003</v>
      </c>
    </row>
    <row r="69" spans="1:7">
      <c r="A69" s="171" t="s">
        <v>23</v>
      </c>
      <c r="B69" s="275" t="s">
        <v>77</v>
      </c>
      <c r="C69" s="275"/>
      <c r="D69" s="275"/>
      <c r="E69" s="275"/>
      <c r="F69" s="183">
        <v>1.4999999999999999E-2</v>
      </c>
      <c r="G69" s="184">
        <f t="shared" si="0"/>
        <v>51.73</v>
      </c>
    </row>
    <row r="70" spans="1:7">
      <c r="A70" s="171" t="s">
        <v>26</v>
      </c>
      <c r="B70" s="275" t="s">
        <v>78</v>
      </c>
      <c r="C70" s="275"/>
      <c r="D70" s="275"/>
      <c r="E70" s="275"/>
      <c r="F70" s="183">
        <v>0.01</v>
      </c>
      <c r="G70" s="184">
        <f t="shared" si="0"/>
        <v>34.49</v>
      </c>
    </row>
    <row r="71" spans="1:7">
      <c r="A71" s="171" t="s">
        <v>28</v>
      </c>
      <c r="B71" s="275" t="s">
        <v>79</v>
      </c>
      <c r="C71" s="275"/>
      <c r="D71" s="275"/>
      <c r="E71" s="275"/>
      <c r="F71" s="183">
        <v>6.0000000000000001E-3</v>
      </c>
      <c r="G71" s="184">
        <f t="shared" si="0"/>
        <v>20.69</v>
      </c>
    </row>
    <row r="72" spans="1:7">
      <c r="A72" s="171" t="s">
        <v>80</v>
      </c>
      <c r="B72" s="275" t="s">
        <v>81</v>
      </c>
      <c r="C72" s="275"/>
      <c r="D72" s="275"/>
      <c r="E72" s="275"/>
      <c r="F72" s="183">
        <v>2E-3</v>
      </c>
      <c r="G72" s="184">
        <f t="shared" si="0"/>
        <v>6.9</v>
      </c>
    </row>
    <row r="73" spans="1:7">
      <c r="A73" s="264" t="s">
        <v>82</v>
      </c>
      <c r="B73" s="264"/>
      <c r="C73" s="264"/>
      <c r="D73" s="264"/>
      <c r="E73" s="264"/>
      <c r="F73" s="187">
        <f>SUM(F65:F72)</f>
        <v>0.35620000000000002</v>
      </c>
      <c r="G73" s="182">
        <f>ROUND(SUM(G65:G72),2)</f>
        <v>1228.49</v>
      </c>
    </row>
    <row r="74" spans="1:7" ht="30.75" customHeight="1">
      <c r="A74" s="268" t="s">
        <v>83</v>
      </c>
      <c r="B74" s="268"/>
      <c r="C74" s="268"/>
      <c r="D74" s="268"/>
      <c r="E74" s="268"/>
      <c r="F74" s="268"/>
      <c r="G74" s="268"/>
    </row>
    <row r="75" spans="1:7" ht="30.75" customHeight="1">
      <c r="A75" s="268" t="s">
        <v>84</v>
      </c>
      <c r="B75" s="268"/>
      <c r="C75" s="268"/>
      <c r="D75" s="268"/>
      <c r="E75" s="268"/>
      <c r="F75" s="268"/>
      <c r="G75" s="268"/>
    </row>
    <row r="76" spans="1:7">
      <c r="A76" s="283" t="s">
        <v>85</v>
      </c>
      <c r="B76" s="283"/>
      <c r="C76" s="283"/>
      <c r="D76" s="283"/>
      <c r="E76" s="283"/>
      <c r="F76" s="283"/>
      <c r="G76" s="283"/>
    </row>
    <row r="77" spans="1:7">
      <c r="A77" s="170"/>
      <c r="B77" s="170"/>
      <c r="C77" s="170"/>
      <c r="D77" s="170"/>
      <c r="E77" s="170"/>
      <c r="F77" s="170"/>
      <c r="G77" s="170"/>
    </row>
    <row r="78" spans="1:7" ht="15" customHeight="1">
      <c r="A78" s="281" t="s">
        <v>86</v>
      </c>
      <c r="B78" s="281"/>
      <c r="C78" s="281"/>
      <c r="D78" s="281"/>
      <c r="E78" s="281"/>
      <c r="F78" s="281"/>
      <c r="G78" s="281"/>
    </row>
    <row r="79" spans="1:7" ht="15" customHeight="1">
      <c r="A79" s="175" t="s">
        <v>87</v>
      </c>
      <c r="B79" s="266" t="s">
        <v>88</v>
      </c>
      <c r="C79" s="266"/>
      <c r="D79" s="266"/>
      <c r="E79" s="266"/>
      <c r="F79" s="266"/>
      <c r="G79" s="175" t="s">
        <v>52</v>
      </c>
    </row>
    <row r="80" spans="1:7">
      <c r="A80" s="171" t="s">
        <v>18</v>
      </c>
      <c r="B80" s="275" t="s">
        <v>89</v>
      </c>
      <c r="C80" s="275"/>
      <c r="D80" s="275"/>
      <c r="E80" s="188" t="s">
        <v>90</v>
      </c>
      <c r="F80" s="181">
        <v>5.5</v>
      </c>
      <c r="G80" s="189">
        <f>ROUND($E$39,0)*2*F80</f>
        <v>231</v>
      </c>
    </row>
    <row r="81" spans="1:7">
      <c r="A81" s="190" t="s">
        <v>91</v>
      </c>
      <c r="B81" s="271" t="s">
        <v>92</v>
      </c>
      <c r="C81" s="271"/>
      <c r="D81" s="271"/>
      <c r="E81" s="271"/>
      <c r="F81" s="191">
        <v>-0.06</v>
      </c>
      <c r="G81" s="192">
        <f>ROUND($G$46*F81,2)</f>
        <v>-161.77000000000001</v>
      </c>
    </row>
    <row r="82" spans="1:7">
      <c r="A82" s="171" t="s">
        <v>20</v>
      </c>
      <c r="B82" s="276" t="s">
        <v>93</v>
      </c>
      <c r="C82" s="276"/>
      <c r="D82" s="276"/>
      <c r="E82" s="188" t="s">
        <v>90</v>
      </c>
      <c r="F82" s="181">
        <v>38.51</v>
      </c>
      <c r="G82" s="193">
        <f>ROUND($E$39,0)*F82</f>
        <v>808.70999999999992</v>
      </c>
    </row>
    <row r="83" spans="1:7">
      <c r="A83" s="190" t="s">
        <v>94</v>
      </c>
      <c r="B83" s="282" t="s">
        <v>95</v>
      </c>
      <c r="C83" s="282"/>
      <c r="D83" s="282"/>
      <c r="E83" s="282"/>
      <c r="F83" s="180">
        <v>-0.3</v>
      </c>
      <c r="G83" s="192">
        <f>ROUND($E$39,0)*F83</f>
        <v>-6.3</v>
      </c>
    </row>
    <row r="84" spans="1:7">
      <c r="A84" s="171" t="s">
        <v>23</v>
      </c>
      <c r="B84" s="277" t="s">
        <v>178</v>
      </c>
      <c r="C84" s="277"/>
      <c r="D84" s="277"/>
      <c r="E84" s="277"/>
      <c r="F84" s="277"/>
      <c r="G84" s="181">
        <v>0</v>
      </c>
    </row>
    <row r="85" spans="1:7">
      <c r="A85" s="171" t="s">
        <v>26</v>
      </c>
      <c r="B85" s="278" t="s">
        <v>97</v>
      </c>
      <c r="C85" s="278"/>
      <c r="D85" s="278"/>
      <c r="E85" s="278"/>
      <c r="F85" s="278"/>
      <c r="G85" s="181">
        <v>0</v>
      </c>
    </row>
    <row r="86" spans="1:7">
      <c r="A86" s="171" t="s">
        <v>28</v>
      </c>
      <c r="B86" s="278" t="s">
        <v>98</v>
      </c>
      <c r="C86" s="278"/>
      <c r="D86" s="278"/>
      <c r="E86" s="278"/>
      <c r="F86" s="278"/>
      <c r="G86" s="181">
        <v>0</v>
      </c>
    </row>
    <row r="87" spans="1:7">
      <c r="A87" s="171" t="s">
        <v>80</v>
      </c>
      <c r="B87" s="276" t="s">
        <v>99</v>
      </c>
      <c r="C87" s="276"/>
      <c r="D87" s="276"/>
      <c r="E87" s="276"/>
      <c r="F87" s="276"/>
      <c r="G87" s="181">
        <v>0</v>
      </c>
    </row>
    <row r="88" spans="1:7">
      <c r="A88" s="264" t="s">
        <v>100</v>
      </c>
      <c r="B88" s="264"/>
      <c r="C88" s="264"/>
      <c r="D88" s="264"/>
      <c r="E88" s="264"/>
      <c r="F88" s="264"/>
      <c r="G88" s="182">
        <f>ROUND(SUM(G80:G87),2)</f>
        <v>871.64</v>
      </c>
    </row>
    <row r="89" spans="1:7">
      <c r="A89" s="283" t="s">
        <v>101</v>
      </c>
      <c r="B89" s="283"/>
      <c r="C89" s="283"/>
      <c r="D89" s="283"/>
      <c r="E89" s="283"/>
      <c r="F89" s="283"/>
      <c r="G89" s="283"/>
    </row>
    <row r="90" spans="1:7" ht="32.25" customHeight="1">
      <c r="A90" s="268" t="s">
        <v>102</v>
      </c>
      <c r="B90" s="268"/>
      <c r="C90" s="268"/>
      <c r="D90" s="268"/>
      <c r="E90" s="268"/>
      <c r="F90" s="268"/>
      <c r="G90" s="268"/>
    </row>
    <row r="91" spans="1:7">
      <c r="A91" s="170"/>
      <c r="B91" s="170"/>
      <c r="C91" s="170"/>
      <c r="D91" s="170"/>
      <c r="E91" s="170"/>
      <c r="F91" s="170"/>
      <c r="G91" s="170"/>
    </row>
    <row r="92" spans="1:7">
      <c r="A92" s="265" t="s">
        <v>103</v>
      </c>
      <c r="B92" s="265"/>
      <c r="C92" s="265"/>
      <c r="D92" s="265"/>
      <c r="E92" s="265"/>
      <c r="F92" s="265"/>
      <c r="G92" s="265"/>
    </row>
    <row r="93" spans="1:7" ht="15" customHeight="1">
      <c r="A93" s="175">
        <v>2</v>
      </c>
      <c r="B93" s="266" t="s">
        <v>104</v>
      </c>
      <c r="C93" s="266"/>
      <c r="D93" s="266"/>
      <c r="E93" s="266"/>
      <c r="F93" s="266"/>
      <c r="G93" s="175" t="s">
        <v>52</v>
      </c>
    </row>
    <row r="94" spans="1:7">
      <c r="A94" s="194" t="s">
        <v>58</v>
      </c>
      <c r="B94" s="279" t="s">
        <v>59</v>
      </c>
      <c r="C94" s="279"/>
      <c r="D94" s="279"/>
      <c r="E94" s="279"/>
      <c r="F94" s="279"/>
      <c r="G94" s="195">
        <f>$G$57</f>
        <v>561.41999999999996</v>
      </c>
    </row>
    <row r="95" spans="1:7">
      <c r="A95" s="194" t="s">
        <v>69</v>
      </c>
      <c r="B95" s="279" t="s">
        <v>70</v>
      </c>
      <c r="C95" s="279"/>
      <c r="D95" s="279"/>
      <c r="E95" s="279"/>
      <c r="F95" s="279"/>
      <c r="G95" s="195">
        <f>$G$73</f>
        <v>1228.49</v>
      </c>
    </row>
    <row r="96" spans="1:7">
      <c r="A96" s="194" t="s">
        <v>87</v>
      </c>
      <c r="B96" s="279" t="s">
        <v>88</v>
      </c>
      <c r="C96" s="279"/>
      <c r="D96" s="279"/>
      <c r="E96" s="279"/>
      <c r="F96" s="279"/>
      <c r="G96" s="195">
        <f>$G$88</f>
        <v>871.64</v>
      </c>
    </row>
    <row r="97" spans="1:7">
      <c r="A97" s="264" t="s">
        <v>105</v>
      </c>
      <c r="B97" s="264"/>
      <c r="C97" s="264"/>
      <c r="D97" s="264"/>
      <c r="E97" s="264"/>
      <c r="F97" s="264"/>
      <c r="G97" s="182">
        <f>ROUND(SUM(G94:G96),2)</f>
        <v>2661.55</v>
      </c>
    </row>
    <row r="98" spans="1:7">
      <c r="A98" s="170"/>
      <c r="B98" s="170"/>
      <c r="C98" s="170"/>
      <c r="D98" s="170"/>
      <c r="E98" s="170"/>
      <c r="F98" s="170"/>
      <c r="G98" s="170"/>
    </row>
    <row r="99" spans="1:7">
      <c r="A99" s="265" t="s">
        <v>106</v>
      </c>
      <c r="B99" s="265"/>
      <c r="C99" s="265"/>
      <c r="D99" s="265"/>
      <c r="E99" s="265"/>
      <c r="F99" s="265"/>
      <c r="G99" s="265"/>
    </row>
    <row r="100" spans="1:7" ht="15" customHeight="1">
      <c r="A100" s="175">
        <v>3</v>
      </c>
      <c r="B100" s="266" t="s">
        <v>107</v>
      </c>
      <c r="C100" s="266"/>
      <c r="D100" s="266"/>
      <c r="E100" s="266"/>
      <c r="F100" s="175" t="s">
        <v>60</v>
      </c>
      <c r="G100" s="175" t="s">
        <v>52</v>
      </c>
    </row>
    <row r="101" spans="1:7">
      <c r="A101" s="171" t="s">
        <v>18</v>
      </c>
      <c r="B101" s="276" t="s">
        <v>108</v>
      </c>
      <c r="C101" s="276"/>
      <c r="D101" s="276"/>
      <c r="E101" s="276"/>
      <c r="F101" s="183">
        <f>(1/12)*5.55%</f>
        <v>4.6249999999999998E-3</v>
      </c>
      <c r="G101" s="184">
        <f>ROUND($G$50*F101,2)</f>
        <v>13.35</v>
      </c>
    </row>
    <row r="102" spans="1:7">
      <c r="A102" s="171" t="s">
        <v>20</v>
      </c>
      <c r="B102" s="278" t="s">
        <v>109</v>
      </c>
      <c r="C102" s="278"/>
      <c r="D102" s="278"/>
      <c r="E102" s="278"/>
      <c r="F102" s="196">
        <f>$F$68</f>
        <v>0.08</v>
      </c>
      <c r="G102" s="184">
        <f>G101*F102</f>
        <v>1.0680000000000001</v>
      </c>
    </row>
    <row r="103" spans="1:7">
      <c r="A103" s="171" t="s">
        <v>23</v>
      </c>
      <c r="B103" s="277" t="s">
        <v>110</v>
      </c>
      <c r="C103" s="277"/>
      <c r="D103" s="277"/>
      <c r="E103" s="277"/>
      <c r="F103" s="183">
        <f>(7/30)/12</f>
        <v>1.9444444444444445E-2</v>
      </c>
      <c r="G103" s="184">
        <f>ROUND($G$50*F103,2)</f>
        <v>56.15</v>
      </c>
    </row>
    <row r="104" spans="1:7">
      <c r="A104" s="171" t="s">
        <v>26</v>
      </c>
      <c r="B104" s="278" t="s">
        <v>111</v>
      </c>
      <c r="C104" s="278"/>
      <c r="D104" s="278"/>
      <c r="E104" s="278"/>
      <c r="F104" s="196">
        <f>$F$73</f>
        <v>0.35620000000000002</v>
      </c>
      <c r="G104" s="184">
        <f>G103*F104</f>
        <v>20.000630000000001</v>
      </c>
    </row>
    <row r="105" spans="1:7">
      <c r="A105" s="171" t="s">
        <v>28</v>
      </c>
      <c r="B105" s="277" t="s">
        <v>112</v>
      </c>
      <c r="C105" s="277"/>
      <c r="D105" s="277"/>
      <c r="E105" s="277"/>
      <c r="F105" s="197">
        <v>0.04</v>
      </c>
      <c r="G105" s="184">
        <f>ROUND($G$50*F105,2)</f>
        <v>115.5</v>
      </c>
    </row>
    <row r="106" spans="1:7">
      <c r="A106" s="264" t="s">
        <v>113</v>
      </c>
      <c r="B106" s="264"/>
      <c r="C106" s="264"/>
      <c r="D106" s="264"/>
      <c r="E106" s="264"/>
      <c r="F106" s="264"/>
      <c r="G106" s="182">
        <f>ROUND(SUM(G101:G105),2)</f>
        <v>206.07</v>
      </c>
    </row>
    <row r="107" spans="1:7">
      <c r="A107" s="170"/>
      <c r="B107" s="170"/>
      <c r="C107" s="170"/>
      <c r="D107" s="170"/>
      <c r="E107" s="170"/>
      <c r="F107" s="170"/>
      <c r="G107" s="170"/>
    </row>
    <row r="108" spans="1:7">
      <c r="A108" s="265" t="s">
        <v>114</v>
      </c>
      <c r="B108" s="265"/>
      <c r="C108" s="265"/>
      <c r="D108" s="265"/>
      <c r="E108" s="265"/>
      <c r="F108" s="265"/>
      <c r="G108" s="265"/>
    </row>
    <row r="109" spans="1:7" ht="15" customHeight="1">
      <c r="A109" s="281" t="s">
        <v>115</v>
      </c>
      <c r="B109" s="281"/>
      <c r="C109" s="281"/>
      <c r="D109" s="281"/>
      <c r="E109" s="281"/>
      <c r="F109" s="281"/>
      <c r="G109" s="281"/>
    </row>
    <row r="110" spans="1:7" ht="15" customHeight="1">
      <c r="A110" s="175" t="s">
        <v>116</v>
      </c>
      <c r="B110" s="266" t="s">
        <v>117</v>
      </c>
      <c r="C110" s="266"/>
      <c r="D110" s="266"/>
      <c r="E110" s="266"/>
      <c r="F110" s="175" t="s">
        <v>60</v>
      </c>
      <c r="G110" s="175" t="s">
        <v>52</v>
      </c>
    </row>
    <row r="111" spans="1:7">
      <c r="A111" s="171" t="s">
        <v>18</v>
      </c>
      <c r="B111" s="278" t="s">
        <v>118</v>
      </c>
      <c r="C111" s="278"/>
      <c r="D111" s="278"/>
      <c r="E111" s="278"/>
      <c r="F111" s="183">
        <v>9.2999999999999992E-3</v>
      </c>
      <c r="G111" s="184">
        <f>ROUND($G$50*F111,2)</f>
        <v>26.85</v>
      </c>
    </row>
    <row r="112" spans="1:7" ht="15" customHeight="1">
      <c r="A112" s="171" t="s">
        <v>12</v>
      </c>
      <c r="B112" s="280" t="s">
        <v>119</v>
      </c>
      <c r="C112" s="280"/>
      <c r="D112" s="280"/>
      <c r="E112" s="280"/>
      <c r="F112" s="198">
        <f>$F$73</f>
        <v>0.35620000000000002</v>
      </c>
      <c r="G112" s="184">
        <f>ROUND(G111*F112,2)</f>
        <v>9.56</v>
      </c>
    </row>
    <row r="113" spans="1:7">
      <c r="A113" s="171" t="s">
        <v>20</v>
      </c>
      <c r="B113" s="277" t="s">
        <v>120</v>
      </c>
      <c r="C113" s="277"/>
      <c r="D113" s="277"/>
      <c r="E113" s="277"/>
      <c r="F113" s="199">
        <v>7.3000000000000001E-3</v>
      </c>
      <c r="G113" s="184">
        <f>ROUND($G$50*F113,2)</f>
        <v>21.08</v>
      </c>
    </row>
    <row r="114" spans="1:7">
      <c r="A114" s="171" t="s">
        <v>23</v>
      </c>
      <c r="B114" s="276" t="s">
        <v>121</v>
      </c>
      <c r="C114" s="276"/>
      <c r="D114" s="276"/>
      <c r="E114" s="276"/>
      <c r="F114" s="199">
        <v>8.1999999999999998E-4</v>
      </c>
      <c r="G114" s="184">
        <f>ROUND($G$50*F114,2)</f>
        <v>2.37</v>
      </c>
    </row>
    <row r="115" spans="1:7">
      <c r="A115" s="171" t="s">
        <v>26</v>
      </c>
      <c r="B115" s="277" t="s">
        <v>122</v>
      </c>
      <c r="C115" s="277"/>
      <c r="D115" s="277"/>
      <c r="E115" s="277"/>
      <c r="F115" s="199">
        <v>2.7000000000000001E-3</v>
      </c>
      <c r="G115" s="184">
        <f>ROUND($G$50*F115,2)</f>
        <v>7.8</v>
      </c>
    </row>
    <row r="116" spans="1:7">
      <c r="A116" s="171" t="s">
        <v>28</v>
      </c>
      <c r="B116" s="276" t="s">
        <v>123</v>
      </c>
      <c r="C116" s="276"/>
      <c r="D116" s="276"/>
      <c r="E116" s="276"/>
      <c r="F116" s="199">
        <v>5.5000000000000003E-4</v>
      </c>
      <c r="G116" s="184">
        <f>ROUND($G$50*F116,2)</f>
        <v>1.59</v>
      </c>
    </row>
    <row r="117" spans="1:7" ht="15" customHeight="1">
      <c r="A117" s="171" t="s">
        <v>80</v>
      </c>
      <c r="B117" s="280" t="s">
        <v>124</v>
      </c>
      <c r="C117" s="280"/>
      <c r="D117" s="280"/>
      <c r="E117" s="280"/>
      <c r="F117" s="199">
        <v>0</v>
      </c>
      <c r="G117" s="184">
        <f>ROUND($G$50*F117,2)</f>
        <v>0</v>
      </c>
    </row>
    <row r="118" spans="1:7">
      <c r="A118" s="264" t="s">
        <v>125</v>
      </c>
      <c r="B118" s="264"/>
      <c r="C118" s="264"/>
      <c r="D118" s="264"/>
      <c r="E118" s="264"/>
      <c r="F118" s="264"/>
      <c r="G118" s="182">
        <f>ROUND(SUM(G111:G117),2)</f>
        <v>69.25</v>
      </c>
    </row>
    <row r="119" spans="1:7" ht="45" customHeight="1">
      <c r="A119" s="268" t="s">
        <v>126</v>
      </c>
      <c r="B119" s="268"/>
      <c r="C119" s="268"/>
      <c r="D119" s="268"/>
      <c r="E119" s="268"/>
      <c r="F119" s="268"/>
      <c r="G119" s="268"/>
    </row>
    <row r="120" spans="1:7">
      <c r="A120" s="170"/>
      <c r="B120" s="170"/>
      <c r="C120" s="170"/>
      <c r="D120" s="170"/>
      <c r="E120" s="170"/>
      <c r="F120" s="170"/>
      <c r="G120" s="170"/>
    </row>
    <row r="121" spans="1:7" ht="15.75" customHeight="1">
      <c r="A121" s="281" t="s">
        <v>127</v>
      </c>
      <c r="B121" s="281"/>
      <c r="C121" s="281"/>
      <c r="D121" s="281"/>
      <c r="E121" s="281"/>
      <c r="F121" s="281"/>
      <c r="G121" s="281"/>
    </row>
    <row r="122" spans="1:7" ht="15" customHeight="1">
      <c r="A122" s="175" t="s">
        <v>128</v>
      </c>
      <c r="B122" s="266" t="s">
        <v>129</v>
      </c>
      <c r="C122" s="266"/>
      <c r="D122" s="266"/>
      <c r="E122" s="266"/>
      <c r="F122" s="175" t="s">
        <v>130</v>
      </c>
      <c r="G122" s="175" t="s">
        <v>52</v>
      </c>
    </row>
    <row r="123" spans="1:7">
      <c r="A123" s="171" t="s">
        <v>18</v>
      </c>
      <c r="B123" s="278" t="s">
        <v>131</v>
      </c>
      <c r="C123" s="278"/>
      <c r="D123" s="278"/>
      <c r="E123" s="278"/>
      <c r="F123" s="200">
        <v>0</v>
      </c>
      <c r="G123" s="184">
        <f>ROUND(F123*$E$39,2)</f>
        <v>0</v>
      </c>
    </row>
    <row r="124" spans="1:7">
      <c r="A124" s="264" t="s">
        <v>132</v>
      </c>
      <c r="B124" s="264"/>
      <c r="C124" s="264"/>
      <c r="D124" s="264"/>
      <c r="E124" s="264"/>
      <c r="F124" s="264"/>
      <c r="G124" s="182">
        <f>ROUND(SUM(G123),2)</f>
        <v>0</v>
      </c>
    </row>
    <row r="125" spans="1:7" ht="29.25" customHeight="1">
      <c r="A125" s="268" t="s">
        <v>133</v>
      </c>
      <c r="B125" s="268"/>
      <c r="C125" s="268"/>
      <c r="D125" s="268"/>
      <c r="E125" s="268"/>
      <c r="F125" s="268"/>
      <c r="G125" s="268"/>
    </row>
    <row r="126" spans="1:7">
      <c r="A126" s="170"/>
      <c r="B126" s="170"/>
      <c r="C126" s="170"/>
      <c r="D126" s="170"/>
      <c r="E126" s="170"/>
      <c r="F126" s="170"/>
      <c r="G126" s="170"/>
    </row>
    <row r="127" spans="1:7">
      <c r="A127" s="265" t="s">
        <v>134</v>
      </c>
      <c r="B127" s="265"/>
      <c r="C127" s="265"/>
      <c r="D127" s="265"/>
      <c r="E127" s="265"/>
      <c r="F127" s="265"/>
      <c r="G127" s="265"/>
    </row>
    <row r="128" spans="1:7" ht="15" customHeight="1">
      <c r="A128" s="175">
        <v>4</v>
      </c>
      <c r="B128" s="266" t="s">
        <v>104</v>
      </c>
      <c r="C128" s="266"/>
      <c r="D128" s="266"/>
      <c r="E128" s="266"/>
      <c r="F128" s="175" t="s">
        <v>60</v>
      </c>
      <c r="G128" s="175" t="s">
        <v>52</v>
      </c>
    </row>
    <row r="129" spans="1:7">
      <c r="A129" s="194" t="s">
        <v>116</v>
      </c>
      <c r="B129" s="279" t="s">
        <v>135</v>
      </c>
      <c r="C129" s="279"/>
      <c r="D129" s="279"/>
      <c r="E129" s="279"/>
      <c r="F129" s="201" t="s">
        <v>12</v>
      </c>
      <c r="G129" s="195">
        <f>$G$118</f>
        <v>69.25</v>
      </c>
    </row>
    <row r="130" spans="1:7">
      <c r="A130" s="194" t="s">
        <v>128</v>
      </c>
      <c r="B130" s="279" t="s">
        <v>136</v>
      </c>
      <c r="C130" s="279"/>
      <c r="D130" s="279"/>
      <c r="E130" s="279"/>
      <c r="F130" s="201" t="s">
        <v>12</v>
      </c>
      <c r="G130" s="195">
        <f>$G$124</f>
        <v>0</v>
      </c>
    </row>
    <row r="131" spans="1:7">
      <c r="A131" s="264" t="s">
        <v>137</v>
      </c>
      <c r="B131" s="264"/>
      <c r="C131" s="264"/>
      <c r="D131" s="264"/>
      <c r="E131" s="264"/>
      <c r="F131" s="264"/>
      <c r="G131" s="182">
        <f>ROUND(SUM(G129:G130),2)</f>
        <v>69.25</v>
      </c>
    </row>
    <row r="132" spans="1:7">
      <c r="A132" s="170"/>
      <c r="B132" s="170"/>
      <c r="C132" s="170"/>
      <c r="D132" s="170"/>
      <c r="E132" s="170"/>
      <c r="F132" s="170"/>
      <c r="G132" s="170"/>
    </row>
    <row r="133" spans="1:7">
      <c r="A133" s="265" t="s">
        <v>138</v>
      </c>
      <c r="B133" s="265"/>
      <c r="C133" s="265"/>
      <c r="D133" s="265"/>
      <c r="E133" s="265"/>
      <c r="F133" s="265"/>
      <c r="G133" s="265"/>
    </row>
    <row r="134" spans="1:7" ht="15" customHeight="1">
      <c r="A134" s="175">
        <v>5</v>
      </c>
      <c r="B134" s="266" t="s">
        <v>139</v>
      </c>
      <c r="C134" s="266"/>
      <c r="D134" s="266"/>
      <c r="E134" s="266"/>
      <c r="F134" s="266"/>
      <c r="G134" s="175" t="s">
        <v>52</v>
      </c>
    </row>
    <row r="135" spans="1:7">
      <c r="A135" s="171" t="s">
        <v>18</v>
      </c>
      <c r="B135" s="275" t="s">
        <v>140</v>
      </c>
      <c r="C135" s="275"/>
      <c r="D135" s="275"/>
      <c r="E135" s="275"/>
      <c r="F135" s="275"/>
      <c r="G135" s="181">
        <f>Insumos!G38</f>
        <v>47.833333333333336</v>
      </c>
    </row>
    <row r="136" spans="1:7">
      <c r="A136" s="171" t="s">
        <v>20</v>
      </c>
      <c r="B136" s="276" t="s">
        <v>141</v>
      </c>
      <c r="C136" s="276"/>
      <c r="D136" s="276"/>
      <c r="E136" s="276"/>
      <c r="F136" s="276"/>
      <c r="G136" s="181">
        <v>0</v>
      </c>
    </row>
    <row r="137" spans="1:7">
      <c r="A137" s="171" t="s">
        <v>28</v>
      </c>
      <c r="B137" s="277" t="s">
        <v>54</v>
      </c>
      <c r="C137" s="277"/>
      <c r="D137" s="277"/>
      <c r="E137" s="277"/>
      <c r="F137" s="277"/>
      <c r="G137" s="181">
        <v>0</v>
      </c>
    </row>
    <row r="138" spans="1:7">
      <c r="A138" s="264" t="s">
        <v>142</v>
      </c>
      <c r="B138" s="264"/>
      <c r="C138" s="264"/>
      <c r="D138" s="264"/>
      <c r="E138" s="264"/>
      <c r="F138" s="264"/>
      <c r="G138" s="182">
        <f>ROUND(SUM(G135:G137),2)</f>
        <v>47.83</v>
      </c>
    </row>
    <row r="139" spans="1:7" ht="15" customHeight="1">
      <c r="A139" s="268" t="s">
        <v>143</v>
      </c>
      <c r="B139" s="268"/>
      <c r="C139" s="268"/>
      <c r="D139" s="268"/>
      <c r="E139" s="268"/>
      <c r="F139" s="268"/>
      <c r="G139" s="268"/>
    </row>
    <row r="140" spans="1:7">
      <c r="A140" s="170"/>
      <c r="B140" s="170"/>
      <c r="C140" s="170"/>
      <c r="D140" s="170"/>
      <c r="E140" s="170"/>
      <c r="F140" s="170"/>
      <c r="G140" s="170"/>
    </row>
    <row r="141" spans="1:7">
      <c r="A141" s="265" t="s">
        <v>144</v>
      </c>
      <c r="B141" s="265"/>
      <c r="C141" s="265"/>
      <c r="D141" s="265"/>
      <c r="E141" s="265"/>
      <c r="F141" s="265"/>
      <c r="G141" s="265"/>
    </row>
    <row r="142" spans="1:7" ht="15" customHeight="1">
      <c r="A142" s="175">
        <v>6</v>
      </c>
      <c r="B142" s="266" t="s">
        <v>145</v>
      </c>
      <c r="C142" s="266"/>
      <c r="D142" s="266"/>
      <c r="E142" s="266"/>
      <c r="F142" s="266"/>
      <c r="G142" s="175" t="s">
        <v>52</v>
      </c>
    </row>
    <row r="143" spans="1:7">
      <c r="A143" s="202" t="s">
        <v>18</v>
      </c>
      <c r="B143" s="270" t="s">
        <v>146</v>
      </c>
      <c r="C143" s="270"/>
      <c r="D143" s="270"/>
      <c r="E143" s="270"/>
      <c r="F143" s="203">
        <f>'Cargo1-Leve22h'!F137</f>
        <v>6.0000000000000001E-3</v>
      </c>
      <c r="G143" s="204">
        <f>ROUND($G$161*F143,2)</f>
        <v>35.229999999999997</v>
      </c>
    </row>
    <row r="144" spans="1:7">
      <c r="A144" s="202" t="s">
        <v>20</v>
      </c>
      <c r="B144" s="270" t="s">
        <v>147</v>
      </c>
      <c r="C144" s="270"/>
      <c r="D144" s="270"/>
      <c r="E144" s="270"/>
      <c r="F144" s="203">
        <f>'Cargo1-Leve22h'!F138</f>
        <v>6.4999999999999997E-3</v>
      </c>
      <c r="G144" s="204">
        <f>ROUND(($G$161+$G$143)*F144,2)</f>
        <v>38.4</v>
      </c>
    </row>
    <row r="145" spans="1:7">
      <c r="A145" s="171" t="s">
        <v>148</v>
      </c>
      <c r="B145" s="271" t="str">
        <f>'Cargo1-Leve22h'!B139:E139</f>
        <v>Tributos Federais  (Ref. Acórdão TCU 1753/2008–P, PIS 0,24% e COFINS 1,08%)</v>
      </c>
      <c r="C145" s="271"/>
      <c r="D145" s="271"/>
      <c r="E145" s="271"/>
      <c r="F145" s="191">
        <f>'Cargo1-Leve22h'!F139</f>
        <v>1.32E-2</v>
      </c>
      <c r="G145" s="205">
        <f>ROUND($G$163*F145,2)</f>
        <v>83.78</v>
      </c>
    </row>
    <row r="146" spans="1:7">
      <c r="A146" s="171" t="s">
        <v>149</v>
      </c>
      <c r="B146" s="272" t="s">
        <v>150</v>
      </c>
      <c r="C146" s="272"/>
      <c r="D146" s="272"/>
      <c r="E146" s="272"/>
      <c r="F146" s="191">
        <f>'Cargo1-Leve22h'!F140</f>
        <v>0</v>
      </c>
      <c r="G146" s="205">
        <f>ROUND($G$163*F146,2)</f>
        <v>0</v>
      </c>
    </row>
    <row r="147" spans="1:7">
      <c r="A147" s="171" t="s">
        <v>151</v>
      </c>
      <c r="B147" s="271" t="s">
        <v>152</v>
      </c>
      <c r="C147" s="271"/>
      <c r="D147" s="271"/>
      <c r="E147" s="271"/>
      <c r="F147" s="191">
        <f>'Cargo1-Leve22h'!F141</f>
        <v>0.05</v>
      </c>
      <c r="G147" s="205">
        <f>ROUND($G$163*F147,2)</f>
        <v>317.35000000000002</v>
      </c>
    </row>
    <row r="148" spans="1:7">
      <c r="A148" s="171" t="s">
        <v>153</v>
      </c>
      <c r="B148" s="273" t="s">
        <v>154</v>
      </c>
      <c r="C148" s="273"/>
      <c r="D148" s="273"/>
      <c r="E148" s="273"/>
      <c r="F148" s="191">
        <f>'Cargo1-Leve22h'!F142</f>
        <v>0</v>
      </c>
      <c r="G148" s="205">
        <f>ROUND($G$163*F148,2)</f>
        <v>0</v>
      </c>
    </row>
    <row r="149" spans="1:7">
      <c r="A149" s="202" t="s">
        <v>23</v>
      </c>
      <c r="B149" s="274" t="s">
        <v>155</v>
      </c>
      <c r="C149" s="274"/>
      <c r="D149" s="274"/>
      <c r="E149" s="274"/>
      <c r="F149" s="206">
        <f>SUM(F145:F148)</f>
        <v>6.3200000000000006E-2</v>
      </c>
      <c r="G149" s="204">
        <f>ROUND(SUM(G145:G148),2)</f>
        <v>401.13</v>
      </c>
    </row>
    <row r="150" spans="1:7">
      <c r="A150" s="269" t="s">
        <v>156</v>
      </c>
      <c r="B150" s="269"/>
      <c r="C150" s="269"/>
      <c r="D150" s="269"/>
      <c r="E150" s="269"/>
      <c r="F150" s="187">
        <f>(1+F143)*(1+F144)/(1-F149)-1</f>
        <v>8.0848633646456003E-2</v>
      </c>
      <c r="G150" s="182">
        <f>ROUND(SUM(G143,G144,G149),2)</f>
        <v>474.76</v>
      </c>
    </row>
    <row r="151" spans="1:7" ht="15" customHeight="1">
      <c r="A151" s="268" t="s">
        <v>157</v>
      </c>
      <c r="B151" s="268"/>
      <c r="C151" s="268"/>
      <c r="D151" s="268"/>
      <c r="E151" s="268"/>
      <c r="F151" s="268"/>
      <c r="G151" s="268"/>
    </row>
    <row r="152" spans="1:7" ht="15" customHeight="1">
      <c r="A152" s="268" t="s">
        <v>158</v>
      </c>
      <c r="B152" s="268"/>
      <c r="C152" s="268"/>
      <c r="D152" s="268"/>
      <c r="E152" s="268"/>
      <c r="F152" s="268"/>
      <c r="G152" s="268"/>
    </row>
    <row r="153" spans="1:7">
      <c r="A153" s="170"/>
      <c r="B153" s="170"/>
      <c r="C153" s="170"/>
      <c r="D153" s="170"/>
      <c r="E153" s="170"/>
      <c r="F153" s="170"/>
      <c r="G153" s="170"/>
    </row>
    <row r="154" spans="1:7">
      <c r="A154" s="265" t="s">
        <v>159</v>
      </c>
      <c r="B154" s="265"/>
      <c r="C154" s="265"/>
      <c r="D154" s="265"/>
      <c r="E154" s="265"/>
      <c r="F154" s="265"/>
      <c r="G154" s="265"/>
    </row>
    <row r="155" spans="1:7" ht="15" customHeight="1">
      <c r="A155" s="175"/>
      <c r="B155" s="266" t="s">
        <v>160</v>
      </c>
      <c r="C155" s="266"/>
      <c r="D155" s="266"/>
      <c r="E155" s="266"/>
      <c r="F155" s="266"/>
      <c r="G155" s="175" t="s">
        <v>52</v>
      </c>
    </row>
    <row r="156" spans="1:7">
      <c r="A156" s="207" t="s">
        <v>18</v>
      </c>
      <c r="B156" s="263" t="s">
        <v>161</v>
      </c>
      <c r="C156" s="263"/>
      <c r="D156" s="263"/>
      <c r="E156" s="263"/>
      <c r="F156" s="263"/>
      <c r="G156" s="208">
        <f>$G$50</f>
        <v>2887.46</v>
      </c>
    </row>
    <row r="157" spans="1:7">
      <c r="A157" s="207" t="s">
        <v>20</v>
      </c>
      <c r="B157" s="263" t="s">
        <v>162</v>
      </c>
      <c r="C157" s="263"/>
      <c r="D157" s="263"/>
      <c r="E157" s="263"/>
      <c r="F157" s="263"/>
      <c r="G157" s="208">
        <f>$G$97</f>
        <v>2661.55</v>
      </c>
    </row>
    <row r="158" spans="1:7">
      <c r="A158" s="207" t="s">
        <v>23</v>
      </c>
      <c r="B158" s="263" t="s">
        <v>163</v>
      </c>
      <c r="C158" s="263"/>
      <c r="D158" s="263"/>
      <c r="E158" s="263"/>
      <c r="F158" s="263"/>
      <c r="G158" s="208">
        <f>$G$106</f>
        <v>206.07</v>
      </c>
    </row>
    <row r="159" spans="1:7">
      <c r="A159" s="207" t="s">
        <v>26</v>
      </c>
      <c r="B159" s="263" t="s">
        <v>164</v>
      </c>
      <c r="C159" s="263"/>
      <c r="D159" s="263"/>
      <c r="E159" s="263"/>
      <c r="F159" s="263"/>
      <c r="G159" s="208">
        <f>$G$131</f>
        <v>69.25</v>
      </c>
    </row>
    <row r="160" spans="1:7">
      <c r="A160" s="207" t="s">
        <v>28</v>
      </c>
      <c r="B160" s="263" t="s">
        <v>165</v>
      </c>
      <c r="C160" s="263"/>
      <c r="D160" s="263"/>
      <c r="E160" s="263"/>
      <c r="F160" s="263"/>
      <c r="G160" s="208">
        <f>$G$138</f>
        <v>47.83</v>
      </c>
    </row>
    <row r="161" spans="1:7">
      <c r="A161" s="269" t="s">
        <v>166</v>
      </c>
      <c r="B161" s="269"/>
      <c r="C161" s="269"/>
      <c r="D161" s="269"/>
      <c r="E161" s="269"/>
      <c r="F161" s="269"/>
      <c r="G161" s="195">
        <f>ROUND(SUM(G156:G160),2)</f>
        <v>5872.16</v>
      </c>
    </row>
    <row r="162" spans="1:7">
      <c r="A162" s="207" t="s">
        <v>80</v>
      </c>
      <c r="B162" s="263" t="s">
        <v>167</v>
      </c>
      <c r="C162" s="263"/>
      <c r="D162" s="263"/>
      <c r="E162" s="263"/>
      <c r="F162" s="263"/>
      <c r="G162" s="208">
        <f>G150</f>
        <v>474.76</v>
      </c>
    </row>
    <row r="163" spans="1:7">
      <c r="A163" s="264" t="s">
        <v>168</v>
      </c>
      <c r="B163" s="264"/>
      <c r="C163" s="264"/>
      <c r="D163" s="264"/>
      <c r="E163" s="264"/>
      <c r="F163" s="264"/>
      <c r="G163" s="182">
        <f>ROUND((G161+G143+G144)/(1-F149),2)</f>
        <v>6346.92</v>
      </c>
    </row>
    <row r="164" spans="1:7">
      <c r="A164" s="170"/>
      <c r="B164" s="170"/>
      <c r="C164" s="170"/>
      <c r="D164" s="170"/>
      <c r="E164" s="170"/>
      <c r="F164" s="170"/>
      <c r="G164" s="170"/>
    </row>
    <row r="165" spans="1:7">
      <c r="A165" s="265" t="s">
        <v>169</v>
      </c>
      <c r="B165" s="265"/>
      <c r="C165" s="265"/>
      <c r="D165" s="265"/>
      <c r="E165" s="265"/>
      <c r="F165" s="265"/>
      <c r="G165" s="265"/>
    </row>
    <row r="166" spans="1:7" ht="15" customHeight="1">
      <c r="A166" s="175"/>
      <c r="B166" s="266" t="s">
        <v>170</v>
      </c>
      <c r="C166" s="266"/>
      <c r="D166" s="266"/>
      <c r="E166" s="266"/>
      <c r="F166" s="266"/>
      <c r="G166" s="175" t="s">
        <v>52</v>
      </c>
    </row>
    <row r="167" spans="1:7">
      <c r="A167" s="207" t="s">
        <v>18</v>
      </c>
      <c r="B167" s="263" t="s">
        <v>171</v>
      </c>
      <c r="C167" s="263"/>
      <c r="D167" s="263"/>
      <c r="E167" s="263"/>
      <c r="F167" s="263"/>
      <c r="G167" s="182">
        <f>G163</f>
        <v>6346.92</v>
      </c>
    </row>
    <row r="168" spans="1:7">
      <c r="A168" s="207" t="s">
        <v>20</v>
      </c>
      <c r="B168" s="263" t="s">
        <v>172</v>
      </c>
      <c r="C168" s="263"/>
      <c r="D168" s="263"/>
      <c r="E168" s="263"/>
      <c r="F168" s="263"/>
      <c r="G168" s="182">
        <f>ROUND($G$167/$E$39,2)</f>
        <v>302.08999999999997</v>
      </c>
    </row>
    <row r="169" spans="1:7">
      <c r="A169" s="207" t="s">
        <v>23</v>
      </c>
      <c r="B169" s="263" t="s">
        <v>173</v>
      </c>
      <c r="C169" s="263"/>
      <c r="D169" s="263"/>
      <c r="E169" s="209">
        <f>$F$28</f>
        <v>1</v>
      </c>
      <c r="F169" s="210" t="s">
        <v>174</v>
      </c>
      <c r="G169" s="182">
        <f>ROUND($G$167*E169,2)</f>
        <v>6346.92</v>
      </c>
    </row>
    <row r="170" spans="1:7">
      <c r="A170" s="207" t="s">
        <v>26</v>
      </c>
      <c r="B170" s="267" t="s">
        <v>175</v>
      </c>
      <c r="C170" s="267"/>
      <c r="D170" s="267"/>
      <c r="E170" s="209">
        <f>F23</f>
        <v>12</v>
      </c>
      <c r="F170" s="210" t="s">
        <v>176</v>
      </c>
      <c r="G170" s="182">
        <f>ROUND(G169*E170,2)</f>
        <v>76163.039999999994</v>
      </c>
    </row>
    <row r="171" spans="1:7" ht="15" customHeight="1">
      <c r="A171" s="268" t="s">
        <v>177</v>
      </c>
      <c r="B171" s="268"/>
      <c r="C171" s="268"/>
      <c r="D171" s="268"/>
      <c r="E171" s="268"/>
      <c r="F171" s="268"/>
      <c r="G171" s="268"/>
    </row>
    <row r="172" spans="1:7" ht="77.400000000000006" customHeight="1">
      <c r="A172" s="170"/>
      <c r="B172" s="170"/>
      <c r="C172" s="170"/>
      <c r="D172" s="170"/>
      <c r="E172" s="170"/>
      <c r="F172" s="170"/>
      <c r="G172" s="170"/>
    </row>
    <row r="173" spans="1:7">
      <c r="A173" s="170"/>
      <c r="B173" s="170"/>
      <c r="C173" s="170"/>
      <c r="D173" s="170"/>
      <c r="E173" s="170"/>
      <c r="F173" s="170"/>
      <c r="G173" s="170"/>
    </row>
    <row r="174" spans="1:7">
      <c r="A174" s="169"/>
      <c r="B174" s="169"/>
      <c r="C174" s="211"/>
      <c r="D174" s="211"/>
      <c r="E174" s="211"/>
      <c r="F174" s="169"/>
      <c r="G174" s="169"/>
    </row>
    <row r="175" spans="1:7">
      <c r="A175" s="169"/>
      <c r="B175" s="169"/>
      <c r="C175" s="262" t="s">
        <v>337</v>
      </c>
      <c r="D175" s="262"/>
      <c r="E175" s="262"/>
      <c r="F175" s="169"/>
      <c r="G175" s="169"/>
    </row>
    <row r="176" spans="1:7">
      <c r="A176" s="169"/>
      <c r="B176" s="169"/>
      <c r="C176" s="262" t="s">
        <v>336</v>
      </c>
      <c r="D176" s="262"/>
      <c r="E176" s="262"/>
      <c r="F176" s="169"/>
      <c r="G176" s="169"/>
    </row>
    <row r="177" spans="1:7" hidden="1">
      <c r="A177" s="46"/>
      <c r="B177" s="46"/>
      <c r="C177" s="46"/>
      <c r="D177" s="46"/>
      <c r="E177" s="46"/>
      <c r="F177" s="46"/>
      <c r="G177" s="46"/>
    </row>
    <row r="178" spans="1:7" hidden="1">
      <c r="A178" s="46"/>
      <c r="B178" s="46"/>
      <c r="C178" s="46"/>
      <c r="D178" s="46"/>
      <c r="E178" s="46"/>
      <c r="F178" s="46"/>
      <c r="G178" s="46"/>
    </row>
    <row r="179" spans="1:7" hidden="1">
      <c r="A179" s="46"/>
      <c r="B179" s="46"/>
      <c r="C179" s="46"/>
      <c r="D179" s="46"/>
      <c r="E179" s="46"/>
      <c r="F179" s="46"/>
      <c r="G179" s="46"/>
    </row>
    <row r="180" spans="1:7" hidden="1">
      <c r="A180" s="46"/>
      <c r="B180" s="46"/>
      <c r="C180" s="46"/>
      <c r="D180" s="46"/>
      <c r="E180" s="46"/>
      <c r="F180" s="46"/>
      <c r="G180" s="46"/>
    </row>
    <row r="181" spans="1:7" hidden="1">
      <c r="A181" s="46"/>
      <c r="B181" s="46"/>
      <c r="C181" s="46"/>
      <c r="D181" s="46"/>
      <c r="E181" s="46"/>
      <c r="F181" s="46"/>
      <c r="G181" s="46"/>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8574"/>
  <sheetViews>
    <sheetView showGridLines="0" view="pageBreakPreview" topLeftCell="A2" zoomScaleNormal="100" zoomScaleSheetLayoutView="100" workbookViewId="0">
      <selection activeCell="E3" sqref="E3"/>
    </sheetView>
  </sheetViews>
  <sheetFormatPr defaultColWidth="14.44140625" defaultRowHeight="14.4" zeroHeight="1"/>
  <cols>
    <col min="1" max="1" width="80.77734375" style="137" customWidth="1"/>
    <col min="2" max="2" width="9.44140625" style="137" customWidth="1"/>
    <col min="3" max="3" width="9.33203125" style="137" customWidth="1"/>
    <col min="4" max="4" width="12.88671875" style="137" customWidth="1"/>
    <col min="5" max="5" width="12.5546875" style="137" customWidth="1"/>
    <col min="6" max="7" width="14.44140625" style="137"/>
    <col min="8" max="1024" width="14.44140625" style="1" hidden="1"/>
  </cols>
  <sheetData>
    <row r="1" spans="1:7" ht="36.6" customHeight="1">
      <c r="A1" s="309" t="s">
        <v>339</v>
      </c>
      <c r="B1" s="309"/>
      <c r="C1" s="309"/>
      <c r="D1" s="309"/>
      <c r="E1" s="309"/>
      <c r="F1" s="309"/>
      <c r="G1" s="143"/>
    </row>
    <row r="2" spans="1:7" ht="31.2">
      <c r="A2" s="144" t="s">
        <v>181</v>
      </c>
      <c r="B2" s="145" t="s">
        <v>182</v>
      </c>
      <c r="C2" s="145" t="s">
        <v>183</v>
      </c>
      <c r="D2" s="145" t="s">
        <v>184</v>
      </c>
      <c r="E2" s="145" t="s">
        <v>185</v>
      </c>
      <c r="F2" s="145" t="s">
        <v>186</v>
      </c>
      <c r="G2" s="144" t="s">
        <v>187</v>
      </c>
    </row>
    <row r="3" spans="1:7" ht="46.8">
      <c r="A3" s="138" t="s">
        <v>327</v>
      </c>
      <c r="B3" s="146" t="s">
        <v>182</v>
      </c>
      <c r="C3" s="139">
        <v>4</v>
      </c>
      <c r="D3" s="147" t="s">
        <v>340</v>
      </c>
      <c r="E3" s="148">
        <v>75.62</v>
      </c>
      <c r="F3" s="149">
        <f>C3*E3</f>
        <v>302.48</v>
      </c>
      <c r="G3" s="149">
        <f t="shared" ref="G3:G8" si="0">F3/12</f>
        <v>25.206666666666667</v>
      </c>
    </row>
    <row r="4" spans="1:7" ht="15.6">
      <c r="A4" s="138" t="s">
        <v>328</v>
      </c>
      <c r="B4" s="146" t="s">
        <v>182</v>
      </c>
      <c r="C4" s="139">
        <v>8</v>
      </c>
      <c r="D4" s="147" t="s">
        <v>340</v>
      </c>
      <c r="E4" s="148">
        <v>34.99</v>
      </c>
      <c r="F4" s="149">
        <f t="shared" ref="F4:F8" si="1">C4*E4</f>
        <v>279.92</v>
      </c>
      <c r="G4" s="149">
        <f t="shared" si="0"/>
        <v>23.326666666666668</v>
      </c>
    </row>
    <row r="5" spans="1:7" ht="15.6">
      <c r="A5" s="140" t="s">
        <v>329</v>
      </c>
      <c r="B5" s="146" t="s">
        <v>182</v>
      </c>
      <c r="C5" s="139">
        <v>4</v>
      </c>
      <c r="D5" s="147" t="s">
        <v>340</v>
      </c>
      <c r="E5" s="148">
        <v>17</v>
      </c>
      <c r="F5" s="149">
        <f t="shared" si="1"/>
        <v>68</v>
      </c>
      <c r="G5" s="149">
        <f t="shared" si="0"/>
        <v>5.666666666666667</v>
      </c>
    </row>
    <row r="6" spans="1:7" ht="15.6">
      <c r="A6" s="141" t="s">
        <v>330</v>
      </c>
      <c r="B6" s="146" t="s">
        <v>182</v>
      </c>
      <c r="C6" s="139">
        <v>2</v>
      </c>
      <c r="D6" s="147" t="s">
        <v>340</v>
      </c>
      <c r="E6" s="148">
        <v>15</v>
      </c>
      <c r="F6" s="149">
        <f t="shared" si="1"/>
        <v>30</v>
      </c>
      <c r="G6" s="149">
        <f t="shared" si="0"/>
        <v>2.5</v>
      </c>
    </row>
    <row r="7" spans="1:7" ht="15.6">
      <c r="A7" s="141" t="s">
        <v>331</v>
      </c>
      <c r="B7" s="146" t="s">
        <v>182</v>
      </c>
      <c r="C7" s="139">
        <v>2</v>
      </c>
      <c r="D7" s="147" t="s">
        <v>340</v>
      </c>
      <c r="E7" s="148">
        <v>39</v>
      </c>
      <c r="F7" s="149">
        <f t="shared" si="1"/>
        <v>78</v>
      </c>
      <c r="G7" s="149">
        <f t="shared" si="0"/>
        <v>6.5</v>
      </c>
    </row>
    <row r="8" spans="1:7" ht="15.6">
      <c r="A8" s="140" t="s">
        <v>332</v>
      </c>
      <c r="B8" s="146" t="s">
        <v>182</v>
      </c>
      <c r="C8" s="139">
        <v>8</v>
      </c>
      <c r="D8" s="147" t="s">
        <v>340</v>
      </c>
      <c r="E8" s="148">
        <v>3.91</v>
      </c>
      <c r="F8" s="149">
        <f t="shared" si="1"/>
        <v>31.28</v>
      </c>
      <c r="G8" s="149">
        <f t="shared" si="0"/>
        <v>2.6066666666666669</v>
      </c>
    </row>
    <row r="9" spans="1:7" ht="15.6">
      <c r="A9" s="150" t="s">
        <v>189</v>
      </c>
      <c r="B9" s="143"/>
      <c r="C9" s="143"/>
      <c r="D9" s="143"/>
      <c r="E9" s="143"/>
      <c r="F9" s="151" t="s">
        <v>190</v>
      </c>
      <c r="G9" s="152">
        <f>SUM(G3:G8)</f>
        <v>65.806666666666658</v>
      </c>
    </row>
    <row r="10" spans="1:7" ht="29.4" customHeight="1">
      <c r="A10" s="310" t="s">
        <v>341</v>
      </c>
      <c r="B10" s="310"/>
      <c r="C10" s="310"/>
      <c r="D10" s="310"/>
      <c r="E10" s="310"/>
      <c r="F10" s="310"/>
      <c r="G10" s="310"/>
    </row>
    <row r="11" spans="1:7" ht="31.2">
      <c r="A11" s="144" t="s">
        <v>181</v>
      </c>
      <c r="B11" s="145" t="s">
        <v>182</v>
      </c>
      <c r="C11" s="145" t="s">
        <v>183</v>
      </c>
      <c r="D11" s="145" t="s">
        <v>184</v>
      </c>
      <c r="E11" s="145" t="s">
        <v>185</v>
      </c>
      <c r="F11" s="145" t="s">
        <v>186</v>
      </c>
      <c r="G11" s="144" t="s">
        <v>187</v>
      </c>
    </row>
    <row r="12" spans="1:7" ht="46.8">
      <c r="A12" s="138" t="s">
        <v>343</v>
      </c>
      <c r="B12" s="146" t="s">
        <v>182</v>
      </c>
      <c r="C12" s="139">
        <v>4</v>
      </c>
      <c r="D12" s="147" t="s">
        <v>340</v>
      </c>
      <c r="E12" s="148">
        <v>75.62</v>
      </c>
      <c r="F12" s="149">
        <f>C12*E12</f>
        <v>302.48</v>
      </c>
      <c r="G12" s="149">
        <f t="shared" ref="G12:G17" si="2">F12/12</f>
        <v>25.206666666666667</v>
      </c>
    </row>
    <row r="13" spans="1:7" ht="15.6">
      <c r="A13" s="138" t="s">
        <v>328</v>
      </c>
      <c r="B13" s="146" t="s">
        <v>182</v>
      </c>
      <c r="C13" s="139">
        <v>8</v>
      </c>
      <c r="D13" s="147" t="s">
        <v>340</v>
      </c>
      <c r="E13" s="148">
        <v>34.99</v>
      </c>
      <c r="F13" s="149">
        <f t="shared" ref="F13:F17" si="3">C13*E13</f>
        <v>279.92</v>
      </c>
      <c r="G13" s="149">
        <f t="shared" si="2"/>
        <v>23.326666666666668</v>
      </c>
    </row>
    <row r="14" spans="1:7" ht="15.6">
      <c r="A14" s="140" t="s">
        <v>342</v>
      </c>
      <c r="B14" s="146" t="s">
        <v>182</v>
      </c>
      <c r="C14" s="139">
        <v>4</v>
      </c>
      <c r="D14" s="147" t="s">
        <v>340</v>
      </c>
      <c r="E14" s="148">
        <v>17</v>
      </c>
      <c r="F14" s="149">
        <f t="shared" si="3"/>
        <v>68</v>
      </c>
      <c r="G14" s="149">
        <f t="shared" si="2"/>
        <v>5.666666666666667</v>
      </c>
    </row>
    <row r="15" spans="1:7" ht="15.6">
      <c r="A15" s="141" t="s">
        <v>330</v>
      </c>
      <c r="B15" s="146" t="s">
        <v>182</v>
      </c>
      <c r="C15" s="139">
        <v>2</v>
      </c>
      <c r="D15" s="147" t="s">
        <v>340</v>
      </c>
      <c r="E15" s="148">
        <v>15</v>
      </c>
      <c r="F15" s="149">
        <f t="shared" si="3"/>
        <v>30</v>
      </c>
      <c r="G15" s="149">
        <f t="shared" si="2"/>
        <v>2.5</v>
      </c>
    </row>
    <row r="16" spans="1:7" s="134" customFormat="1" ht="15.6">
      <c r="A16" s="141" t="s">
        <v>331</v>
      </c>
      <c r="B16" s="146" t="s">
        <v>182</v>
      </c>
      <c r="C16" s="139">
        <v>2</v>
      </c>
      <c r="D16" s="147" t="s">
        <v>340</v>
      </c>
      <c r="E16" s="148">
        <v>39</v>
      </c>
      <c r="F16" s="149">
        <f t="shared" si="3"/>
        <v>78</v>
      </c>
      <c r="G16" s="149">
        <f t="shared" si="2"/>
        <v>6.5</v>
      </c>
    </row>
    <row r="17" spans="1:7" s="135" customFormat="1" ht="14.25" customHeight="1">
      <c r="A17" s="140" t="s">
        <v>332</v>
      </c>
      <c r="B17" s="146" t="s">
        <v>182</v>
      </c>
      <c r="C17" s="139">
        <v>8</v>
      </c>
      <c r="D17" s="147" t="s">
        <v>340</v>
      </c>
      <c r="E17" s="148">
        <v>3.91</v>
      </c>
      <c r="F17" s="149">
        <f t="shared" si="3"/>
        <v>31.28</v>
      </c>
      <c r="G17" s="149">
        <f t="shared" si="2"/>
        <v>2.6066666666666669</v>
      </c>
    </row>
    <row r="18" spans="1:7" s="133" customFormat="1" ht="30" customHeight="1">
      <c r="A18" s="150" t="s">
        <v>189</v>
      </c>
      <c r="B18" s="143"/>
      <c r="C18" s="143"/>
      <c r="D18" s="143"/>
      <c r="E18" s="143"/>
      <c r="F18" s="151" t="s">
        <v>190</v>
      </c>
      <c r="G18" s="152">
        <f>SUM(G12:G17)</f>
        <v>65.806666666666658</v>
      </c>
    </row>
    <row r="19" spans="1:7" s="133" customFormat="1" ht="30" customHeight="1">
      <c r="A19" s="311" t="s">
        <v>344</v>
      </c>
      <c r="B19" s="312"/>
      <c r="C19" s="312"/>
      <c r="D19" s="312"/>
      <c r="E19" s="312"/>
      <c r="F19" s="313"/>
      <c r="G19" s="163">
        <f>MEDIAN(G9,G18)</f>
        <v>65.806666666666658</v>
      </c>
    </row>
    <row r="20" spans="1:7" s="133" customFormat="1" ht="15.6" customHeight="1">
      <c r="A20" s="150"/>
      <c r="B20" s="143"/>
      <c r="C20" s="143"/>
      <c r="D20" s="143"/>
      <c r="E20" s="143"/>
      <c r="F20" s="151"/>
      <c r="G20" s="158"/>
    </row>
    <row r="21" spans="1:7" s="133" customFormat="1" ht="30" customHeight="1">
      <c r="A21" s="310" t="s">
        <v>345</v>
      </c>
      <c r="B21" s="310"/>
      <c r="C21" s="310"/>
      <c r="D21" s="310"/>
      <c r="E21" s="310"/>
      <c r="F21" s="310"/>
      <c r="G21" s="310"/>
    </row>
    <row r="22" spans="1:7" s="136" customFormat="1" ht="28.5" customHeight="1">
      <c r="A22" s="144" t="s">
        <v>181</v>
      </c>
      <c r="B22" s="145" t="s">
        <v>182</v>
      </c>
      <c r="C22" s="145" t="s">
        <v>183</v>
      </c>
      <c r="D22" s="145" t="s">
        <v>184</v>
      </c>
      <c r="E22" s="145" t="s">
        <v>185</v>
      </c>
      <c r="F22" s="145" t="s">
        <v>186</v>
      </c>
      <c r="G22" s="144" t="s">
        <v>187</v>
      </c>
    </row>
    <row r="23" spans="1:7" ht="31.2">
      <c r="A23" s="138" t="s">
        <v>346</v>
      </c>
      <c r="B23" s="146" t="s">
        <v>182</v>
      </c>
      <c r="C23" s="139">
        <v>4</v>
      </c>
      <c r="D23" s="147" t="s">
        <v>340</v>
      </c>
      <c r="E23" s="148">
        <v>42</v>
      </c>
      <c r="F23" s="149">
        <f>C23*E23</f>
        <v>168</v>
      </c>
      <c r="G23" s="149">
        <f t="shared" ref="G23:G27" si="4">F23/12</f>
        <v>14</v>
      </c>
    </row>
    <row r="24" spans="1:7" ht="15" customHeight="1">
      <c r="A24" s="138" t="s">
        <v>328</v>
      </c>
      <c r="B24" s="154" t="s">
        <v>182</v>
      </c>
      <c r="C24" s="142">
        <v>8</v>
      </c>
      <c r="D24" s="155" t="s">
        <v>340</v>
      </c>
      <c r="E24" s="156">
        <v>34</v>
      </c>
      <c r="F24" s="149">
        <f t="shared" ref="F24:F27" si="5">C24*E24</f>
        <v>272</v>
      </c>
      <c r="G24" s="157">
        <f t="shared" si="4"/>
        <v>22.666666666666668</v>
      </c>
    </row>
    <row r="25" spans="1:7" ht="15" customHeight="1">
      <c r="A25" s="141" t="s">
        <v>330</v>
      </c>
      <c r="B25" s="154" t="s">
        <v>182</v>
      </c>
      <c r="C25" s="142">
        <v>2</v>
      </c>
      <c r="D25" s="155" t="s">
        <v>340</v>
      </c>
      <c r="E25" s="156">
        <v>15</v>
      </c>
      <c r="F25" s="149">
        <f t="shared" si="5"/>
        <v>30</v>
      </c>
      <c r="G25" s="157">
        <f t="shared" si="4"/>
        <v>2.5</v>
      </c>
    </row>
    <row r="26" spans="1:7" ht="15" customHeight="1">
      <c r="A26" s="141" t="s">
        <v>331</v>
      </c>
      <c r="B26" s="154" t="s">
        <v>182</v>
      </c>
      <c r="C26" s="142">
        <v>2</v>
      </c>
      <c r="D26" s="155" t="s">
        <v>340</v>
      </c>
      <c r="E26" s="156">
        <v>37</v>
      </c>
      <c r="F26" s="149">
        <f t="shared" si="5"/>
        <v>74</v>
      </c>
      <c r="G26" s="157">
        <f t="shared" si="4"/>
        <v>6.166666666666667</v>
      </c>
    </row>
    <row r="27" spans="1:7" ht="15" customHeight="1">
      <c r="A27" s="141" t="s">
        <v>347</v>
      </c>
      <c r="B27" s="154" t="s">
        <v>182</v>
      </c>
      <c r="C27" s="142">
        <v>10</v>
      </c>
      <c r="D27" s="155" t="s">
        <v>340</v>
      </c>
      <c r="E27" s="156">
        <v>3</v>
      </c>
      <c r="F27" s="149">
        <f t="shared" si="5"/>
        <v>30</v>
      </c>
      <c r="G27" s="157">
        <f t="shared" si="4"/>
        <v>2.5</v>
      </c>
    </row>
    <row r="28" spans="1:7" ht="15" customHeight="1">
      <c r="A28" s="150" t="s">
        <v>189</v>
      </c>
      <c r="B28" s="143"/>
      <c r="C28" s="143"/>
      <c r="D28" s="143"/>
      <c r="E28" s="143"/>
      <c r="F28" s="151" t="s">
        <v>190</v>
      </c>
      <c r="G28" s="152">
        <f>SUM(G23:G27)</f>
        <v>47.833333333333336</v>
      </c>
    </row>
    <row r="29" spans="1:7" ht="15" customHeight="1">
      <c r="A29" s="150"/>
      <c r="B29" s="143"/>
      <c r="C29" s="143"/>
      <c r="D29" s="143"/>
      <c r="E29" s="143"/>
      <c r="F29" s="151"/>
      <c r="G29" s="158"/>
    </row>
    <row r="30" spans="1:7" ht="15.6">
      <c r="A30" s="310" t="s">
        <v>348</v>
      </c>
      <c r="B30" s="310"/>
      <c r="C30" s="310"/>
      <c r="D30" s="310"/>
      <c r="E30" s="310"/>
      <c r="F30" s="310"/>
      <c r="G30" s="310"/>
    </row>
    <row r="31" spans="1:7" ht="31.2">
      <c r="A31" s="144" t="s">
        <v>181</v>
      </c>
      <c r="B31" s="145" t="s">
        <v>182</v>
      </c>
      <c r="C31" s="145" t="s">
        <v>183</v>
      </c>
      <c r="D31" s="145" t="s">
        <v>184</v>
      </c>
      <c r="E31" s="145" t="s">
        <v>185</v>
      </c>
      <c r="F31" s="145" t="s">
        <v>186</v>
      </c>
      <c r="G31" s="144" t="s">
        <v>187</v>
      </c>
    </row>
    <row r="32" spans="1:7" ht="15.6">
      <c r="A32" s="138" t="s">
        <v>350</v>
      </c>
      <c r="B32" s="154" t="s">
        <v>182</v>
      </c>
      <c r="C32" s="142">
        <v>4</v>
      </c>
      <c r="D32" s="155" t="s">
        <v>188</v>
      </c>
      <c r="E32" s="156">
        <v>42</v>
      </c>
      <c r="F32" s="149">
        <f t="shared" ref="F32:F36" si="6">C32*E32</f>
        <v>168</v>
      </c>
      <c r="G32" s="157">
        <f t="shared" ref="G32:G36" si="7">F32/12</f>
        <v>14</v>
      </c>
    </row>
    <row r="33" spans="1:7" ht="15.6">
      <c r="A33" s="138" t="s">
        <v>328</v>
      </c>
      <c r="B33" s="154" t="s">
        <v>182</v>
      </c>
      <c r="C33" s="142">
        <v>8</v>
      </c>
      <c r="D33" s="155" t="s">
        <v>188</v>
      </c>
      <c r="E33" s="156">
        <v>34</v>
      </c>
      <c r="F33" s="149">
        <f t="shared" si="6"/>
        <v>272</v>
      </c>
      <c r="G33" s="157">
        <f t="shared" si="7"/>
        <v>22.666666666666668</v>
      </c>
    </row>
    <row r="34" spans="1:7" ht="15.6">
      <c r="A34" s="141" t="s">
        <v>330</v>
      </c>
      <c r="B34" s="154" t="s">
        <v>182</v>
      </c>
      <c r="C34" s="142">
        <v>2</v>
      </c>
      <c r="D34" s="155" t="s">
        <v>188</v>
      </c>
      <c r="E34" s="156">
        <v>15</v>
      </c>
      <c r="F34" s="149">
        <f t="shared" si="6"/>
        <v>30</v>
      </c>
      <c r="G34" s="157">
        <f t="shared" si="7"/>
        <v>2.5</v>
      </c>
    </row>
    <row r="35" spans="1:7" ht="15.6">
      <c r="A35" s="141" t="s">
        <v>331</v>
      </c>
      <c r="B35" s="154" t="s">
        <v>182</v>
      </c>
      <c r="C35" s="142">
        <v>2</v>
      </c>
      <c r="D35" s="155" t="s">
        <v>188</v>
      </c>
      <c r="E35" s="156">
        <v>37</v>
      </c>
      <c r="F35" s="149">
        <f t="shared" si="6"/>
        <v>74</v>
      </c>
      <c r="G35" s="157">
        <f t="shared" si="7"/>
        <v>6.166666666666667</v>
      </c>
    </row>
    <row r="36" spans="1:7" ht="15.6">
      <c r="A36" s="141" t="s">
        <v>347</v>
      </c>
      <c r="B36" s="154" t="s">
        <v>182</v>
      </c>
      <c r="C36" s="142">
        <v>10</v>
      </c>
      <c r="D36" s="155" t="s">
        <v>188</v>
      </c>
      <c r="E36" s="156">
        <v>3</v>
      </c>
      <c r="F36" s="149">
        <f t="shared" si="6"/>
        <v>30</v>
      </c>
      <c r="G36" s="157">
        <f t="shared" si="7"/>
        <v>2.5</v>
      </c>
    </row>
    <row r="37" spans="1:7" ht="15.6">
      <c r="A37" s="150" t="s">
        <v>189</v>
      </c>
      <c r="B37" s="143"/>
      <c r="C37" s="143"/>
      <c r="D37" s="143"/>
      <c r="E37" s="143"/>
      <c r="F37" s="151" t="s">
        <v>190</v>
      </c>
      <c r="G37" s="152">
        <f>SUM(G32:G36)</f>
        <v>47.833333333333336</v>
      </c>
    </row>
    <row r="38" spans="1:7" ht="31.2" customHeight="1">
      <c r="A38" s="311" t="s">
        <v>349</v>
      </c>
      <c r="B38" s="312"/>
      <c r="C38" s="312"/>
      <c r="D38" s="312"/>
      <c r="E38" s="312"/>
      <c r="F38" s="312"/>
      <c r="G38" s="168">
        <f>MEDIAN(G28,G37)</f>
        <v>47.833333333333336</v>
      </c>
    </row>
    <row r="39" spans="1:7" ht="30" customHeight="1">
      <c r="A39" s="159" t="s">
        <v>191</v>
      </c>
      <c r="B39" s="153"/>
      <c r="C39" s="153"/>
      <c r="D39" s="153"/>
      <c r="E39" s="153"/>
      <c r="F39" s="153"/>
      <c r="G39" s="153"/>
    </row>
    <row r="40" spans="1:7" ht="19.8" customHeight="1">
      <c r="A40" s="307" t="s">
        <v>192</v>
      </c>
      <c r="B40" s="307"/>
      <c r="C40" s="307"/>
      <c r="D40" s="307"/>
      <c r="E40" s="307"/>
      <c r="F40" s="307"/>
      <c r="G40" s="307"/>
    </row>
    <row r="41" spans="1:7" ht="26.4" customHeight="1">
      <c r="A41" s="164" t="s">
        <v>193</v>
      </c>
      <c r="B41" s="160"/>
      <c r="C41" s="160"/>
      <c r="D41" s="160"/>
      <c r="E41" s="160"/>
      <c r="F41" s="160"/>
      <c r="G41" s="160"/>
    </row>
    <row r="42" spans="1:7" ht="19.8" customHeight="1">
      <c r="A42" s="308" t="s">
        <v>194</v>
      </c>
      <c r="B42" s="308"/>
      <c r="C42" s="308"/>
      <c r="D42" s="308"/>
      <c r="E42" s="308"/>
      <c r="F42" s="308"/>
      <c r="G42" s="308"/>
    </row>
    <row r="43" spans="1:7" ht="27" customHeight="1">
      <c r="A43" s="307" t="s">
        <v>195</v>
      </c>
      <c r="B43" s="307"/>
      <c r="C43" s="307"/>
      <c r="D43" s="307"/>
      <c r="E43" s="307"/>
      <c r="F43" s="307"/>
      <c r="G43" s="307"/>
    </row>
    <row r="44" spans="1:7" ht="15.6">
      <c r="A44" s="161"/>
      <c r="B44" s="153"/>
      <c r="C44" s="153"/>
      <c r="D44" s="153"/>
      <c r="E44" s="153"/>
      <c r="F44" s="153"/>
      <c r="G44" s="153"/>
    </row>
    <row r="45" spans="1:7" ht="15.6">
      <c r="A45" s="162"/>
      <c r="B45" s="162"/>
      <c r="C45" s="162"/>
      <c r="D45" s="162"/>
      <c r="E45" s="162"/>
      <c r="F45" s="162"/>
      <c r="G45" s="162"/>
    </row>
    <row r="46" spans="1:7" hidden="1"/>
    <row r="47" spans="1:7" hidden="1"/>
    <row r="48" spans="1:7" hidden="1"/>
    <row r="49" hidden="1"/>
    <row r="50" hidden="1"/>
    <row r="51" hidden="1"/>
    <row r="52" hidden="1"/>
    <row r="53" hidden="1"/>
    <row r="62"/>
    <row r="63"/>
    <row r="64"/>
    <row r="78"/>
    <row r="79"/>
    <row r="95"/>
    <row r="1048542"/>
    <row r="1048558"/>
    <row r="1048574"/>
  </sheetData>
  <sheetProtection formatCells="0" formatColumns="0" formatRows="0" insertRows="0"/>
  <mergeCells count="9">
    <mergeCell ref="A43:G43"/>
    <mergeCell ref="A42:G42"/>
    <mergeCell ref="A40:G40"/>
    <mergeCell ref="A1:F1"/>
    <mergeCell ref="A10:G10"/>
    <mergeCell ref="A19:F19"/>
    <mergeCell ref="A21:G21"/>
    <mergeCell ref="A30:G30"/>
    <mergeCell ref="A38:F38"/>
  </mergeCells>
  <dataValidations count="1">
    <dataValidation type="list" allowBlank="1" sqref="D3:D8 D12:D17 D23:D27 D32:D36">
      <formula1>"Semestral,Anual"</formula1>
      <formula2>0</formula2>
    </dataValidation>
  </dataValidations>
  <printOptions horizontalCentered="1" verticalCentered="1" gridLines="1"/>
  <pageMargins left="0.23622047244094491" right="0.23622047244094491" top="1.5354330708661419" bottom="0.74803149606299213" header="0.51181102362204722" footer="0.51181102362204722"/>
  <pageSetup paperSize="9" scale="90" firstPageNumber="0" fitToHeight="0" pageOrder="overThenDown" orientation="landscape" horizontalDpi="300" verticalDpi="300" r:id="rId1"/>
  <headerFooter>
    <oddHeader>&amp;R&amp;G</oddHeader>
  </headerFooter>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9"/>
  <sheetViews>
    <sheetView showGridLines="0" view="pageBreakPreview" topLeftCell="B22" zoomScaleNormal="100" zoomScaleSheetLayoutView="100" workbookViewId="0">
      <selection activeCell="F33" sqref="F33"/>
    </sheetView>
  </sheetViews>
  <sheetFormatPr defaultColWidth="14.44140625" defaultRowHeight="14.4" zeroHeight="1"/>
  <cols>
    <col min="1" max="1" width="8.6640625" style="47" customWidth="1"/>
    <col min="2" max="5" width="18" style="47" customWidth="1"/>
    <col min="6" max="8" width="14.44140625" style="47"/>
    <col min="9" max="11" width="14.44140625" style="1"/>
    <col min="12" max="1024" width="14.44140625" style="1" hidden="1"/>
  </cols>
  <sheetData>
    <row r="1" spans="1:8" ht="57.75" customHeight="1">
      <c r="A1" s="257" t="s">
        <v>11</v>
      </c>
      <c r="B1" s="257"/>
      <c r="C1" s="257"/>
      <c r="D1" s="257"/>
      <c r="E1" s="257"/>
      <c r="F1" s="257"/>
      <c r="G1" s="257"/>
      <c r="H1" s="50"/>
    </row>
    <row r="2" spans="1:8" ht="14.4" customHeight="1">
      <c r="A2" s="258"/>
      <c r="B2" s="258"/>
      <c r="C2" s="258"/>
      <c r="D2" s="258"/>
      <c r="E2" s="258"/>
      <c r="F2" s="258"/>
      <c r="G2" s="258"/>
      <c r="H2" s="50"/>
    </row>
    <row r="3" spans="1:8">
      <c r="A3" s="259" t="s">
        <v>314</v>
      </c>
      <c r="B3" s="259"/>
      <c r="C3" s="259"/>
      <c r="D3" s="259"/>
      <c r="E3" s="259"/>
      <c r="F3" s="259"/>
      <c r="G3" s="259"/>
      <c r="H3" s="51"/>
    </row>
    <row r="4" spans="1:8">
      <c r="A4" s="259" t="s">
        <v>321</v>
      </c>
      <c r="B4" s="259"/>
      <c r="C4" s="259"/>
      <c r="D4" s="259"/>
      <c r="E4" s="259"/>
      <c r="F4" s="259"/>
      <c r="G4" s="259"/>
      <c r="H4" s="51"/>
    </row>
    <row r="5" spans="1:8">
      <c r="A5" s="259" t="s">
        <v>322</v>
      </c>
      <c r="B5" s="259"/>
      <c r="C5" s="259"/>
      <c r="D5" s="259"/>
      <c r="E5" s="259"/>
      <c r="F5" s="259"/>
      <c r="G5" s="259"/>
      <c r="H5" s="51"/>
    </row>
    <row r="6" spans="1:8">
      <c r="A6" s="259" t="s">
        <v>323</v>
      </c>
      <c r="B6" s="259"/>
      <c r="C6" s="259"/>
      <c r="D6" s="259"/>
      <c r="E6" s="259"/>
      <c r="F6" s="259"/>
      <c r="G6" s="259"/>
      <c r="H6" s="51"/>
    </row>
    <row r="7" spans="1:8" ht="9.6" customHeight="1">
      <c r="A7" s="2"/>
      <c r="B7" s="2"/>
      <c r="C7" s="2"/>
      <c r="D7" s="2"/>
      <c r="E7" s="2"/>
      <c r="F7" s="2"/>
      <c r="G7" s="2"/>
      <c r="H7" s="3"/>
    </row>
    <row r="8" spans="1:8">
      <c r="A8" s="260" t="s">
        <v>334</v>
      </c>
      <c r="B8" s="260"/>
      <c r="C8" s="260"/>
      <c r="D8" s="260"/>
      <c r="E8" s="260"/>
      <c r="F8" s="260"/>
      <c r="G8" s="260"/>
      <c r="H8" s="52"/>
    </row>
    <row r="9" spans="1:8" ht="4.2" customHeight="1">
      <c r="A9" s="2"/>
      <c r="B9" s="2"/>
      <c r="C9" s="2"/>
      <c r="D9" s="2"/>
      <c r="E9" s="2"/>
      <c r="F9" s="2"/>
      <c r="G9" s="2"/>
      <c r="H9" s="3"/>
    </row>
    <row r="10" spans="1:8" ht="15" customHeight="1">
      <c r="A10" s="261" t="s">
        <v>0</v>
      </c>
      <c r="B10" s="261"/>
      <c r="C10" s="261"/>
      <c r="D10" s="261"/>
      <c r="E10" s="261"/>
      <c r="F10" s="261"/>
      <c r="G10" s="261"/>
      <c r="H10" s="3"/>
    </row>
    <row r="11" spans="1:8">
      <c r="A11" s="4" t="s">
        <v>12</v>
      </c>
      <c r="B11" s="5" t="s">
        <v>13</v>
      </c>
      <c r="C11" s="253" t="s">
        <v>14</v>
      </c>
      <c r="D11" s="253"/>
      <c r="E11" s="253"/>
      <c r="F11" s="253"/>
      <c r="G11" s="253"/>
      <c r="H11" s="3"/>
    </row>
    <row r="12" spans="1:8">
      <c r="A12" s="4" t="s">
        <v>12</v>
      </c>
      <c r="B12" s="5" t="s">
        <v>15</v>
      </c>
      <c r="C12" s="252" t="s">
        <v>324</v>
      </c>
      <c r="D12" s="252"/>
      <c r="E12" s="252"/>
      <c r="F12" s="252"/>
      <c r="G12" s="252"/>
      <c r="H12" s="3"/>
    </row>
    <row r="13" spans="1:8">
      <c r="A13" s="4" t="s">
        <v>12</v>
      </c>
      <c r="B13" s="5" t="s">
        <v>16</v>
      </c>
      <c r="C13" s="253" t="s">
        <v>325</v>
      </c>
      <c r="D13" s="253"/>
      <c r="E13" s="253"/>
      <c r="F13" s="253"/>
      <c r="G13" s="253"/>
      <c r="H13" s="3"/>
    </row>
    <row r="14" spans="1:8">
      <c r="A14" s="3"/>
      <c r="B14" s="3"/>
      <c r="C14" s="3"/>
      <c r="D14" s="3"/>
      <c r="E14" s="3"/>
      <c r="F14" s="3"/>
      <c r="G14" s="3"/>
      <c r="H14" s="3"/>
    </row>
    <row r="15" spans="1:8" ht="15" customHeight="1">
      <c r="A15" s="245" t="s">
        <v>17</v>
      </c>
      <c r="B15" s="245"/>
      <c r="C15" s="245"/>
      <c r="D15" s="245"/>
      <c r="E15" s="245"/>
      <c r="F15" s="245"/>
      <c r="G15" s="245"/>
      <c r="H15" s="3"/>
    </row>
    <row r="16" spans="1:8">
      <c r="A16" s="4" t="s">
        <v>18</v>
      </c>
      <c r="B16" s="234" t="s">
        <v>19</v>
      </c>
      <c r="C16" s="234"/>
      <c r="D16" s="234"/>
      <c r="E16" s="234"/>
      <c r="F16" s="254">
        <v>44470</v>
      </c>
      <c r="G16" s="255"/>
      <c r="H16" s="3"/>
    </row>
    <row r="17" spans="1:8" ht="15" customHeight="1">
      <c r="A17" s="4" t="s">
        <v>20</v>
      </c>
      <c r="B17" s="234" t="s">
        <v>21</v>
      </c>
      <c r="C17" s="234"/>
      <c r="D17" s="234"/>
      <c r="E17" s="234"/>
      <c r="F17" s="256" t="s">
        <v>22</v>
      </c>
      <c r="G17" s="256"/>
      <c r="H17" s="3"/>
    </row>
    <row r="18" spans="1:8">
      <c r="A18" s="4" t="s">
        <v>23</v>
      </c>
      <c r="B18" s="234" t="s">
        <v>24</v>
      </c>
      <c r="C18" s="234"/>
      <c r="D18" s="234"/>
      <c r="E18" s="234"/>
      <c r="F18" s="255" t="s">
        <v>25</v>
      </c>
      <c r="G18" s="255"/>
      <c r="H18" s="3"/>
    </row>
    <row r="19" spans="1:8">
      <c r="A19" s="4" t="s">
        <v>26</v>
      </c>
      <c r="B19" s="234" t="s">
        <v>27</v>
      </c>
      <c r="C19" s="234"/>
      <c r="D19" s="234"/>
      <c r="E19" s="234"/>
      <c r="F19" s="248">
        <v>12</v>
      </c>
      <c r="G19" s="248"/>
      <c r="H19" s="3"/>
    </row>
    <row r="20" spans="1:8">
      <c r="A20" s="3"/>
      <c r="B20" s="3"/>
      <c r="C20" s="3"/>
      <c r="D20" s="3"/>
      <c r="E20" s="3"/>
      <c r="F20" s="248" t="s">
        <v>326</v>
      </c>
      <c r="G20" s="248"/>
      <c r="H20" s="3"/>
    </row>
    <row r="21" spans="1:8" ht="15" customHeight="1">
      <c r="A21" s="245" t="s">
        <v>30</v>
      </c>
      <c r="B21" s="245"/>
      <c r="C21" s="245"/>
      <c r="D21" s="245"/>
      <c r="E21" s="245"/>
      <c r="F21" s="245"/>
      <c r="G21" s="245"/>
      <c r="H21" s="3"/>
    </row>
    <row r="22" spans="1:8" ht="22.5" customHeight="1">
      <c r="A22" s="216" t="s">
        <v>31</v>
      </c>
      <c r="B22" s="216"/>
      <c r="C22" s="216"/>
      <c r="D22" s="216"/>
      <c r="E22" s="7" t="s">
        <v>32</v>
      </c>
      <c r="F22" s="216" t="s">
        <v>196</v>
      </c>
      <c r="G22" s="216"/>
      <c r="H22" s="3"/>
    </row>
    <row r="23" spans="1:8" ht="15" customHeight="1">
      <c r="A23" s="250" t="s">
        <v>197</v>
      </c>
      <c r="B23" s="250"/>
      <c r="C23" s="250"/>
      <c r="D23" s="250"/>
      <c r="E23" s="9" t="s">
        <v>198</v>
      </c>
      <c r="F23" s="317">
        <f>IFERROR(VLOOKUP(A23,Proposta!$B$17:$D$23,3,FALSE()),1)</f>
        <v>25</v>
      </c>
      <c r="G23" s="317"/>
      <c r="H23" s="53"/>
    </row>
    <row r="24" spans="1:8" ht="15" customHeight="1">
      <c r="A24" s="318" t="s">
        <v>199</v>
      </c>
      <c r="B24" s="318"/>
      <c r="C24" s="318"/>
      <c r="D24" s="318"/>
      <c r="E24" s="54" t="s">
        <v>198</v>
      </c>
      <c r="F24" s="319">
        <f>IFERROR(VLOOKUP(A24,Proposta!$B$17:$D$23,3,FALSE()),1)</f>
        <v>1</v>
      </c>
      <c r="G24" s="319"/>
      <c r="H24" s="55"/>
    </row>
    <row r="25" spans="1:8">
      <c r="A25" s="3"/>
      <c r="B25" s="3"/>
      <c r="C25" s="3"/>
      <c r="D25" s="3"/>
      <c r="E25" s="3"/>
      <c r="F25" s="3"/>
      <c r="G25" s="3"/>
      <c r="H25" s="3"/>
    </row>
    <row r="26" spans="1:8">
      <c r="A26" s="215" t="s">
        <v>200</v>
      </c>
      <c r="B26" s="215"/>
      <c r="C26" s="215"/>
      <c r="D26" s="215"/>
      <c r="E26" s="215"/>
      <c r="F26" s="215"/>
      <c r="G26" s="215"/>
      <c r="H26" s="215"/>
    </row>
    <row r="27" spans="1:8" ht="22.5" customHeight="1">
      <c r="A27" s="7" t="s">
        <v>12</v>
      </c>
      <c r="B27" s="216" t="s">
        <v>201</v>
      </c>
      <c r="C27" s="216"/>
      <c r="D27" s="216"/>
      <c r="E27" s="216"/>
      <c r="F27" s="216"/>
      <c r="G27" s="7" t="s">
        <v>202</v>
      </c>
      <c r="H27" s="7" t="s">
        <v>203</v>
      </c>
    </row>
    <row r="28" spans="1:8">
      <c r="A28" s="4" t="s">
        <v>18</v>
      </c>
      <c r="B28" s="234" t="s">
        <v>204</v>
      </c>
      <c r="C28" s="234"/>
      <c r="D28" s="234"/>
      <c r="E28" s="234"/>
      <c r="F28" s="234"/>
      <c r="G28" s="10">
        <v>150</v>
      </c>
      <c r="H28" s="10">
        <v>200</v>
      </c>
    </row>
    <row r="29" spans="1:8">
      <c r="A29" s="3"/>
      <c r="B29" s="3"/>
      <c r="C29" s="3"/>
      <c r="D29" s="3"/>
      <c r="E29" s="3"/>
      <c r="F29" s="3"/>
      <c r="G29" s="3"/>
      <c r="H29" s="3"/>
    </row>
    <row r="30" spans="1:8">
      <c r="A30" s="215" t="s">
        <v>205</v>
      </c>
      <c r="B30" s="215"/>
      <c r="C30" s="215"/>
      <c r="D30" s="215"/>
      <c r="E30" s="215"/>
      <c r="F30" s="215"/>
      <c r="G30" s="215"/>
      <c r="H30" s="215"/>
    </row>
    <row r="31" spans="1:8" ht="25.5" customHeight="1">
      <c r="A31" s="7" t="s">
        <v>12</v>
      </c>
      <c r="B31" s="216" t="s">
        <v>145</v>
      </c>
      <c r="C31" s="216"/>
      <c r="D31" s="216"/>
      <c r="E31" s="216"/>
      <c r="F31" s="216"/>
      <c r="G31" s="7" t="s">
        <v>202</v>
      </c>
      <c r="H31" s="7" t="s">
        <v>203</v>
      </c>
    </row>
    <row r="32" spans="1:8">
      <c r="A32" s="35" t="s">
        <v>18</v>
      </c>
      <c r="B32" s="230" t="s">
        <v>146</v>
      </c>
      <c r="C32" s="230"/>
      <c r="D32" s="230"/>
      <c r="E32" s="230"/>
      <c r="F32" s="36">
        <f>'Cargo1-Leve22h'!F137</f>
        <v>6.0000000000000001E-3</v>
      </c>
      <c r="G32" s="37">
        <f>ROUND(G28*$F32,2)</f>
        <v>0.9</v>
      </c>
      <c r="H32" s="37">
        <f>ROUND(H28*$F32,2)</f>
        <v>1.2</v>
      </c>
    </row>
    <row r="33" spans="1:8">
      <c r="A33" s="35" t="s">
        <v>20</v>
      </c>
      <c r="B33" s="230" t="s">
        <v>206</v>
      </c>
      <c r="C33" s="230"/>
      <c r="D33" s="230"/>
      <c r="E33" s="230"/>
      <c r="F33" s="36">
        <v>6.0000000000000001E-3</v>
      </c>
      <c r="G33" s="37">
        <f>(G28+G32)*$F33</f>
        <v>0.90540000000000009</v>
      </c>
      <c r="H33" s="37">
        <f>(H28+H32)*$F33</f>
        <v>1.2072000000000001</v>
      </c>
    </row>
    <row r="34" spans="1:8">
      <c r="A34" s="4" t="s">
        <v>148</v>
      </c>
      <c r="B34" s="223" t="str">
        <f>'Cargo5-Pesado24h'!B145:E145</f>
        <v>Tributos Federais  (Ref. Acórdão TCU 1753/2008–P, PIS 0,24% e COFINS 1,08%)</v>
      </c>
      <c r="C34" s="223"/>
      <c r="D34" s="223"/>
      <c r="E34" s="223"/>
      <c r="F34" s="38">
        <f>'Cargo1-Leve22h'!F139</f>
        <v>1.32E-2</v>
      </c>
      <c r="G34" s="39">
        <f>ROUND(((G28+G32+G33)/(1-$F38))*$F34,2)</f>
        <v>2.14</v>
      </c>
      <c r="H34" s="39">
        <f>ROUND(((H28+H32+H33)/(1-$F38))*$F34,2)</f>
        <v>2.85</v>
      </c>
    </row>
    <row r="35" spans="1:8">
      <c r="A35" s="4" t="s">
        <v>149</v>
      </c>
      <c r="B35" s="224" t="s">
        <v>150</v>
      </c>
      <c r="C35" s="224"/>
      <c r="D35" s="224"/>
      <c r="E35" s="224"/>
      <c r="F35" s="38">
        <f>'Cargo1-Leve22h'!F140</f>
        <v>0</v>
      </c>
      <c r="G35" s="39">
        <f>ROUND(((G28+G32+G33)/(1-$F38))*$F35,2)</f>
        <v>0</v>
      </c>
      <c r="H35" s="39">
        <f>ROUND(((H28+H32+H33)/(1-$F38))*$F35,2)</f>
        <v>0</v>
      </c>
    </row>
    <row r="36" spans="1:8">
      <c r="A36" s="4" t="s">
        <v>151</v>
      </c>
      <c r="B36" s="223" t="s">
        <v>152</v>
      </c>
      <c r="C36" s="223"/>
      <c r="D36" s="223"/>
      <c r="E36" s="223"/>
      <c r="F36" s="38">
        <f>'Cargo1-Leve22h'!F141</f>
        <v>0.05</v>
      </c>
      <c r="G36" s="39">
        <f>ROUND(((G28+G32+G33)/(1-$F38))*$F36,2)</f>
        <v>8.1</v>
      </c>
      <c r="H36" s="39">
        <f>ROUND(((H28+H32+H33)/(1-$F38))*$F36,2)</f>
        <v>10.8</v>
      </c>
    </row>
    <row r="37" spans="1:8">
      <c r="A37" s="4" t="s">
        <v>153</v>
      </c>
      <c r="B37" s="225" t="s">
        <v>154</v>
      </c>
      <c r="C37" s="225"/>
      <c r="D37" s="225"/>
      <c r="E37" s="225"/>
      <c r="F37" s="38">
        <f>'Cargo1-Leve22h'!F142</f>
        <v>0</v>
      </c>
      <c r="G37" s="39">
        <f>ROUND(((G28+G32+G33)/(1-$F38))*$F37,2)</f>
        <v>0</v>
      </c>
      <c r="H37" s="39">
        <f>ROUND(((H28+H32+H33)/(1-$F38))*$F37,2)</f>
        <v>0</v>
      </c>
    </row>
    <row r="38" spans="1:8">
      <c r="A38" s="35" t="s">
        <v>23</v>
      </c>
      <c r="B38" s="226" t="s">
        <v>155</v>
      </c>
      <c r="C38" s="226"/>
      <c r="D38" s="226"/>
      <c r="E38" s="226"/>
      <c r="F38" s="40">
        <f>SUM(F34:F37)</f>
        <v>6.3200000000000006E-2</v>
      </c>
      <c r="G38" s="39">
        <f>ROUND(SUM(G34:G37),2)</f>
        <v>10.24</v>
      </c>
      <c r="H38" s="39">
        <f>ROUND(SUM(H34:H37),2)</f>
        <v>13.65</v>
      </c>
    </row>
    <row r="39" spans="1:8">
      <c r="A39" s="221" t="s">
        <v>156</v>
      </c>
      <c r="B39" s="221"/>
      <c r="C39" s="221"/>
      <c r="D39" s="221"/>
      <c r="E39" s="221"/>
      <c r="F39" s="17">
        <f>(1+F32)*(1+F33)/(1-F38)-1</f>
        <v>8.0311699402220382E-2</v>
      </c>
      <c r="G39" s="12">
        <f>ROUND(SUM(G32,G33,G38),2)</f>
        <v>12.05</v>
      </c>
      <c r="H39" s="12">
        <f>ROUND(SUM(H32,H33,H38),2)</f>
        <v>16.059999999999999</v>
      </c>
    </row>
    <row r="40" spans="1:8" ht="9" customHeight="1">
      <c r="A40" s="3"/>
      <c r="B40" s="3"/>
      <c r="C40" s="3"/>
      <c r="D40" s="3"/>
      <c r="E40" s="3"/>
      <c r="F40" s="56"/>
      <c r="G40" s="3"/>
      <c r="H40" s="3"/>
    </row>
    <row r="41" spans="1:8" ht="5.4" customHeight="1">
      <c r="A41" s="3"/>
      <c r="B41" s="3"/>
      <c r="C41" s="3"/>
      <c r="D41" s="3"/>
      <c r="E41" s="3"/>
      <c r="F41" s="3"/>
      <c r="G41" s="3"/>
      <c r="H41" s="3"/>
    </row>
    <row r="42" spans="1:8">
      <c r="A42" s="215" t="s">
        <v>169</v>
      </c>
      <c r="B42" s="215"/>
      <c r="C42" s="215"/>
      <c r="D42" s="215"/>
      <c r="E42" s="215"/>
      <c r="F42" s="215"/>
      <c r="G42" s="215"/>
      <c r="H42" s="215"/>
    </row>
    <row r="43" spans="1:8" ht="21" customHeight="1">
      <c r="A43" s="316" t="s">
        <v>31</v>
      </c>
      <c r="B43" s="316"/>
      <c r="C43" s="316"/>
      <c r="D43" s="7" t="s">
        <v>32</v>
      </c>
      <c r="E43" s="57" t="s">
        <v>207</v>
      </c>
      <c r="F43" s="7" t="s">
        <v>208</v>
      </c>
      <c r="G43" s="7" t="s">
        <v>209</v>
      </c>
      <c r="H43" s="7" t="s">
        <v>210</v>
      </c>
    </row>
    <row r="44" spans="1:8" ht="15" customHeight="1">
      <c r="A44" s="314" t="s">
        <v>211</v>
      </c>
      <c r="B44" s="314"/>
      <c r="C44" s="314"/>
      <c r="D44" s="58" t="s">
        <v>198</v>
      </c>
      <c r="E44" s="59">
        <f>G28</f>
        <v>150</v>
      </c>
      <c r="F44" s="60">
        <f>ROUND(G28+G39,2)</f>
        <v>162.05000000000001</v>
      </c>
      <c r="G44" s="58">
        <f>F23</f>
        <v>25</v>
      </c>
      <c r="H44" s="12">
        <f>F44*G44</f>
        <v>4051.2500000000005</v>
      </c>
    </row>
    <row r="45" spans="1:8" ht="15" customHeight="1">
      <c r="A45" s="315" t="s">
        <v>212</v>
      </c>
      <c r="B45" s="315"/>
      <c r="C45" s="315"/>
      <c r="D45" s="61" t="s">
        <v>198</v>
      </c>
      <c r="E45" s="59">
        <f>H28</f>
        <v>200</v>
      </c>
      <c r="F45" s="60">
        <f>ROUND(H28+H39,2)</f>
        <v>216.06</v>
      </c>
      <c r="G45" s="62">
        <f>F24</f>
        <v>1</v>
      </c>
      <c r="H45" s="12">
        <f>F45*G45</f>
        <v>216.06</v>
      </c>
    </row>
    <row r="46" spans="1:8">
      <c r="A46" s="221" t="s">
        <v>213</v>
      </c>
      <c r="B46" s="221"/>
      <c r="C46" s="221"/>
      <c r="D46" s="221"/>
      <c r="E46" s="221"/>
      <c r="F46" s="221"/>
      <c r="G46" s="221"/>
      <c r="H46" s="12">
        <f>ROUND(SUM(H44:H45),2)</f>
        <v>4267.3100000000004</v>
      </c>
    </row>
    <row r="47" spans="1:8" ht="63" customHeight="1">
      <c r="A47" s="3"/>
      <c r="B47" s="3"/>
      <c r="C47" s="3"/>
      <c r="D47" s="3"/>
      <c r="E47" s="3"/>
      <c r="F47" s="3"/>
      <c r="G47" s="3"/>
      <c r="H47" s="3"/>
    </row>
    <row r="48" spans="1:8">
      <c r="A48" s="2"/>
      <c r="B48" s="2"/>
      <c r="C48" s="45"/>
      <c r="D48" s="45"/>
      <c r="E48" s="45"/>
      <c r="F48" s="2"/>
      <c r="G48" s="2"/>
      <c r="H48" s="2"/>
    </row>
    <row r="49" spans="1:8">
      <c r="A49" s="2"/>
      <c r="B49" s="2"/>
      <c r="C49" s="220" t="s">
        <v>337</v>
      </c>
      <c r="D49" s="220"/>
      <c r="E49" s="220"/>
      <c r="F49" s="2"/>
      <c r="G49" s="2"/>
      <c r="H49" s="2"/>
    </row>
    <row r="50" spans="1:8">
      <c r="A50" s="2"/>
      <c r="B50" s="2"/>
      <c r="C50" s="220" t="s">
        <v>336</v>
      </c>
      <c r="D50" s="220"/>
      <c r="E50" s="220"/>
      <c r="F50" s="2"/>
      <c r="G50" s="2"/>
      <c r="H50" s="2"/>
    </row>
    <row r="51" spans="1:8">
      <c r="A51" s="48"/>
      <c r="B51" s="48"/>
      <c r="C51" s="48"/>
      <c r="D51" s="48"/>
      <c r="E51" s="48"/>
      <c r="F51" s="48"/>
      <c r="G51" s="48"/>
      <c r="H51" s="48"/>
    </row>
    <row r="52" spans="1:8" hidden="1">
      <c r="A52" s="48"/>
      <c r="B52" s="48"/>
      <c r="C52" s="48"/>
      <c r="D52" s="48"/>
      <c r="E52" s="48"/>
      <c r="F52" s="48"/>
      <c r="G52" s="48"/>
      <c r="H52" s="48"/>
    </row>
    <row r="53" spans="1:8" hidden="1">
      <c r="A53" s="48"/>
      <c r="B53" s="48"/>
      <c r="C53" s="48"/>
      <c r="D53" s="48"/>
      <c r="E53" s="48"/>
      <c r="F53" s="48"/>
      <c r="G53" s="48"/>
      <c r="H53" s="48"/>
    </row>
    <row r="54" spans="1:8" hidden="1">
      <c r="A54" s="48"/>
      <c r="B54" s="48"/>
      <c r="C54" s="48"/>
      <c r="D54" s="48"/>
      <c r="E54" s="48"/>
      <c r="F54" s="48"/>
      <c r="G54" s="48"/>
      <c r="H54" s="48"/>
    </row>
    <row r="55" spans="1:8" hidden="1">
      <c r="A55" s="48"/>
      <c r="B55" s="48"/>
      <c r="C55" s="48"/>
      <c r="D55" s="48"/>
      <c r="E55" s="48"/>
      <c r="F55" s="48"/>
      <c r="G55" s="48"/>
      <c r="H55" s="48"/>
    </row>
    <row r="56" spans="1:8"/>
    <row r="57" spans="1:8"/>
    <row r="58" spans="1:8"/>
    <row r="59" spans="1:8"/>
  </sheetData>
  <sheetProtection formatCells="0" formatColumns="0" formatRows="0" insertRows="0"/>
  <mergeCells count="48">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A21:G21"/>
    <mergeCell ref="F20:G20"/>
    <mergeCell ref="A22:D22"/>
    <mergeCell ref="F22:G22"/>
    <mergeCell ref="A23:D23"/>
    <mergeCell ref="F23:G23"/>
    <mergeCell ref="A24:D24"/>
    <mergeCell ref="F24:G24"/>
    <mergeCell ref="A26:H26"/>
    <mergeCell ref="B27:F27"/>
    <mergeCell ref="B28:F28"/>
    <mergeCell ref="A30:H30"/>
    <mergeCell ref="B31:F31"/>
    <mergeCell ref="B32:E32"/>
    <mergeCell ref="B33:E33"/>
    <mergeCell ref="B34:E34"/>
    <mergeCell ref="B35:E35"/>
    <mergeCell ref="B36:E36"/>
    <mergeCell ref="B37:E37"/>
    <mergeCell ref="B38:E38"/>
    <mergeCell ref="A39:E39"/>
    <mergeCell ref="A42:H42"/>
    <mergeCell ref="A43:C43"/>
    <mergeCell ref="A44:C44"/>
    <mergeCell ref="A45:C45"/>
    <mergeCell ref="A46:G46"/>
    <mergeCell ref="C49:E49"/>
    <mergeCell ref="C50:E50"/>
  </mergeCells>
  <printOptions horizontalCentered="1"/>
  <pageMargins left="0.23622047244094491" right="0.23622047244094491" top="1.4960629921259843" bottom="0.74803149606299213" header="0.51181102362204722" footer="0.51181102362204722"/>
  <pageSetup paperSize="9" scale="80" firstPageNumber="0" fitToHeight="0" orientation="portrait" horizontalDpi="300" verticalDpi="300" r:id="rId1"/>
  <headerFooter>
    <oddHeader>&amp;R&amp;G</oddHeader>
  </headerFooter>
  <rowBreaks count="1" manualBreakCount="1">
    <brk id="50" max="7" man="1"/>
  </row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8458"/>
  <sheetViews>
    <sheetView view="pageBreakPreview" topLeftCell="B50" zoomScaleNormal="120" zoomScaleSheetLayoutView="100" workbookViewId="0">
      <selection activeCell="P52" sqref="P52:P57"/>
    </sheetView>
  </sheetViews>
  <sheetFormatPr defaultColWidth="14.44140625" defaultRowHeight="14.4"/>
  <cols>
    <col min="1" max="1" width="13" style="1" hidden="1" customWidth="1"/>
    <col min="2" max="2" width="6" style="1" customWidth="1"/>
    <col min="3" max="3" width="4.44140625" style="1" customWidth="1"/>
    <col min="4" max="4" width="9.109375" style="1" customWidth="1"/>
    <col min="5" max="5" width="7.5546875" style="1" customWidth="1"/>
    <col min="6" max="6" width="36.6640625" style="1" customWidth="1"/>
    <col min="7" max="7" width="10.44140625" style="1" customWidth="1"/>
    <col min="8" max="8" width="3.88671875" style="1" customWidth="1"/>
    <col min="9" max="9" width="13.44140625" style="1" customWidth="1"/>
    <col min="10" max="10" width="13.88671875" style="1" customWidth="1"/>
    <col min="11" max="11" width="15.33203125" style="1" customWidth="1"/>
    <col min="12" max="12" width="13.33203125" style="1" customWidth="1"/>
    <col min="13" max="13" width="17.33203125" style="1" customWidth="1"/>
    <col min="14" max="15" width="0" style="1" hidden="1" customWidth="1"/>
    <col min="16" max="16" width="15.21875" style="1" bestFit="1" customWidth="1"/>
    <col min="17" max="1024" width="14.44140625" style="1"/>
  </cols>
  <sheetData>
    <row r="1" spans="1:17" ht="26.25" customHeight="1">
      <c r="A1" s="63"/>
      <c r="B1" s="336" t="s">
        <v>170</v>
      </c>
      <c r="C1" s="336"/>
      <c r="D1" s="336"/>
      <c r="E1" s="336"/>
      <c r="F1" s="336"/>
      <c r="G1" s="64" t="s">
        <v>214</v>
      </c>
      <c r="H1" s="336" t="s">
        <v>215</v>
      </c>
      <c r="I1" s="336"/>
      <c r="J1" s="64" t="s">
        <v>216</v>
      </c>
      <c r="K1" s="64" t="s">
        <v>217</v>
      </c>
      <c r="L1" s="64" t="s">
        <v>218</v>
      </c>
      <c r="M1" s="65"/>
      <c r="N1" s="66"/>
    </row>
    <row r="2" spans="1:17">
      <c r="A2" s="67"/>
      <c r="B2" s="334" t="s">
        <v>219</v>
      </c>
      <c r="C2" s="334"/>
      <c r="D2" s="334"/>
      <c r="E2" s="334"/>
      <c r="F2" s="334"/>
      <c r="G2" s="68" t="s">
        <v>220</v>
      </c>
      <c r="H2" s="335">
        <f>'Cargo1-Leve22h'!G157</f>
        <v>5368.39</v>
      </c>
      <c r="I2" s="335"/>
      <c r="J2" s="68">
        <f t="shared" ref="J2:J8" si="0">SUMIF($F$11:$F$95,B2,$H$11:$H$95)</f>
        <v>49</v>
      </c>
      <c r="K2" s="70">
        <f t="shared" ref="K2:K8" si="1">H2*J2</f>
        <v>263051.11000000004</v>
      </c>
      <c r="L2" s="69">
        <f t="shared" ref="L2:L8" si="2">K2*12</f>
        <v>3156613.3200000003</v>
      </c>
      <c r="M2" s="66"/>
      <c r="N2" s="66"/>
    </row>
    <row r="3" spans="1:17">
      <c r="A3" s="67"/>
      <c r="B3" s="334" t="s">
        <v>221</v>
      </c>
      <c r="C3" s="334"/>
      <c r="D3" s="334"/>
      <c r="E3" s="334"/>
      <c r="F3" s="334"/>
      <c r="G3" s="68" t="s">
        <v>220</v>
      </c>
      <c r="H3" s="335">
        <f>'Cargo2-Exec22h'!G157</f>
        <v>6002.76</v>
      </c>
      <c r="I3" s="335"/>
      <c r="J3" s="68">
        <f t="shared" si="0"/>
        <v>50</v>
      </c>
      <c r="K3" s="70">
        <f t="shared" si="1"/>
        <v>300138</v>
      </c>
      <c r="L3" s="69">
        <f t="shared" si="2"/>
        <v>3601656</v>
      </c>
      <c r="M3" s="65"/>
      <c r="N3" s="66"/>
    </row>
    <row r="4" spans="1:17">
      <c r="A4" s="67"/>
      <c r="B4" s="334" t="s">
        <v>222</v>
      </c>
      <c r="C4" s="334"/>
      <c r="D4" s="334"/>
      <c r="E4" s="334"/>
      <c r="F4" s="334"/>
      <c r="G4" s="68" t="s">
        <v>220</v>
      </c>
      <c r="H4" s="335">
        <f>'Cargo3-Exec24h'!G163</f>
        <v>6356.86</v>
      </c>
      <c r="I4" s="335"/>
      <c r="J4" s="68">
        <f t="shared" si="0"/>
        <v>28</v>
      </c>
      <c r="K4" s="70">
        <f t="shared" si="1"/>
        <v>177992.08</v>
      </c>
      <c r="L4" s="69">
        <f t="shared" si="2"/>
        <v>2135904.96</v>
      </c>
      <c r="M4" s="65"/>
      <c r="N4" s="66"/>
    </row>
    <row r="5" spans="1:17">
      <c r="A5" s="67"/>
      <c r="B5" s="334" t="s">
        <v>223</v>
      </c>
      <c r="C5" s="334"/>
      <c r="D5" s="334"/>
      <c r="E5" s="334"/>
      <c r="F5" s="334"/>
      <c r="G5" s="68" t="s">
        <v>220</v>
      </c>
      <c r="H5" s="335">
        <f>'Cargo4-Pesado22h'!G161</f>
        <v>5992.28</v>
      </c>
      <c r="I5" s="335"/>
      <c r="J5" s="68">
        <f t="shared" si="0"/>
        <v>36</v>
      </c>
      <c r="K5" s="70">
        <f t="shared" si="1"/>
        <v>215722.08</v>
      </c>
      <c r="L5" s="69">
        <f t="shared" si="2"/>
        <v>2588664.96</v>
      </c>
      <c r="M5" s="65"/>
      <c r="N5" s="66"/>
    </row>
    <row r="6" spans="1:17">
      <c r="A6" s="67"/>
      <c r="B6" s="334" t="s">
        <v>224</v>
      </c>
      <c r="C6" s="334"/>
      <c r="D6" s="334"/>
      <c r="E6" s="334"/>
      <c r="F6" s="334"/>
      <c r="G6" s="68" t="s">
        <v>220</v>
      </c>
      <c r="H6" s="335">
        <f>'Cargo5-Pesado24h'!G163</f>
        <v>6346.92</v>
      </c>
      <c r="I6" s="335"/>
      <c r="J6" s="68">
        <f t="shared" si="0"/>
        <v>2</v>
      </c>
      <c r="K6" s="70">
        <f t="shared" si="1"/>
        <v>12693.84</v>
      </c>
      <c r="L6" s="69">
        <f t="shared" si="2"/>
        <v>152326.08000000002</v>
      </c>
      <c r="M6" s="65"/>
      <c r="N6" s="66"/>
    </row>
    <row r="7" spans="1:17">
      <c r="A7" s="67"/>
      <c r="B7" s="334" t="s">
        <v>225</v>
      </c>
      <c r="C7" s="334"/>
      <c r="D7" s="334"/>
      <c r="E7" s="334"/>
      <c r="F7" s="334"/>
      <c r="G7" s="68" t="s">
        <v>226</v>
      </c>
      <c r="H7" s="335">
        <f>Diárias!F44</f>
        <v>162.05000000000001</v>
      </c>
      <c r="I7" s="335"/>
      <c r="J7" s="68">
        <f t="shared" si="0"/>
        <v>112</v>
      </c>
      <c r="K7" s="70">
        <f t="shared" si="1"/>
        <v>18149.600000000002</v>
      </c>
      <c r="L7" s="69">
        <f t="shared" si="2"/>
        <v>217795.20000000001</v>
      </c>
      <c r="M7" s="65"/>
      <c r="N7" s="66"/>
    </row>
    <row r="8" spans="1:17">
      <c r="A8" s="67"/>
      <c r="B8" s="334" t="s">
        <v>227</v>
      </c>
      <c r="C8" s="334"/>
      <c r="D8" s="334"/>
      <c r="E8" s="334"/>
      <c r="F8" s="334"/>
      <c r="G8" s="68" t="s">
        <v>226</v>
      </c>
      <c r="H8" s="335">
        <f>Diárias!F45</f>
        <v>216.06</v>
      </c>
      <c r="I8" s="335"/>
      <c r="J8" s="68">
        <f t="shared" si="0"/>
        <v>113</v>
      </c>
      <c r="K8" s="70">
        <f t="shared" si="1"/>
        <v>24414.78</v>
      </c>
      <c r="L8" s="69">
        <f t="shared" si="2"/>
        <v>292977.36</v>
      </c>
      <c r="M8" s="65"/>
      <c r="N8" s="66"/>
    </row>
    <row r="9" spans="1:17" ht="15.75" customHeight="1">
      <c r="A9" s="66"/>
      <c r="B9" s="66"/>
      <c r="C9" s="66"/>
      <c r="D9" s="66"/>
      <c r="E9" s="66"/>
      <c r="F9" s="66"/>
      <c r="G9" s="66"/>
      <c r="H9" s="66"/>
      <c r="I9" s="66"/>
      <c r="J9" s="66"/>
      <c r="K9" s="66"/>
      <c r="L9" s="71">
        <f>SUM(L2:L8)</f>
        <v>12145937.880000001</v>
      </c>
      <c r="M9" s="65"/>
      <c r="N9" s="65"/>
      <c r="O9" s="66"/>
    </row>
    <row r="10" spans="1:17" ht="20.399999999999999">
      <c r="A10" s="72"/>
      <c r="B10" s="73" t="s">
        <v>228</v>
      </c>
      <c r="C10" s="74" t="s">
        <v>229</v>
      </c>
      <c r="D10" s="74" t="s">
        <v>230</v>
      </c>
      <c r="E10" s="74" t="s">
        <v>231</v>
      </c>
      <c r="F10" s="74" t="s">
        <v>181</v>
      </c>
      <c r="G10" s="74" t="s">
        <v>232</v>
      </c>
      <c r="H10" s="74" t="s">
        <v>233</v>
      </c>
      <c r="I10" s="74" t="s">
        <v>234</v>
      </c>
      <c r="J10" s="75" t="s">
        <v>235</v>
      </c>
      <c r="K10" s="75" t="s">
        <v>236</v>
      </c>
      <c r="L10" s="75" t="s">
        <v>237</v>
      </c>
      <c r="M10" s="74" t="s">
        <v>238</v>
      </c>
      <c r="N10" s="76" t="s">
        <v>239</v>
      </c>
      <c r="O10" s="76" t="s">
        <v>240</v>
      </c>
    </row>
    <row r="11" spans="1:17">
      <c r="A11" s="1" t="s">
        <v>241</v>
      </c>
      <c r="B11" s="320">
        <v>1</v>
      </c>
      <c r="C11" s="77">
        <v>1</v>
      </c>
      <c r="D11" s="321" t="s">
        <v>242</v>
      </c>
      <c r="E11" s="321">
        <v>110120</v>
      </c>
      <c r="F11" s="78" t="s">
        <v>219</v>
      </c>
      <c r="G11" s="78" t="s">
        <v>220</v>
      </c>
      <c r="H11" s="79">
        <v>6</v>
      </c>
      <c r="I11" s="80">
        <f t="shared" ref="I11:I42" si="3">VLOOKUP(F11,$B$2:$I$8,7,FALSE())</f>
        <v>5368.39</v>
      </c>
      <c r="J11" s="81">
        <f t="shared" ref="J11:J42" si="4">I11*H11</f>
        <v>32210.340000000004</v>
      </c>
      <c r="K11" s="81">
        <f t="shared" ref="K11:K42" si="5">I11*12</f>
        <v>64420.680000000008</v>
      </c>
      <c r="L11" s="81">
        <f t="shared" ref="L11:L42" si="6">K11*H11</f>
        <v>386524.08000000007</v>
      </c>
      <c r="M11" s="322">
        <f>SUM(L11:L15)</f>
        <v>697091.64</v>
      </c>
      <c r="N11" s="1" t="b">
        <f>IF(Proposta!$A$15=A11,C11)</f>
        <v>0</v>
      </c>
      <c r="O11" s="1">
        <f>COUNTIF($N$11:N11,"&lt;&gt;"&amp;FALSE())</f>
        <v>0</v>
      </c>
      <c r="Q11" s="340" t="s">
        <v>351</v>
      </c>
    </row>
    <row r="12" spans="1:17">
      <c r="A12" s="1" t="s">
        <v>241</v>
      </c>
      <c r="B12" s="320"/>
      <c r="C12" s="77">
        <v>2</v>
      </c>
      <c r="D12" s="321"/>
      <c r="E12" s="321"/>
      <c r="F12" s="78" t="s">
        <v>221</v>
      </c>
      <c r="G12" s="78" t="s">
        <v>220</v>
      </c>
      <c r="H12" s="79">
        <v>2</v>
      </c>
      <c r="I12" s="80">
        <f t="shared" si="3"/>
        <v>6002.76</v>
      </c>
      <c r="J12" s="81">
        <f t="shared" si="4"/>
        <v>12005.52</v>
      </c>
      <c r="K12" s="81">
        <f t="shared" si="5"/>
        <v>72033.119999999995</v>
      </c>
      <c r="L12" s="81">
        <f t="shared" si="6"/>
        <v>144066.23999999999</v>
      </c>
      <c r="M12" s="322"/>
      <c r="N12" s="1" t="b">
        <f>IF(Proposta!$A$15=A12,C12)</f>
        <v>0</v>
      </c>
      <c r="O12" s="1">
        <f>COUNTIF($N$11:N12,"&lt;&gt;"&amp;FALSE())</f>
        <v>0</v>
      </c>
      <c r="Q12" s="341"/>
    </row>
    <row r="13" spans="1:17">
      <c r="A13" s="1" t="s">
        <v>241</v>
      </c>
      <c r="B13" s="320"/>
      <c r="C13" s="77">
        <v>3</v>
      </c>
      <c r="D13" s="321"/>
      <c r="E13" s="321"/>
      <c r="F13" s="78" t="s">
        <v>223</v>
      </c>
      <c r="G13" s="78" t="s">
        <v>220</v>
      </c>
      <c r="H13" s="79">
        <v>2</v>
      </c>
      <c r="I13" s="80">
        <f t="shared" si="3"/>
        <v>5992.28</v>
      </c>
      <c r="J13" s="81">
        <f t="shared" si="4"/>
        <v>11984.56</v>
      </c>
      <c r="K13" s="81">
        <f t="shared" si="5"/>
        <v>71907.360000000001</v>
      </c>
      <c r="L13" s="81">
        <f t="shared" si="6"/>
        <v>143814.72</v>
      </c>
      <c r="M13" s="322"/>
      <c r="N13" s="1" t="b">
        <f>IF(Proposta!$A$15=A13,C13)</f>
        <v>0</v>
      </c>
      <c r="O13" s="1">
        <f>COUNTIF($N$11:N13,"&lt;&gt;"&amp;FALSE())</f>
        <v>0</v>
      </c>
      <c r="P13" s="166">
        <v>698066.04</v>
      </c>
      <c r="Q13" s="341"/>
    </row>
    <row r="14" spans="1:17">
      <c r="A14" s="1" t="s">
        <v>241</v>
      </c>
      <c r="B14" s="320"/>
      <c r="C14" s="77">
        <v>4</v>
      </c>
      <c r="D14" s="321"/>
      <c r="E14" s="321"/>
      <c r="F14" s="78" t="s">
        <v>225</v>
      </c>
      <c r="G14" s="78" t="s">
        <v>226</v>
      </c>
      <c r="H14" s="79">
        <v>5</v>
      </c>
      <c r="I14" s="80">
        <f t="shared" si="3"/>
        <v>162.05000000000001</v>
      </c>
      <c r="J14" s="81">
        <f t="shared" si="4"/>
        <v>810.25</v>
      </c>
      <c r="K14" s="81">
        <f t="shared" si="5"/>
        <v>1944.6000000000001</v>
      </c>
      <c r="L14" s="81">
        <f t="shared" si="6"/>
        <v>9723</v>
      </c>
      <c r="M14" s="322"/>
      <c r="N14" s="1" t="b">
        <f>IF(Proposta!$A$15=A14,C14)</f>
        <v>0</v>
      </c>
      <c r="O14" s="1">
        <f>COUNTIF($N$11:N14,"&lt;&gt;"&amp;FALSE())</f>
        <v>0</v>
      </c>
      <c r="Q14" s="341"/>
    </row>
    <row r="15" spans="1:17">
      <c r="A15" s="1" t="s">
        <v>241</v>
      </c>
      <c r="B15" s="320"/>
      <c r="C15" s="77">
        <v>5</v>
      </c>
      <c r="D15" s="321"/>
      <c r="E15" s="321"/>
      <c r="F15" s="78" t="s">
        <v>227</v>
      </c>
      <c r="G15" s="78" t="s">
        <v>226</v>
      </c>
      <c r="H15" s="79">
        <v>5</v>
      </c>
      <c r="I15" s="80">
        <f t="shared" si="3"/>
        <v>216.06</v>
      </c>
      <c r="J15" s="81">
        <f t="shared" si="4"/>
        <v>1080.3</v>
      </c>
      <c r="K15" s="81">
        <f t="shared" si="5"/>
        <v>2592.7200000000003</v>
      </c>
      <c r="L15" s="81">
        <f t="shared" si="6"/>
        <v>12963.600000000002</v>
      </c>
      <c r="M15" s="322"/>
      <c r="N15" s="1" t="b">
        <f>IF(Proposta!$A$15=A15,C15)</f>
        <v>0</v>
      </c>
      <c r="O15" s="1">
        <f>COUNTIF($N$11:N15,"&lt;&gt;"&amp;FALSE())</f>
        <v>0</v>
      </c>
      <c r="Q15" s="341"/>
    </row>
    <row r="16" spans="1:17">
      <c r="A16" s="1" t="s">
        <v>243</v>
      </c>
      <c r="B16" s="328">
        <v>2</v>
      </c>
      <c r="C16" s="83">
        <v>6</v>
      </c>
      <c r="D16" s="329" t="s">
        <v>244</v>
      </c>
      <c r="E16" s="329">
        <v>110161</v>
      </c>
      <c r="F16" s="84" t="s">
        <v>221</v>
      </c>
      <c r="G16" s="84" t="s">
        <v>220</v>
      </c>
      <c r="H16" s="85">
        <v>1</v>
      </c>
      <c r="I16" s="86">
        <f t="shared" si="3"/>
        <v>6002.76</v>
      </c>
      <c r="J16" s="87">
        <f t="shared" si="4"/>
        <v>6002.76</v>
      </c>
      <c r="K16" s="87">
        <f t="shared" si="5"/>
        <v>72033.119999999995</v>
      </c>
      <c r="L16" s="87">
        <f t="shared" si="6"/>
        <v>72033.119999999995</v>
      </c>
      <c r="M16" s="333">
        <f>SUM(L16:L19)</f>
        <v>154797.36000000002</v>
      </c>
      <c r="N16" s="1" t="b">
        <f>IF(Proposta!$A$15=A16,C16)</f>
        <v>0</v>
      </c>
      <c r="O16" s="1">
        <f>COUNTIF($N$11:N16,"&lt;&gt;"&amp;FALSE())</f>
        <v>0</v>
      </c>
      <c r="P16" s="337">
        <v>154827.12</v>
      </c>
      <c r="Q16" s="338" t="s">
        <v>351</v>
      </c>
    </row>
    <row r="17" spans="1:17">
      <c r="A17" s="1" t="s">
        <v>243</v>
      </c>
      <c r="B17" s="328"/>
      <c r="C17" s="83">
        <v>7</v>
      </c>
      <c r="D17" s="329"/>
      <c r="E17" s="329"/>
      <c r="F17" s="84" t="s">
        <v>222</v>
      </c>
      <c r="G17" s="84" t="s">
        <v>220</v>
      </c>
      <c r="H17" s="85">
        <v>1</v>
      </c>
      <c r="I17" s="86">
        <f t="shared" si="3"/>
        <v>6356.86</v>
      </c>
      <c r="J17" s="87">
        <f t="shared" si="4"/>
        <v>6356.86</v>
      </c>
      <c r="K17" s="87">
        <f t="shared" si="5"/>
        <v>76282.319999999992</v>
      </c>
      <c r="L17" s="87">
        <f t="shared" si="6"/>
        <v>76282.319999999992</v>
      </c>
      <c r="M17" s="333"/>
      <c r="N17" s="1" t="b">
        <f>IF(Proposta!$A$15=A17,C17)</f>
        <v>0</v>
      </c>
      <c r="O17" s="1">
        <f>COUNTIF($N$11:N17,"&lt;&gt;"&amp;FALSE())</f>
        <v>0</v>
      </c>
      <c r="P17" s="337"/>
      <c r="Q17" s="339"/>
    </row>
    <row r="18" spans="1:17">
      <c r="A18" s="1" t="s">
        <v>243</v>
      </c>
      <c r="B18" s="328"/>
      <c r="C18" s="83">
        <v>8</v>
      </c>
      <c r="D18" s="329"/>
      <c r="E18" s="329"/>
      <c r="F18" s="84" t="s">
        <v>225</v>
      </c>
      <c r="G18" s="84" t="s">
        <v>226</v>
      </c>
      <c r="H18" s="85">
        <v>2</v>
      </c>
      <c r="I18" s="86">
        <f t="shared" si="3"/>
        <v>162.05000000000001</v>
      </c>
      <c r="J18" s="87">
        <f t="shared" si="4"/>
        <v>324.10000000000002</v>
      </c>
      <c r="K18" s="87">
        <f t="shared" si="5"/>
        <v>1944.6000000000001</v>
      </c>
      <c r="L18" s="87">
        <f t="shared" si="6"/>
        <v>3889.2000000000003</v>
      </c>
      <c r="M18" s="333"/>
      <c r="N18" s="1" t="b">
        <f>IF(Proposta!$A$15=A18,C18)</f>
        <v>0</v>
      </c>
      <c r="O18" s="1">
        <f>COUNTIF($N$11:N18,"&lt;&gt;"&amp;FALSE())</f>
        <v>0</v>
      </c>
      <c r="P18" s="337"/>
      <c r="Q18" s="339"/>
    </row>
    <row r="19" spans="1:17">
      <c r="A19" s="1" t="s">
        <v>243</v>
      </c>
      <c r="B19" s="328"/>
      <c r="C19" s="83">
        <v>9</v>
      </c>
      <c r="D19" s="329"/>
      <c r="E19" s="329"/>
      <c r="F19" s="84" t="s">
        <v>227</v>
      </c>
      <c r="G19" s="84" t="s">
        <v>226</v>
      </c>
      <c r="H19" s="85">
        <v>1</v>
      </c>
      <c r="I19" s="86">
        <f t="shared" si="3"/>
        <v>216.06</v>
      </c>
      <c r="J19" s="87">
        <f t="shared" si="4"/>
        <v>216.06</v>
      </c>
      <c r="K19" s="87">
        <f t="shared" si="5"/>
        <v>2592.7200000000003</v>
      </c>
      <c r="L19" s="87">
        <f t="shared" si="6"/>
        <v>2592.7200000000003</v>
      </c>
      <c r="M19" s="333"/>
      <c r="N19" s="1" t="b">
        <f>IF(Proposta!$A$15=A19,C19)</f>
        <v>0</v>
      </c>
      <c r="O19" s="1">
        <f>COUNTIF($N$11:N19,"&lt;&gt;"&amp;FALSE())</f>
        <v>0</v>
      </c>
      <c r="P19" s="337"/>
      <c r="Q19" s="339"/>
    </row>
    <row r="20" spans="1:17">
      <c r="A20" s="1" t="s">
        <v>289</v>
      </c>
      <c r="B20" s="88"/>
      <c r="C20" s="77"/>
      <c r="D20" s="89"/>
      <c r="E20" s="89"/>
      <c r="F20" s="78"/>
      <c r="G20" s="78"/>
      <c r="H20" s="79"/>
      <c r="I20" s="80"/>
      <c r="J20" s="81"/>
      <c r="K20" s="81"/>
      <c r="L20" s="81"/>
      <c r="M20" s="81"/>
      <c r="N20" s="1" t="b">
        <f>IF(Proposta!$A$15=A20,C20)</f>
        <v>0</v>
      </c>
      <c r="O20" s="1">
        <f>COUNTIF($N$11:N20,"&lt;&gt;"&amp;FALSE())</f>
        <v>0</v>
      </c>
      <c r="Q20" s="167"/>
    </row>
    <row r="21" spans="1:17">
      <c r="A21" s="1" t="s">
        <v>290</v>
      </c>
      <c r="B21" s="325">
        <v>3</v>
      </c>
      <c r="C21" s="83">
        <v>11</v>
      </c>
      <c r="D21" s="326" t="s">
        <v>245</v>
      </c>
      <c r="E21" s="326">
        <v>323028</v>
      </c>
      <c r="F21" s="84" t="s">
        <v>219</v>
      </c>
      <c r="G21" s="84" t="s">
        <v>220</v>
      </c>
      <c r="H21" s="85">
        <v>3</v>
      </c>
      <c r="I21" s="86">
        <f t="shared" si="3"/>
        <v>5368.39</v>
      </c>
      <c r="J21" s="87">
        <f t="shared" si="4"/>
        <v>16105.170000000002</v>
      </c>
      <c r="K21" s="87">
        <f t="shared" si="5"/>
        <v>64420.680000000008</v>
      </c>
      <c r="L21" s="87">
        <f t="shared" si="6"/>
        <v>193262.04000000004</v>
      </c>
      <c r="M21" s="333">
        <f>SUM(L21:L22)</f>
        <v>337328.28</v>
      </c>
      <c r="N21" s="1" t="b">
        <f>IF(Proposta!$A$15=A21,C21)</f>
        <v>0</v>
      </c>
      <c r="O21" s="1">
        <f>COUNTIF($N$11:N21,"&lt;&gt;"&amp;FALSE())</f>
        <v>0</v>
      </c>
      <c r="P21" s="337">
        <v>337662.71999999997</v>
      </c>
      <c r="Q21" s="338" t="s">
        <v>351</v>
      </c>
    </row>
    <row r="22" spans="1:17">
      <c r="A22" s="1" t="s">
        <v>290</v>
      </c>
      <c r="B22" s="325"/>
      <c r="C22" s="83">
        <v>12</v>
      </c>
      <c r="D22" s="326"/>
      <c r="E22" s="326"/>
      <c r="F22" s="84" t="s">
        <v>221</v>
      </c>
      <c r="G22" s="84" t="s">
        <v>220</v>
      </c>
      <c r="H22" s="85">
        <v>2</v>
      </c>
      <c r="I22" s="86">
        <f t="shared" si="3"/>
        <v>6002.76</v>
      </c>
      <c r="J22" s="87">
        <f t="shared" si="4"/>
        <v>12005.52</v>
      </c>
      <c r="K22" s="87">
        <f t="shared" si="5"/>
        <v>72033.119999999995</v>
      </c>
      <c r="L22" s="87">
        <f t="shared" si="6"/>
        <v>144066.23999999999</v>
      </c>
      <c r="M22" s="333"/>
      <c r="N22" s="1" t="b">
        <f>IF(Proposta!$A$15=A22,C22)</f>
        <v>0</v>
      </c>
      <c r="O22" s="1">
        <f>COUNTIF($N$11:N22,"&lt;&gt;"&amp;FALSE())</f>
        <v>0</v>
      </c>
      <c r="P22" s="337"/>
      <c r="Q22" s="339"/>
    </row>
    <row r="23" spans="1:17">
      <c r="A23" s="1" t="s">
        <v>291</v>
      </c>
      <c r="B23" s="320">
        <v>4</v>
      </c>
      <c r="C23" s="77">
        <v>13</v>
      </c>
      <c r="D23" s="321" t="s">
        <v>246</v>
      </c>
      <c r="E23" s="321">
        <v>323102</v>
      </c>
      <c r="F23" s="78" t="s">
        <v>221</v>
      </c>
      <c r="G23" s="78" t="s">
        <v>220</v>
      </c>
      <c r="H23" s="79">
        <v>4</v>
      </c>
      <c r="I23" s="80">
        <f t="shared" si="3"/>
        <v>6002.76</v>
      </c>
      <c r="J23" s="81">
        <f t="shared" si="4"/>
        <v>24011.040000000001</v>
      </c>
      <c r="K23" s="81">
        <f t="shared" si="5"/>
        <v>72033.119999999995</v>
      </c>
      <c r="L23" s="81">
        <f t="shared" si="6"/>
        <v>288132.47999999998</v>
      </c>
      <c r="M23" s="322">
        <f>SUM(L23:L25)</f>
        <v>304985.27999999997</v>
      </c>
      <c r="N23" s="1" t="b">
        <f>IF(Proposta!$A$15=A23,C23)</f>
        <v>0</v>
      </c>
      <c r="O23" s="1">
        <f>COUNTIF($N$11:N23,"&lt;&gt;"&amp;FALSE())</f>
        <v>0</v>
      </c>
      <c r="P23" s="337">
        <v>305025.59999999998</v>
      </c>
      <c r="Q23" s="338" t="s">
        <v>351</v>
      </c>
    </row>
    <row r="24" spans="1:17">
      <c r="A24" s="1" t="s">
        <v>291</v>
      </c>
      <c r="B24" s="320"/>
      <c r="C24" s="77">
        <v>14</v>
      </c>
      <c r="D24" s="321"/>
      <c r="E24" s="321"/>
      <c r="F24" s="78" t="s">
        <v>225</v>
      </c>
      <c r="G24" s="78" t="s">
        <v>226</v>
      </c>
      <c r="H24" s="79">
        <v>2</v>
      </c>
      <c r="I24" s="80">
        <f t="shared" si="3"/>
        <v>162.05000000000001</v>
      </c>
      <c r="J24" s="81">
        <f t="shared" si="4"/>
        <v>324.10000000000002</v>
      </c>
      <c r="K24" s="81">
        <f t="shared" si="5"/>
        <v>1944.6000000000001</v>
      </c>
      <c r="L24" s="81">
        <f t="shared" si="6"/>
        <v>3889.2000000000003</v>
      </c>
      <c r="M24" s="322"/>
      <c r="N24" s="1" t="b">
        <f>IF(Proposta!$A$15=A24,C24)</f>
        <v>0</v>
      </c>
      <c r="O24" s="1">
        <f>COUNTIF($N$11:N24,"&lt;&gt;"&amp;FALSE())</f>
        <v>0</v>
      </c>
      <c r="P24" s="337"/>
      <c r="Q24" s="338"/>
    </row>
    <row r="25" spans="1:17">
      <c r="A25" s="1" t="s">
        <v>291</v>
      </c>
      <c r="B25" s="320"/>
      <c r="C25" s="77">
        <v>15</v>
      </c>
      <c r="D25" s="321"/>
      <c r="E25" s="321"/>
      <c r="F25" s="78" t="s">
        <v>227</v>
      </c>
      <c r="G25" s="78" t="s">
        <v>226</v>
      </c>
      <c r="H25" s="79">
        <v>5</v>
      </c>
      <c r="I25" s="80">
        <f t="shared" si="3"/>
        <v>216.06</v>
      </c>
      <c r="J25" s="81">
        <f t="shared" si="4"/>
        <v>1080.3</v>
      </c>
      <c r="K25" s="81">
        <f t="shared" si="5"/>
        <v>2592.7200000000003</v>
      </c>
      <c r="L25" s="81">
        <f t="shared" si="6"/>
        <v>12963.600000000002</v>
      </c>
      <c r="M25" s="322"/>
      <c r="N25" s="1" t="b">
        <f>IF(Proposta!$A$15=A25,C25)</f>
        <v>0</v>
      </c>
      <c r="O25" s="1">
        <f>COUNTIF($N$11:N25,"&lt;&gt;"&amp;FALSE())</f>
        <v>0</v>
      </c>
      <c r="P25" s="337"/>
      <c r="Q25" s="338"/>
    </row>
    <row r="26" spans="1:17">
      <c r="A26" s="1" t="s">
        <v>292</v>
      </c>
      <c r="B26" s="328">
        <v>5</v>
      </c>
      <c r="C26" s="83">
        <v>16</v>
      </c>
      <c r="D26" s="329" t="s">
        <v>247</v>
      </c>
      <c r="E26" s="329">
        <v>393001</v>
      </c>
      <c r="F26" s="84" t="s">
        <v>219</v>
      </c>
      <c r="G26" s="84" t="s">
        <v>220</v>
      </c>
      <c r="H26" s="85">
        <v>8</v>
      </c>
      <c r="I26" s="90">
        <f t="shared" si="3"/>
        <v>5368.39</v>
      </c>
      <c r="J26" s="87">
        <f t="shared" si="4"/>
        <v>42947.12</v>
      </c>
      <c r="K26" s="87">
        <f t="shared" si="5"/>
        <v>64420.680000000008</v>
      </c>
      <c r="L26" s="87">
        <f t="shared" si="6"/>
        <v>515365.44000000006</v>
      </c>
      <c r="M26" s="327">
        <f>SUM(L26:L28)</f>
        <v>644355.00000000012</v>
      </c>
      <c r="N26" s="1" t="b">
        <f>IF(Proposta!$A$15=A26,C26)</f>
        <v>0</v>
      </c>
      <c r="O26" s="1">
        <f>COUNTIF($N$11:N26,"&lt;&gt;"&amp;FALSE())</f>
        <v>0</v>
      </c>
      <c r="P26" s="337">
        <v>645553.80000000005</v>
      </c>
      <c r="Q26" s="338" t="s">
        <v>351</v>
      </c>
    </row>
    <row r="27" spans="1:17">
      <c r="A27" s="1" t="s">
        <v>292</v>
      </c>
      <c r="B27" s="328"/>
      <c r="C27" s="83">
        <v>17</v>
      </c>
      <c r="D27" s="329"/>
      <c r="E27" s="329"/>
      <c r="F27" s="84" t="s">
        <v>225</v>
      </c>
      <c r="G27" s="84" t="s">
        <v>226</v>
      </c>
      <c r="H27" s="85">
        <v>29</v>
      </c>
      <c r="I27" s="90">
        <f t="shared" si="3"/>
        <v>162.05000000000001</v>
      </c>
      <c r="J27" s="87">
        <f t="shared" si="4"/>
        <v>4699.4500000000007</v>
      </c>
      <c r="K27" s="87">
        <f t="shared" si="5"/>
        <v>1944.6000000000001</v>
      </c>
      <c r="L27" s="87">
        <f t="shared" si="6"/>
        <v>56393.4</v>
      </c>
      <c r="M27" s="327"/>
      <c r="N27" s="1" t="b">
        <f>IF(Proposta!$A$15=A27,C27)</f>
        <v>0</v>
      </c>
      <c r="O27" s="1">
        <f>COUNTIF($N$11:N27,"&lt;&gt;"&amp;FALSE())</f>
        <v>0</v>
      </c>
      <c r="P27" s="337"/>
      <c r="Q27" s="339"/>
    </row>
    <row r="28" spans="1:17">
      <c r="A28" s="1" t="s">
        <v>292</v>
      </c>
      <c r="B28" s="328"/>
      <c r="C28" s="83">
        <v>18</v>
      </c>
      <c r="D28" s="329"/>
      <c r="E28" s="329"/>
      <c r="F28" s="84" t="s">
        <v>227</v>
      </c>
      <c r="G28" s="84" t="s">
        <v>226</v>
      </c>
      <c r="H28" s="85">
        <v>28</v>
      </c>
      <c r="I28" s="90">
        <f t="shared" si="3"/>
        <v>216.06</v>
      </c>
      <c r="J28" s="87">
        <f t="shared" si="4"/>
        <v>6049.68</v>
      </c>
      <c r="K28" s="87">
        <f t="shared" si="5"/>
        <v>2592.7200000000003</v>
      </c>
      <c r="L28" s="87">
        <f t="shared" si="6"/>
        <v>72596.160000000003</v>
      </c>
      <c r="M28" s="327"/>
      <c r="N28" s="1" t="b">
        <f>IF(Proposta!$A$15=A28,C28)</f>
        <v>0</v>
      </c>
      <c r="O28" s="1">
        <f>COUNTIF($N$11:N28,"&lt;&gt;"&amp;FALSE())</f>
        <v>0</v>
      </c>
      <c r="P28" s="337"/>
      <c r="Q28" s="339"/>
    </row>
    <row r="29" spans="1:17">
      <c r="A29" s="1" t="s">
        <v>293</v>
      </c>
      <c r="B29" s="320">
        <v>6</v>
      </c>
      <c r="C29" s="77">
        <v>19</v>
      </c>
      <c r="D29" s="321" t="s">
        <v>248</v>
      </c>
      <c r="E29" s="321">
        <v>370003</v>
      </c>
      <c r="F29" s="78" t="s">
        <v>219</v>
      </c>
      <c r="G29" s="78" t="s">
        <v>220</v>
      </c>
      <c r="H29" s="79">
        <v>2</v>
      </c>
      <c r="I29" s="80">
        <f t="shared" si="3"/>
        <v>5368.39</v>
      </c>
      <c r="J29" s="81">
        <f t="shared" si="4"/>
        <v>10736.78</v>
      </c>
      <c r="K29" s="81">
        <f t="shared" si="5"/>
        <v>64420.680000000008</v>
      </c>
      <c r="L29" s="81">
        <f t="shared" si="6"/>
        <v>128841.36000000002</v>
      </c>
      <c r="M29" s="322">
        <f>SUM(L29:L34)</f>
        <v>501916.91999999993</v>
      </c>
      <c r="N29" s="1" t="b">
        <f>IF(Proposta!$A$15=A29,C29)</f>
        <v>0</v>
      </c>
      <c r="O29" s="1">
        <f>COUNTIF($N$11:N29,"&lt;&gt;"&amp;FALSE())</f>
        <v>0</v>
      </c>
      <c r="P29" s="337">
        <v>502305.24</v>
      </c>
      <c r="Q29" s="338" t="s">
        <v>351</v>
      </c>
    </row>
    <row r="30" spans="1:17">
      <c r="A30" s="1" t="s">
        <v>293</v>
      </c>
      <c r="B30" s="320"/>
      <c r="C30" s="77">
        <v>20</v>
      </c>
      <c r="D30" s="321"/>
      <c r="E30" s="321"/>
      <c r="F30" s="78" t="s">
        <v>221</v>
      </c>
      <c r="G30" s="78" t="s">
        <v>220</v>
      </c>
      <c r="H30" s="79">
        <v>2</v>
      </c>
      <c r="I30" s="80">
        <f t="shared" si="3"/>
        <v>6002.76</v>
      </c>
      <c r="J30" s="81">
        <f t="shared" si="4"/>
        <v>12005.52</v>
      </c>
      <c r="K30" s="81">
        <f t="shared" si="5"/>
        <v>72033.119999999995</v>
      </c>
      <c r="L30" s="81">
        <f t="shared" si="6"/>
        <v>144066.23999999999</v>
      </c>
      <c r="M30" s="322"/>
      <c r="N30" s="1" t="b">
        <f>IF(Proposta!$A$15=A30,C30)</f>
        <v>0</v>
      </c>
      <c r="O30" s="1">
        <f>COUNTIF($N$11:N30,"&lt;&gt;"&amp;FALSE())</f>
        <v>0</v>
      </c>
      <c r="P30" s="337"/>
      <c r="Q30" s="339"/>
    </row>
    <row r="31" spans="1:17">
      <c r="A31" s="1" t="s">
        <v>293</v>
      </c>
      <c r="B31" s="320"/>
      <c r="C31" s="77">
        <v>21</v>
      </c>
      <c r="D31" s="321"/>
      <c r="E31" s="321"/>
      <c r="F31" s="78" t="s">
        <v>222</v>
      </c>
      <c r="G31" s="78" t="s">
        <v>220</v>
      </c>
      <c r="H31" s="79">
        <v>2</v>
      </c>
      <c r="I31" s="80">
        <f t="shared" si="3"/>
        <v>6356.86</v>
      </c>
      <c r="J31" s="81">
        <f t="shared" si="4"/>
        <v>12713.72</v>
      </c>
      <c r="K31" s="81">
        <f t="shared" si="5"/>
        <v>76282.319999999992</v>
      </c>
      <c r="L31" s="81">
        <f t="shared" si="6"/>
        <v>152564.63999999998</v>
      </c>
      <c r="M31" s="322"/>
      <c r="N31" s="1" t="b">
        <f>IF(Proposta!$A$15=A31,C31)</f>
        <v>0</v>
      </c>
      <c r="O31" s="1">
        <f>COUNTIF($N$11:N31,"&lt;&gt;"&amp;FALSE())</f>
        <v>0</v>
      </c>
      <c r="P31" s="337"/>
      <c r="Q31" s="339"/>
    </row>
    <row r="32" spans="1:17">
      <c r="A32" s="1" t="s">
        <v>293</v>
      </c>
      <c r="B32" s="320"/>
      <c r="C32" s="77">
        <v>22</v>
      </c>
      <c r="D32" s="321"/>
      <c r="E32" s="321"/>
      <c r="F32" s="78" t="s">
        <v>223</v>
      </c>
      <c r="G32" s="78" t="s">
        <v>220</v>
      </c>
      <c r="H32" s="79">
        <v>1</v>
      </c>
      <c r="I32" s="80">
        <f t="shared" si="3"/>
        <v>5992.28</v>
      </c>
      <c r="J32" s="81">
        <f t="shared" si="4"/>
        <v>5992.28</v>
      </c>
      <c r="K32" s="81">
        <f t="shared" si="5"/>
        <v>71907.360000000001</v>
      </c>
      <c r="L32" s="81">
        <f t="shared" si="6"/>
        <v>71907.360000000001</v>
      </c>
      <c r="M32" s="322"/>
      <c r="N32" s="1" t="b">
        <f>IF(Proposta!$A$15=A32,C32)</f>
        <v>0</v>
      </c>
      <c r="O32" s="1">
        <f>COUNTIF($N$11:N32,"&lt;&gt;"&amp;FALSE())</f>
        <v>0</v>
      </c>
      <c r="P32" s="337"/>
      <c r="Q32" s="339"/>
    </row>
    <row r="33" spans="1:17">
      <c r="A33" s="1" t="s">
        <v>293</v>
      </c>
      <c r="B33" s="320"/>
      <c r="C33" s="77">
        <v>23</v>
      </c>
      <c r="D33" s="321"/>
      <c r="E33" s="321"/>
      <c r="F33" s="78" t="s">
        <v>225</v>
      </c>
      <c r="G33" s="78" t="s">
        <v>226</v>
      </c>
      <c r="H33" s="79">
        <v>1</v>
      </c>
      <c r="I33" s="80">
        <f t="shared" si="3"/>
        <v>162.05000000000001</v>
      </c>
      <c r="J33" s="81">
        <f t="shared" si="4"/>
        <v>162.05000000000001</v>
      </c>
      <c r="K33" s="81">
        <f t="shared" si="5"/>
        <v>1944.6000000000001</v>
      </c>
      <c r="L33" s="81">
        <f t="shared" si="6"/>
        <v>1944.6000000000001</v>
      </c>
      <c r="M33" s="322"/>
      <c r="N33" s="1" t="b">
        <f>IF(Proposta!$A$15=A33,C33)</f>
        <v>0</v>
      </c>
      <c r="O33" s="1">
        <f>COUNTIF($N$11:N33,"&lt;&gt;"&amp;FALSE())</f>
        <v>0</v>
      </c>
      <c r="P33" s="337"/>
      <c r="Q33" s="339"/>
    </row>
    <row r="34" spans="1:17">
      <c r="A34" s="1" t="s">
        <v>293</v>
      </c>
      <c r="B34" s="320"/>
      <c r="C34" s="77">
        <v>24</v>
      </c>
      <c r="D34" s="321"/>
      <c r="E34" s="321"/>
      <c r="F34" s="78" t="s">
        <v>227</v>
      </c>
      <c r="G34" s="78" t="s">
        <v>226</v>
      </c>
      <c r="H34" s="79">
        <v>1</v>
      </c>
      <c r="I34" s="80">
        <f t="shared" si="3"/>
        <v>216.06</v>
      </c>
      <c r="J34" s="81">
        <f t="shared" si="4"/>
        <v>216.06</v>
      </c>
      <c r="K34" s="81">
        <f t="shared" si="5"/>
        <v>2592.7200000000003</v>
      </c>
      <c r="L34" s="81">
        <f t="shared" si="6"/>
        <v>2592.7200000000003</v>
      </c>
      <c r="M34" s="322"/>
      <c r="N34" s="1" t="b">
        <f>IF(Proposta!$A$15=A34,C34)</f>
        <v>0</v>
      </c>
      <c r="O34" s="1">
        <f>COUNTIF($N$11:N34,"&lt;&gt;"&amp;FALSE())</f>
        <v>0</v>
      </c>
      <c r="P34" s="337"/>
      <c r="Q34" s="339"/>
    </row>
    <row r="35" spans="1:17">
      <c r="A35" s="1" t="s">
        <v>294</v>
      </c>
      <c r="B35" s="91" t="s">
        <v>12</v>
      </c>
      <c r="C35" s="83">
        <v>25</v>
      </c>
      <c r="D35" s="92" t="s">
        <v>249</v>
      </c>
      <c r="E35" s="92">
        <v>200326</v>
      </c>
      <c r="F35" s="84" t="s">
        <v>219</v>
      </c>
      <c r="G35" s="84" t="s">
        <v>220</v>
      </c>
      <c r="H35" s="85">
        <v>2</v>
      </c>
      <c r="I35" s="90">
        <f t="shared" si="3"/>
        <v>5368.39</v>
      </c>
      <c r="J35" s="87">
        <f t="shared" si="4"/>
        <v>10736.78</v>
      </c>
      <c r="K35" s="87">
        <f t="shared" si="5"/>
        <v>64420.680000000008</v>
      </c>
      <c r="L35" s="87">
        <f t="shared" si="6"/>
        <v>128841.36000000002</v>
      </c>
      <c r="M35" s="87">
        <f>SUM(L35)</f>
        <v>128841.36000000002</v>
      </c>
      <c r="N35" s="1" t="b">
        <f>IF(Proposta!$A$15=A35,C35)</f>
        <v>0</v>
      </c>
      <c r="O35" s="1">
        <f>COUNTIF($N$11:N35,"&lt;&gt;"&amp;FALSE())</f>
        <v>0</v>
      </c>
      <c r="P35" s="166">
        <v>129064.32000000001</v>
      </c>
      <c r="Q35" s="167" t="s">
        <v>351</v>
      </c>
    </row>
    <row r="36" spans="1:17">
      <c r="A36" s="1" t="s">
        <v>295</v>
      </c>
      <c r="B36" s="93"/>
      <c r="C36" s="77"/>
      <c r="D36" s="94"/>
      <c r="E36" s="94"/>
      <c r="F36" s="78"/>
      <c r="G36" s="78"/>
      <c r="H36" s="79"/>
      <c r="I36" s="80"/>
      <c r="J36" s="81"/>
      <c r="K36" s="81"/>
      <c r="L36" s="81"/>
      <c r="M36" s="81"/>
      <c r="N36" s="1" t="b">
        <f>IF(Proposta!$A$15=A36,C36)</f>
        <v>0</v>
      </c>
      <c r="O36" s="1">
        <f>COUNTIF($N$11:N36,"&lt;&gt;"&amp;FALSE())</f>
        <v>0</v>
      </c>
    </row>
    <row r="37" spans="1:17">
      <c r="A37" s="1" t="s">
        <v>296</v>
      </c>
      <c r="B37" s="328">
        <v>7</v>
      </c>
      <c r="C37" s="83">
        <v>27</v>
      </c>
      <c r="D37" s="326" t="s">
        <v>250</v>
      </c>
      <c r="E37" s="326">
        <v>154040</v>
      </c>
      <c r="F37" s="84" t="s">
        <v>221</v>
      </c>
      <c r="G37" s="84" t="s">
        <v>220</v>
      </c>
      <c r="H37" s="95">
        <v>3</v>
      </c>
      <c r="I37" s="90">
        <f t="shared" si="3"/>
        <v>6002.76</v>
      </c>
      <c r="J37" s="87">
        <f t="shared" si="4"/>
        <v>18008.28</v>
      </c>
      <c r="K37" s="87">
        <f t="shared" si="5"/>
        <v>72033.119999999995</v>
      </c>
      <c r="L37" s="87">
        <f t="shared" si="6"/>
        <v>216099.36</v>
      </c>
      <c r="M37" s="327">
        <f>SUM(L37:L39)</f>
        <v>1514687.52</v>
      </c>
      <c r="N37" s="1" t="b">
        <f>IF(Proposta!$A$15=A37,C37)</f>
        <v>0</v>
      </c>
      <c r="O37" s="1">
        <f>COUNTIF($N$11:N37,"&lt;&gt;"&amp;FALSE())</f>
        <v>0</v>
      </c>
      <c r="P37" s="337">
        <v>1517312.4</v>
      </c>
      <c r="Q37" s="338" t="s">
        <v>351</v>
      </c>
    </row>
    <row r="38" spans="1:17">
      <c r="A38" s="1" t="s">
        <v>296</v>
      </c>
      <c r="B38" s="328"/>
      <c r="C38" s="83">
        <v>28</v>
      </c>
      <c r="D38" s="326"/>
      <c r="E38" s="326"/>
      <c r="F38" s="84" t="s">
        <v>223</v>
      </c>
      <c r="G38" s="84" t="s">
        <v>220</v>
      </c>
      <c r="H38" s="95">
        <v>17</v>
      </c>
      <c r="I38" s="90">
        <f t="shared" si="3"/>
        <v>5992.28</v>
      </c>
      <c r="J38" s="87">
        <f t="shared" si="4"/>
        <v>101868.76</v>
      </c>
      <c r="K38" s="87">
        <f t="shared" si="5"/>
        <v>71907.360000000001</v>
      </c>
      <c r="L38" s="87">
        <f t="shared" si="6"/>
        <v>1222425.1200000001</v>
      </c>
      <c r="M38" s="327"/>
      <c r="N38" s="1" t="b">
        <f>IF(Proposta!$A$15=A38,C38)</f>
        <v>0</v>
      </c>
      <c r="O38" s="1">
        <f>COUNTIF($N$11:N38,"&lt;&gt;"&amp;FALSE())</f>
        <v>0</v>
      </c>
      <c r="P38" s="337"/>
      <c r="Q38" s="339"/>
    </row>
    <row r="39" spans="1:17">
      <c r="A39" s="1" t="s">
        <v>296</v>
      </c>
      <c r="B39" s="328"/>
      <c r="C39" s="83">
        <v>29</v>
      </c>
      <c r="D39" s="326"/>
      <c r="E39" s="326"/>
      <c r="F39" s="84" t="s">
        <v>224</v>
      </c>
      <c r="G39" s="84" t="s">
        <v>220</v>
      </c>
      <c r="H39" s="95">
        <v>1</v>
      </c>
      <c r="I39" s="90">
        <f t="shared" si="3"/>
        <v>6346.92</v>
      </c>
      <c r="J39" s="87">
        <f t="shared" si="4"/>
        <v>6346.92</v>
      </c>
      <c r="K39" s="87">
        <f t="shared" si="5"/>
        <v>76163.040000000008</v>
      </c>
      <c r="L39" s="87">
        <f t="shared" si="6"/>
        <v>76163.040000000008</v>
      </c>
      <c r="M39" s="327"/>
      <c r="N39" s="1" t="b">
        <f>IF(Proposta!$A$15=A39,C39)</f>
        <v>0</v>
      </c>
      <c r="O39" s="1">
        <f>COUNTIF($N$11:N39,"&lt;&gt;"&amp;FALSE())</f>
        <v>0</v>
      </c>
      <c r="P39" s="337"/>
      <c r="Q39" s="339"/>
    </row>
    <row r="40" spans="1:17">
      <c r="A40" s="1" t="s">
        <v>297</v>
      </c>
      <c r="B40" s="320">
        <v>8</v>
      </c>
      <c r="C40" s="77">
        <v>30</v>
      </c>
      <c r="D40" s="321" t="s">
        <v>251</v>
      </c>
      <c r="E40" s="321">
        <v>194035</v>
      </c>
      <c r="F40" s="78" t="s">
        <v>221</v>
      </c>
      <c r="G40" s="78" t="s">
        <v>220</v>
      </c>
      <c r="H40" s="79">
        <v>6</v>
      </c>
      <c r="I40" s="80">
        <f t="shared" si="3"/>
        <v>6002.76</v>
      </c>
      <c r="J40" s="81">
        <f t="shared" si="4"/>
        <v>36016.559999999998</v>
      </c>
      <c r="K40" s="81">
        <f t="shared" si="5"/>
        <v>72033.119999999995</v>
      </c>
      <c r="L40" s="81">
        <f t="shared" si="6"/>
        <v>432198.72</v>
      </c>
      <c r="M40" s="322">
        <f>SUM(L40:L42)</f>
        <v>456181.55999999994</v>
      </c>
      <c r="N40" s="1" t="b">
        <f>IF(Proposta!$A$15=A40,C40)</f>
        <v>0</v>
      </c>
      <c r="O40" s="1">
        <f>COUNTIF($N$11:N40,"&lt;&gt;"&amp;FALSE())</f>
        <v>0</v>
      </c>
      <c r="P40" s="337">
        <v>456238.92</v>
      </c>
      <c r="Q40" s="338" t="s">
        <v>351</v>
      </c>
    </row>
    <row r="41" spans="1:17">
      <c r="A41" s="1" t="s">
        <v>297</v>
      </c>
      <c r="B41" s="320"/>
      <c r="C41" s="77">
        <v>31</v>
      </c>
      <c r="D41" s="321"/>
      <c r="E41" s="321"/>
      <c r="F41" s="78" t="s">
        <v>225</v>
      </c>
      <c r="G41" s="78" t="s">
        <v>226</v>
      </c>
      <c r="H41" s="79">
        <v>3</v>
      </c>
      <c r="I41" s="80">
        <f t="shared" si="3"/>
        <v>162.05000000000001</v>
      </c>
      <c r="J41" s="81">
        <f t="shared" si="4"/>
        <v>486.15000000000003</v>
      </c>
      <c r="K41" s="81">
        <f t="shared" si="5"/>
        <v>1944.6000000000001</v>
      </c>
      <c r="L41" s="81">
        <f t="shared" si="6"/>
        <v>5833.8</v>
      </c>
      <c r="M41" s="322"/>
      <c r="N41" s="1" t="b">
        <f>IF(Proposta!$A$15=A41,C41)</f>
        <v>0</v>
      </c>
      <c r="O41" s="1">
        <f>COUNTIF($N$11:N41,"&lt;&gt;"&amp;FALSE())</f>
        <v>0</v>
      </c>
      <c r="P41" s="337"/>
      <c r="Q41" s="339"/>
    </row>
    <row r="42" spans="1:17">
      <c r="A42" s="1" t="s">
        <v>297</v>
      </c>
      <c r="B42" s="320"/>
      <c r="C42" s="77">
        <v>32</v>
      </c>
      <c r="D42" s="321"/>
      <c r="E42" s="321"/>
      <c r="F42" s="78" t="s">
        <v>227</v>
      </c>
      <c r="G42" s="78" t="s">
        <v>226</v>
      </c>
      <c r="H42" s="79">
        <v>7</v>
      </c>
      <c r="I42" s="80">
        <f t="shared" si="3"/>
        <v>216.06</v>
      </c>
      <c r="J42" s="81">
        <f t="shared" si="4"/>
        <v>1512.42</v>
      </c>
      <c r="K42" s="81">
        <f t="shared" si="5"/>
        <v>2592.7200000000003</v>
      </c>
      <c r="L42" s="81">
        <f t="shared" si="6"/>
        <v>18149.04</v>
      </c>
      <c r="M42" s="322"/>
      <c r="N42" s="1" t="b">
        <f>IF(Proposta!$A$15=A42,C42)</f>
        <v>0</v>
      </c>
      <c r="O42" s="1">
        <f>COUNTIF($N$11:N42,"&lt;&gt;"&amp;FALSE())</f>
        <v>0</v>
      </c>
      <c r="P42" s="337"/>
      <c r="Q42" s="339"/>
    </row>
    <row r="43" spans="1:17">
      <c r="A43" s="1" t="s">
        <v>298</v>
      </c>
      <c r="B43" s="328">
        <v>9</v>
      </c>
      <c r="C43" s="83">
        <v>33</v>
      </c>
      <c r="D43" s="329" t="s">
        <v>252</v>
      </c>
      <c r="E43" s="329">
        <v>403201</v>
      </c>
      <c r="F43" s="84" t="s">
        <v>221</v>
      </c>
      <c r="G43" s="84" t="s">
        <v>220</v>
      </c>
      <c r="H43" s="85">
        <v>1</v>
      </c>
      <c r="I43" s="90">
        <f t="shared" ref="I43:I74" si="7">VLOOKUP(F43,$B$2:$I$8,7,FALSE())</f>
        <v>6002.76</v>
      </c>
      <c r="J43" s="87">
        <f t="shared" ref="J43:J74" si="8">I43*H43</f>
        <v>6002.76</v>
      </c>
      <c r="K43" s="87">
        <f t="shared" ref="K43:K74" si="9">I43*12</f>
        <v>72033.119999999995</v>
      </c>
      <c r="L43" s="87">
        <f t="shared" ref="L43:L74" si="10">K43*H43</f>
        <v>72033.119999999995</v>
      </c>
      <c r="M43" s="327">
        <f>SUM(L43:L45)</f>
        <v>84348.84</v>
      </c>
      <c r="N43" s="1" t="b">
        <f>IF(Proposta!$A$15=A43,C43)</f>
        <v>0</v>
      </c>
      <c r="O43" s="1">
        <f>COUNTIF($N$11:N43,"&lt;&gt;"&amp;FALSE())</f>
        <v>0</v>
      </c>
      <c r="P43" s="337">
        <v>84377.88</v>
      </c>
      <c r="Q43" s="338" t="s">
        <v>351</v>
      </c>
    </row>
    <row r="44" spans="1:17">
      <c r="A44" s="1" t="s">
        <v>298</v>
      </c>
      <c r="B44" s="328"/>
      <c r="C44" s="83">
        <v>34</v>
      </c>
      <c r="D44" s="329"/>
      <c r="E44" s="329"/>
      <c r="F44" s="84" t="s">
        <v>225</v>
      </c>
      <c r="G44" s="84" t="s">
        <v>226</v>
      </c>
      <c r="H44" s="85">
        <v>5</v>
      </c>
      <c r="I44" s="90">
        <f t="shared" si="7"/>
        <v>162.05000000000001</v>
      </c>
      <c r="J44" s="87">
        <f t="shared" si="8"/>
        <v>810.25</v>
      </c>
      <c r="K44" s="87">
        <f t="shared" si="9"/>
        <v>1944.6000000000001</v>
      </c>
      <c r="L44" s="87">
        <f t="shared" si="10"/>
        <v>9723</v>
      </c>
      <c r="M44" s="327"/>
      <c r="N44" s="1" t="b">
        <f>IF(Proposta!$A$15=A44,C44)</f>
        <v>0</v>
      </c>
      <c r="O44" s="1">
        <f>COUNTIF($N$11:N44,"&lt;&gt;"&amp;FALSE())</f>
        <v>0</v>
      </c>
      <c r="P44" s="337"/>
      <c r="Q44" s="339"/>
    </row>
    <row r="45" spans="1:17">
      <c r="A45" s="1" t="s">
        <v>298</v>
      </c>
      <c r="B45" s="328"/>
      <c r="C45" s="83">
        <v>35</v>
      </c>
      <c r="D45" s="329"/>
      <c r="E45" s="329"/>
      <c r="F45" s="84" t="s">
        <v>227</v>
      </c>
      <c r="G45" s="84" t="s">
        <v>226</v>
      </c>
      <c r="H45" s="85">
        <v>1</v>
      </c>
      <c r="I45" s="90">
        <f t="shared" si="7"/>
        <v>216.06</v>
      </c>
      <c r="J45" s="87">
        <f t="shared" si="8"/>
        <v>216.06</v>
      </c>
      <c r="K45" s="87">
        <f t="shared" si="9"/>
        <v>2592.7200000000003</v>
      </c>
      <c r="L45" s="87">
        <f t="shared" si="10"/>
        <v>2592.7200000000003</v>
      </c>
      <c r="M45" s="327"/>
      <c r="N45" s="1" t="b">
        <f>IF(Proposta!$A$15=A45,C45)</f>
        <v>0</v>
      </c>
      <c r="O45" s="1">
        <f>COUNTIF($N$11:N45,"&lt;&gt;"&amp;FALSE())</f>
        <v>0</v>
      </c>
      <c r="P45" s="337"/>
      <c r="Q45" s="339"/>
    </row>
    <row r="46" spans="1:17">
      <c r="A46" s="1" t="s">
        <v>299</v>
      </c>
      <c r="B46" s="320">
        <v>10</v>
      </c>
      <c r="C46" s="77">
        <v>36</v>
      </c>
      <c r="D46" s="324" t="s">
        <v>253</v>
      </c>
      <c r="E46" s="324">
        <v>240121</v>
      </c>
      <c r="F46" s="78" t="s">
        <v>219</v>
      </c>
      <c r="G46" s="78" t="s">
        <v>220</v>
      </c>
      <c r="H46" s="79">
        <v>2</v>
      </c>
      <c r="I46" s="80">
        <f t="shared" si="7"/>
        <v>5368.39</v>
      </c>
      <c r="J46" s="81">
        <f t="shared" si="8"/>
        <v>10736.78</v>
      </c>
      <c r="K46" s="81">
        <f t="shared" si="9"/>
        <v>64420.680000000008</v>
      </c>
      <c r="L46" s="81">
        <f t="shared" si="10"/>
        <v>128841.36000000002</v>
      </c>
      <c r="M46" s="322">
        <f>SUM(L46:L47)</f>
        <v>177456.36000000002</v>
      </c>
      <c r="N46" s="1">
        <f>IF(Proposta!$A$15=A46,C46)</f>
        <v>36</v>
      </c>
      <c r="O46" s="1">
        <f>COUNTIF($N$11:N46,"&lt;&gt;"&amp;FALSE())</f>
        <v>1</v>
      </c>
      <c r="P46" s="337">
        <v>177793.32</v>
      </c>
      <c r="Q46" s="338" t="s">
        <v>351</v>
      </c>
    </row>
    <row r="47" spans="1:17">
      <c r="A47" s="1" t="s">
        <v>299</v>
      </c>
      <c r="B47" s="320"/>
      <c r="C47" s="77">
        <v>37</v>
      </c>
      <c r="D47" s="324"/>
      <c r="E47" s="324"/>
      <c r="F47" s="78" t="s">
        <v>225</v>
      </c>
      <c r="G47" s="78" t="s">
        <v>226</v>
      </c>
      <c r="H47" s="79">
        <v>25</v>
      </c>
      <c r="I47" s="80">
        <f t="shared" si="7"/>
        <v>162.05000000000001</v>
      </c>
      <c r="J47" s="81">
        <f t="shared" si="8"/>
        <v>4051.2500000000005</v>
      </c>
      <c r="K47" s="81">
        <f t="shared" si="9"/>
        <v>1944.6000000000001</v>
      </c>
      <c r="L47" s="81">
        <f t="shared" si="10"/>
        <v>48615</v>
      </c>
      <c r="M47" s="322"/>
      <c r="N47" s="1">
        <f>IF(Proposta!$A$15=A47,C47)</f>
        <v>37</v>
      </c>
      <c r="O47" s="1">
        <f>COUNTIF($N$11:N47,"&lt;&gt;"&amp;FALSE())</f>
        <v>2</v>
      </c>
      <c r="P47" s="337"/>
      <c r="Q47" s="339"/>
    </row>
    <row r="48" spans="1:17">
      <c r="A48" s="1" t="s">
        <v>300</v>
      </c>
      <c r="B48" s="328">
        <v>11</v>
      </c>
      <c r="C48" s="83">
        <v>38</v>
      </c>
      <c r="D48" s="326" t="s">
        <v>254</v>
      </c>
      <c r="E48" s="326">
        <v>133088</v>
      </c>
      <c r="F48" s="84" t="s">
        <v>221</v>
      </c>
      <c r="G48" s="84" t="s">
        <v>220</v>
      </c>
      <c r="H48" s="85">
        <v>3</v>
      </c>
      <c r="I48" s="90">
        <f t="shared" si="7"/>
        <v>6002.76</v>
      </c>
      <c r="J48" s="87">
        <f t="shared" si="8"/>
        <v>18008.28</v>
      </c>
      <c r="K48" s="87">
        <f t="shared" si="9"/>
        <v>72033.119999999995</v>
      </c>
      <c r="L48" s="87">
        <f t="shared" si="10"/>
        <v>216099.36</v>
      </c>
      <c r="M48" s="327">
        <f>SUM(L48:L51)</f>
        <v>509116.68</v>
      </c>
      <c r="N48" s="1" t="b">
        <f>IF(Proposta!$A$15=A48,C48)</f>
        <v>0</v>
      </c>
      <c r="O48" s="1">
        <f>COUNTIF($N$11:N48,"&lt;&gt;"&amp;FALSE())</f>
        <v>2</v>
      </c>
      <c r="P48" s="337">
        <v>509313.24</v>
      </c>
      <c r="Q48" s="338" t="s">
        <v>351</v>
      </c>
    </row>
    <row r="49" spans="1:17">
      <c r="A49" s="1" t="s">
        <v>300</v>
      </c>
      <c r="B49" s="328"/>
      <c r="C49" s="83">
        <v>39</v>
      </c>
      <c r="D49" s="326"/>
      <c r="E49" s="326"/>
      <c r="F49" s="84" t="s">
        <v>222</v>
      </c>
      <c r="G49" s="84" t="s">
        <v>220</v>
      </c>
      <c r="H49" s="85">
        <v>3</v>
      </c>
      <c r="I49" s="90">
        <f t="shared" si="7"/>
        <v>6356.86</v>
      </c>
      <c r="J49" s="87">
        <f t="shared" si="8"/>
        <v>19070.579999999998</v>
      </c>
      <c r="K49" s="87">
        <f t="shared" si="9"/>
        <v>76282.319999999992</v>
      </c>
      <c r="L49" s="87">
        <f t="shared" si="10"/>
        <v>228846.95999999996</v>
      </c>
      <c r="M49" s="327"/>
      <c r="N49" s="1" t="b">
        <f>IF(Proposta!$A$15=A49,C49)</f>
        <v>0</v>
      </c>
      <c r="O49" s="1">
        <f>COUNTIF($N$11:N49,"&lt;&gt;"&amp;FALSE())</f>
        <v>2</v>
      </c>
      <c r="P49" s="337"/>
      <c r="Q49" s="339"/>
    </row>
    <row r="50" spans="1:17">
      <c r="A50" s="1" t="s">
        <v>300</v>
      </c>
      <c r="B50" s="328"/>
      <c r="C50" s="83">
        <v>40</v>
      </c>
      <c r="D50" s="326"/>
      <c r="E50" s="326"/>
      <c r="F50" s="84" t="s">
        <v>225</v>
      </c>
      <c r="G50" s="84" t="s">
        <v>226</v>
      </c>
      <c r="H50" s="85">
        <v>9</v>
      </c>
      <c r="I50" s="90">
        <f t="shared" si="7"/>
        <v>162.05000000000001</v>
      </c>
      <c r="J50" s="87">
        <f t="shared" si="8"/>
        <v>1458.45</v>
      </c>
      <c r="K50" s="87">
        <f t="shared" si="9"/>
        <v>1944.6000000000001</v>
      </c>
      <c r="L50" s="87">
        <f t="shared" si="10"/>
        <v>17501.400000000001</v>
      </c>
      <c r="M50" s="327"/>
      <c r="N50" s="1" t="b">
        <f>IF(Proposta!$A$15=A50,C50)</f>
        <v>0</v>
      </c>
      <c r="O50" s="1">
        <f>COUNTIF($N$11:N50,"&lt;&gt;"&amp;FALSE())</f>
        <v>2</v>
      </c>
      <c r="P50" s="337"/>
      <c r="Q50" s="339"/>
    </row>
    <row r="51" spans="1:17">
      <c r="A51" s="1" t="s">
        <v>300</v>
      </c>
      <c r="B51" s="328"/>
      <c r="C51" s="83">
        <v>41</v>
      </c>
      <c r="D51" s="326"/>
      <c r="E51" s="326"/>
      <c r="F51" s="84" t="s">
        <v>227</v>
      </c>
      <c r="G51" s="84" t="s">
        <v>226</v>
      </c>
      <c r="H51" s="85">
        <v>18</v>
      </c>
      <c r="I51" s="90">
        <f t="shared" si="7"/>
        <v>216.06</v>
      </c>
      <c r="J51" s="87">
        <f t="shared" si="8"/>
        <v>3889.08</v>
      </c>
      <c r="K51" s="87">
        <f t="shared" si="9"/>
        <v>2592.7200000000003</v>
      </c>
      <c r="L51" s="87">
        <f t="shared" si="10"/>
        <v>46668.960000000006</v>
      </c>
      <c r="M51" s="327"/>
      <c r="N51" s="1" t="b">
        <f>IF(Proposta!$A$15=A51,C51)</f>
        <v>0</v>
      </c>
      <c r="O51" s="1">
        <f>COUNTIF($N$11:N51,"&lt;&gt;"&amp;FALSE())</f>
        <v>2</v>
      </c>
      <c r="P51" s="337"/>
      <c r="Q51" s="339"/>
    </row>
    <row r="52" spans="1:17">
      <c r="A52" s="1" t="s">
        <v>301</v>
      </c>
      <c r="B52" s="320">
        <v>12</v>
      </c>
      <c r="C52" s="77">
        <v>42</v>
      </c>
      <c r="D52" s="321" t="s">
        <v>255</v>
      </c>
      <c r="E52" s="321">
        <v>512006</v>
      </c>
      <c r="F52" s="78" t="s">
        <v>219</v>
      </c>
      <c r="G52" s="78" t="s">
        <v>220</v>
      </c>
      <c r="H52" s="79">
        <v>3</v>
      </c>
      <c r="I52" s="80">
        <f t="shared" si="7"/>
        <v>5368.39</v>
      </c>
      <c r="J52" s="81">
        <f t="shared" si="8"/>
        <v>16105.170000000002</v>
      </c>
      <c r="K52" s="81">
        <f t="shared" si="9"/>
        <v>64420.680000000008</v>
      </c>
      <c r="L52" s="81">
        <f t="shared" si="10"/>
        <v>193262.04000000004</v>
      </c>
      <c r="M52" s="322">
        <f>SUM(L52:L57)</f>
        <v>570749.15999999992</v>
      </c>
      <c r="N52" s="1" t="b">
        <f>IF(Proposta!$A$15=A52,C52)</f>
        <v>0</v>
      </c>
      <c r="O52" s="1">
        <f>COUNTIF($N$11:N52,"&lt;&gt;"&amp;FALSE())</f>
        <v>2</v>
      </c>
      <c r="P52" s="337">
        <v>571385.52</v>
      </c>
      <c r="Q52" s="338" t="s">
        <v>351</v>
      </c>
    </row>
    <row r="53" spans="1:17">
      <c r="A53" s="1" t="s">
        <v>301</v>
      </c>
      <c r="B53" s="320"/>
      <c r="C53" s="77">
        <v>43</v>
      </c>
      <c r="D53" s="321"/>
      <c r="E53" s="321"/>
      <c r="F53" s="78" t="s">
        <v>221</v>
      </c>
      <c r="G53" s="78" t="s">
        <v>220</v>
      </c>
      <c r="H53" s="79">
        <v>1</v>
      </c>
      <c r="I53" s="80">
        <f t="shared" si="7"/>
        <v>6002.76</v>
      </c>
      <c r="J53" s="81">
        <f t="shared" si="8"/>
        <v>6002.76</v>
      </c>
      <c r="K53" s="81">
        <f t="shared" si="9"/>
        <v>72033.119999999995</v>
      </c>
      <c r="L53" s="81">
        <f t="shared" si="10"/>
        <v>72033.119999999995</v>
      </c>
      <c r="M53" s="322"/>
      <c r="N53" s="1" t="b">
        <f>IF(Proposta!$A$15=A53,C53)</f>
        <v>0</v>
      </c>
      <c r="O53" s="1">
        <f>COUNTIF($N$11:N53,"&lt;&gt;"&amp;FALSE())</f>
        <v>2</v>
      </c>
      <c r="P53" s="337"/>
      <c r="Q53" s="339"/>
    </row>
    <row r="54" spans="1:17">
      <c r="A54" s="1" t="s">
        <v>301</v>
      </c>
      <c r="B54" s="320"/>
      <c r="C54" s="77">
        <v>44</v>
      </c>
      <c r="D54" s="321"/>
      <c r="E54" s="321"/>
      <c r="F54" s="78" t="s">
        <v>222</v>
      </c>
      <c r="G54" s="78" t="s">
        <v>220</v>
      </c>
      <c r="H54" s="79">
        <v>2</v>
      </c>
      <c r="I54" s="80">
        <f t="shared" si="7"/>
        <v>6356.86</v>
      </c>
      <c r="J54" s="81">
        <f t="shared" si="8"/>
        <v>12713.72</v>
      </c>
      <c r="K54" s="81">
        <f t="shared" si="9"/>
        <v>76282.319999999992</v>
      </c>
      <c r="L54" s="81">
        <f t="shared" si="10"/>
        <v>152564.63999999998</v>
      </c>
      <c r="M54" s="322"/>
      <c r="N54" s="1" t="b">
        <f>IF(Proposta!$A$15=A54,C54)</f>
        <v>0</v>
      </c>
      <c r="O54" s="1">
        <f>COUNTIF($N$11:N54,"&lt;&gt;"&amp;FALSE())</f>
        <v>2</v>
      </c>
      <c r="P54" s="337"/>
      <c r="Q54" s="339"/>
    </row>
    <row r="55" spans="1:17">
      <c r="A55" s="1" t="s">
        <v>301</v>
      </c>
      <c r="B55" s="320"/>
      <c r="C55" s="77">
        <v>45</v>
      </c>
      <c r="D55" s="321"/>
      <c r="E55" s="321"/>
      <c r="F55" s="78" t="s">
        <v>223</v>
      </c>
      <c r="G55" s="78" t="s">
        <v>220</v>
      </c>
      <c r="H55" s="79">
        <v>2</v>
      </c>
      <c r="I55" s="80">
        <f t="shared" si="7"/>
        <v>5992.28</v>
      </c>
      <c r="J55" s="81">
        <f t="shared" si="8"/>
        <v>11984.56</v>
      </c>
      <c r="K55" s="81">
        <f t="shared" si="9"/>
        <v>71907.360000000001</v>
      </c>
      <c r="L55" s="81">
        <f t="shared" si="10"/>
        <v>143814.72</v>
      </c>
      <c r="M55" s="322"/>
      <c r="N55" s="1" t="b">
        <f>IF(Proposta!$A$15=A55,C55)</f>
        <v>0</v>
      </c>
      <c r="O55" s="1">
        <f>COUNTIF($N$11:N55,"&lt;&gt;"&amp;FALSE())</f>
        <v>2</v>
      </c>
      <c r="P55" s="337"/>
      <c r="Q55" s="339"/>
    </row>
    <row r="56" spans="1:17">
      <c r="A56" s="1" t="s">
        <v>301</v>
      </c>
      <c r="B56" s="320"/>
      <c r="C56" s="77">
        <v>46</v>
      </c>
      <c r="D56" s="321"/>
      <c r="E56" s="321"/>
      <c r="F56" s="78" t="s">
        <v>225</v>
      </c>
      <c r="G56" s="78" t="s">
        <v>226</v>
      </c>
      <c r="H56" s="79">
        <v>2</v>
      </c>
      <c r="I56" s="80">
        <f t="shared" si="7"/>
        <v>162.05000000000001</v>
      </c>
      <c r="J56" s="81">
        <f t="shared" si="8"/>
        <v>324.10000000000002</v>
      </c>
      <c r="K56" s="81">
        <f t="shared" si="9"/>
        <v>1944.6000000000001</v>
      </c>
      <c r="L56" s="81">
        <f t="shared" si="10"/>
        <v>3889.2000000000003</v>
      </c>
      <c r="M56" s="322"/>
      <c r="N56" s="1" t="b">
        <f>IF(Proposta!$A$15=A56,C56)</f>
        <v>0</v>
      </c>
      <c r="O56" s="1">
        <f>COUNTIF($N$11:N56,"&lt;&gt;"&amp;FALSE())</f>
        <v>2</v>
      </c>
      <c r="P56" s="337"/>
      <c r="Q56" s="339"/>
    </row>
    <row r="57" spans="1:17">
      <c r="A57" s="1" t="s">
        <v>301</v>
      </c>
      <c r="B57" s="320"/>
      <c r="C57" s="77">
        <v>47</v>
      </c>
      <c r="D57" s="321"/>
      <c r="E57" s="321"/>
      <c r="F57" s="78" t="s">
        <v>227</v>
      </c>
      <c r="G57" s="78" t="s">
        <v>226</v>
      </c>
      <c r="H57" s="79">
        <v>2</v>
      </c>
      <c r="I57" s="80">
        <f t="shared" si="7"/>
        <v>216.06</v>
      </c>
      <c r="J57" s="81">
        <f t="shared" si="8"/>
        <v>432.12</v>
      </c>
      <c r="K57" s="81">
        <f t="shared" si="9"/>
        <v>2592.7200000000003</v>
      </c>
      <c r="L57" s="81">
        <f t="shared" si="10"/>
        <v>5185.4400000000005</v>
      </c>
      <c r="M57" s="322"/>
      <c r="N57" s="1" t="b">
        <f>IF(Proposta!$A$15=A57,C57)</f>
        <v>0</v>
      </c>
      <c r="O57" s="1">
        <f>COUNTIF($N$11:N57,"&lt;&gt;"&amp;FALSE())</f>
        <v>2</v>
      </c>
      <c r="P57" s="337"/>
      <c r="Q57" s="339"/>
    </row>
    <row r="58" spans="1:17">
      <c r="A58" s="1" t="s">
        <v>302</v>
      </c>
      <c r="B58" s="91"/>
      <c r="C58" s="83"/>
      <c r="D58" s="92"/>
      <c r="E58" s="92"/>
      <c r="F58" s="84"/>
      <c r="G58" s="84"/>
      <c r="H58" s="85"/>
      <c r="I58" s="90"/>
      <c r="J58" s="87"/>
      <c r="K58" s="87"/>
      <c r="L58" s="87"/>
      <c r="M58" s="87"/>
      <c r="N58" s="1" t="b">
        <f>IF(Proposta!$A$15=A58,C58)</f>
        <v>0</v>
      </c>
      <c r="O58" s="1">
        <f>COUNTIF($N$11:N58,"&lt;&gt;"&amp;FALSE())</f>
        <v>2</v>
      </c>
    </row>
    <row r="59" spans="1:17">
      <c r="A59" s="1" t="s">
        <v>303</v>
      </c>
      <c r="B59" s="330">
        <v>13</v>
      </c>
      <c r="C59" s="77">
        <v>49</v>
      </c>
      <c r="D59" s="331" t="s">
        <v>256</v>
      </c>
      <c r="E59" s="331">
        <v>550005</v>
      </c>
      <c r="F59" s="78" t="s">
        <v>219</v>
      </c>
      <c r="G59" s="78" t="s">
        <v>220</v>
      </c>
      <c r="H59" s="79">
        <v>2</v>
      </c>
      <c r="I59" s="80">
        <f t="shared" si="7"/>
        <v>5368.39</v>
      </c>
      <c r="J59" s="81">
        <f t="shared" si="8"/>
        <v>10736.78</v>
      </c>
      <c r="K59" s="81">
        <f t="shared" si="9"/>
        <v>64420.680000000008</v>
      </c>
      <c r="L59" s="81">
        <f t="shared" si="10"/>
        <v>128841.36000000002</v>
      </c>
      <c r="M59" s="322">
        <f>SUM(L59:L63)</f>
        <v>574075.79999999993</v>
      </c>
      <c r="N59" s="1" t="b">
        <f>IF(Proposta!$A$15=A59,C59)</f>
        <v>0</v>
      </c>
      <c r="O59" s="1">
        <f>COUNTIF($N$11:N59,"&lt;&gt;"&amp;FALSE())</f>
        <v>2</v>
      </c>
      <c r="P59" s="337">
        <v>574338.36</v>
      </c>
      <c r="Q59" s="338" t="s">
        <v>351</v>
      </c>
    </row>
    <row r="60" spans="1:17">
      <c r="A60" s="1" t="s">
        <v>303</v>
      </c>
      <c r="B60" s="330"/>
      <c r="C60" s="77">
        <v>50</v>
      </c>
      <c r="D60" s="331"/>
      <c r="E60" s="331"/>
      <c r="F60" s="78" t="s">
        <v>221</v>
      </c>
      <c r="G60" s="78" t="s">
        <v>220</v>
      </c>
      <c r="H60" s="79">
        <v>4</v>
      </c>
      <c r="I60" s="80">
        <f t="shared" si="7"/>
        <v>6002.76</v>
      </c>
      <c r="J60" s="81">
        <f t="shared" si="8"/>
        <v>24011.040000000001</v>
      </c>
      <c r="K60" s="81">
        <f t="shared" si="9"/>
        <v>72033.119999999995</v>
      </c>
      <c r="L60" s="81">
        <f t="shared" si="10"/>
        <v>288132.47999999998</v>
      </c>
      <c r="M60" s="322"/>
      <c r="N60" s="1" t="b">
        <f>IF(Proposta!$A$15=A60,C60)</f>
        <v>0</v>
      </c>
      <c r="O60" s="1">
        <f>COUNTIF($N$11:N60,"&lt;&gt;"&amp;FALSE())</f>
        <v>2</v>
      </c>
      <c r="P60" s="337"/>
      <c r="Q60" s="339"/>
    </row>
    <row r="61" spans="1:17">
      <c r="A61" s="1" t="s">
        <v>303</v>
      </c>
      <c r="B61" s="330"/>
      <c r="C61" s="77">
        <v>51</v>
      </c>
      <c r="D61" s="331"/>
      <c r="E61" s="331"/>
      <c r="F61" s="78" t="s">
        <v>222</v>
      </c>
      <c r="G61" s="78" t="s">
        <v>220</v>
      </c>
      <c r="H61" s="79">
        <v>2</v>
      </c>
      <c r="I61" s="80">
        <f t="shared" si="7"/>
        <v>6356.86</v>
      </c>
      <c r="J61" s="81">
        <f t="shared" si="8"/>
        <v>12713.72</v>
      </c>
      <c r="K61" s="81">
        <f t="shared" si="9"/>
        <v>76282.319999999992</v>
      </c>
      <c r="L61" s="81">
        <f t="shared" si="10"/>
        <v>152564.63999999998</v>
      </c>
      <c r="M61" s="322"/>
      <c r="N61" s="1" t="b">
        <f>IF(Proposta!$A$15=A61,C61)</f>
        <v>0</v>
      </c>
      <c r="O61" s="1">
        <f>COUNTIF($N$11:N61,"&lt;&gt;"&amp;FALSE())</f>
        <v>2</v>
      </c>
      <c r="P61" s="337"/>
      <c r="Q61" s="339"/>
    </row>
    <row r="62" spans="1:17">
      <c r="A62" s="1" t="s">
        <v>303</v>
      </c>
      <c r="B62" s="330"/>
      <c r="C62" s="77">
        <v>52</v>
      </c>
      <c r="D62" s="331"/>
      <c r="E62" s="331"/>
      <c r="F62" s="78" t="s">
        <v>225</v>
      </c>
      <c r="G62" s="78" t="s">
        <v>226</v>
      </c>
      <c r="H62" s="79">
        <v>1</v>
      </c>
      <c r="I62" s="80">
        <f t="shared" si="7"/>
        <v>162.05000000000001</v>
      </c>
      <c r="J62" s="81">
        <f t="shared" si="8"/>
        <v>162.05000000000001</v>
      </c>
      <c r="K62" s="81">
        <f t="shared" si="9"/>
        <v>1944.6000000000001</v>
      </c>
      <c r="L62" s="81">
        <f t="shared" si="10"/>
        <v>1944.6000000000001</v>
      </c>
      <c r="M62" s="322"/>
      <c r="N62" s="1" t="b">
        <f>IF(Proposta!$A$15=A62,C62)</f>
        <v>0</v>
      </c>
      <c r="O62" s="1">
        <f>COUNTIF($N$11:N62,"&lt;&gt;"&amp;FALSE())</f>
        <v>2</v>
      </c>
      <c r="P62" s="337"/>
      <c r="Q62" s="339"/>
    </row>
    <row r="63" spans="1:17">
      <c r="A63" s="1" t="s">
        <v>303</v>
      </c>
      <c r="B63" s="330"/>
      <c r="C63" s="77">
        <v>53</v>
      </c>
      <c r="D63" s="331"/>
      <c r="E63" s="331"/>
      <c r="F63" s="78" t="s">
        <v>227</v>
      </c>
      <c r="G63" s="78" t="s">
        <v>226</v>
      </c>
      <c r="H63" s="79">
        <v>1</v>
      </c>
      <c r="I63" s="80">
        <f t="shared" si="7"/>
        <v>216.06</v>
      </c>
      <c r="J63" s="81">
        <f t="shared" si="8"/>
        <v>216.06</v>
      </c>
      <c r="K63" s="81">
        <f t="shared" si="9"/>
        <v>2592.7200000000003</v>
      </c>
      <c r="L63" s="81">
        <f t="shared" si="10"/>
        <v>2592.7200000000003</v>
      </c>
      <c r="M63" s="322"/>
      <c r="N63" s="1" t="b">
        <f>IF(Proposta!$A$15=A63,C63)</f>
        <v>0</v>
      </c>
      <c r="O63" s="1">
        <f>COUNTIF($N$11:N63,"&lt;&gt;"&amp;FALSE())</f>
        <v>2</v>
      </c>
      <c r="P63" s="337"/>
      <c r="Q63" s="339"/>
    </row>
    <row r="64" spans="1:17">
      <c r="A64" s="1" t="s">
        <v>304</v>
      </c>
      <c r="B64" s="332">
        <v>14</v>
      </c>
      <c r="C64" s="83">
        <v>54</v>
      </c>
      <c r="D64" s="329" t="s">
        <v>257</v>
      </c>
      <c r="E64" s="329">
        <v>410003</v>
      </c>
      <c r="F64" s="84" t="s">
        <v>221</v>
      </c>
      <c r="G64" s="84" t="s">
        <v>220</v>
      </c>
      <c r="H64" s="85">
        <v>3</v>
      </c>
      <c r="I64" s="90">
        <f t="shared" si="7"/>
        <v>6002.76</v>
      </c>
      <c r="J64" s="87">
        <f t="shared" si="8"/>
        <v>18008.28</v>
      </c>
      <c r="K64" s="87">
        <f t="shared" si="9"/>
        <v>72033.119999999995</v>
      </c>
      <c r="L64" s="87">
        <f t="shared" si="10"/>
        <v>216099.36</v>
      </c>
      <c r="M64" s="327">
        <f>SUM(L64:L66)</f>
        <v>452724.72</v>
      </c>
      <c r="N64" s="1" t="b">
        <f>IF(Proposta!$A$15=A64,C64)</f>
        <v>0</v>
      </c>
      <c r="O64" s="1">
        <f>COUNTIF($N$11:N64,"&lt;&gt;"&amp;FALSE())</f>
        <v>2</v>
      </c>
      <c r="P64" s="337">
        <v>452786.16</v>
      </c>
      <c r="Q64" s="338" t="s">
        <v>351</v>
      </c>
    </row>
    <row r="65" spans="1:17">
      <c r="A65" s="1" t="s">
        <v>304</v>
      </c>
      <c r="B65" s="332"/>
      <c r="C65" s="83">
        <v>55</v>
      </c>
      <c r="D65" s="329"/>
      <c r="E65" s="329"/>
      <c r="F65" s="84" t="s">
        <v>222</v>
      </c>
      <c r="G65" s="84" t="s">
        <v>220</v>
      </c>
      <c r="H65" s="85">
        <v>3</v>
      </c>
      <c r="I65" s="90">
        <f t="shared" si="7"/>
        <v>6356.86</v>
      </c>
      <c r="J65" s="87">
        <f t="shared" si="8"/>
        <v>19070.579999999998</v>
      </c>
      <c r="K65" s="87">
        <f t="shared" si="9"/>
        <v>76282.319999999992</v>
      </c>
      <c r="L65" s="87">
        <f t="shared" si="10"/>
        <v>228846.95999999996</v>
      </c>
      <c r="M65" s="327"/>
      <c r="N65" s="1" t="b">
        <f>IF(Proposta!$A$15=A65,C65)</f>
        <v>0</v>
      </c>
      <c r="O65" s="1">
        <f>COUNTIF($N$11:N65,"&lt;&gt;"&amp;FALSE())</f>
        <v>2</v>
      </c>
      <c r="P65" s="337"/>
      <c r="Q65" s="339"/>
    </row>
    <row r="66" spans="1:17">
      <c r="A66" s="1" t="s">
        <v>304</v>
      </c>
      <c r="B66" s="332"/>
      <c r="C66" s="83">
        <v>56</v>
      </c>
      <c r="D66" s="329"/>
      <c r="E66" s="329"/>
      <c r="F66" s="84" t="s">
        <v>225</v>
      </c>
      <c r="G66" s="84" t="s">
        <v>226</v>
      </c>
      <c r="H66" s="85">
        <v>4</v>
      </c>
      <c r="I66" s="90">
        <f t="shared" si="7"/>
        <v>162.05000000000001</v>
      </c>
      <c r="J66" s="87">
        <f t="shared" si="8"/>
        <v>648.20000000000005</v>
      </c>
      <c r="K66" s="87">
        <f t="shared" si="9"/>
        <v>1944.6000000000001</v>
      </c>
      <c r="L66" s="87">
        <f t="shared" si="10"/>
        <v>7778.4000000000005</v>
      </c>
      <c r="M66" s="327"/>
      <c r="N66" s="1" t="b">
        <f>IF(Proposta!$A$15=A66,C66)</f>
        <v>0</v>
      </c>
      <c r="O66" s="1">
        <f>COUNTIF($N$11:N66,"&lt;&gt;"&amp;FALSE())</f>
        <v>2</v>
      </c>
      <c r="P66" s="337"/>
      <c r="Q66" s="339"/>
    </row>
    <row r="67" spans="1:17">
      <c r="A67" s="1" t="s">
        <v>305</v>
      </c>
      <c r="B67" s="330">
        <v>15</v>
      </c>
      <c r="C67" s="77">
        <v>57</v>
      </c>
      <c r="D67" s="321" t="s">
        <v>258</v>
      </c>
      <c r="E67" s="321">
        <v>240101</v>
      </c>
      <c r="F67" s="78" t="s">
        <v>219</v>
      </c>
      <c r="G67" s="78" t="s">
        <v>220</v>
      </c>
      <c r="H67" s="79">
        <v>1</v>
      </c>
      <c r="I67" s="80">
        <f t="shared" si="7"/>
        <v>5368.39</v>
      </c>
      <c r="J67" s="81">
        <f t="shared" si="8"/>
        <v>5368.39</v>
      </c>
      <c r="K67" s="81">
        <f t="shared" si="9"/>
        <v>64420.680000000008</v>
      </c>
      <c r="L67" s="81">
        <f t="shared" si="10"/>
        <v>64420.680000000008</v>
      </c>
      <c r="M67" s="322">
        <f>SUM(L67:L73)</f>
        <v>876166.08</v>
      </c>
      <c r="N67" s="1" t="b">
        <f>IF(Proposta!$A$15=A67,C67)</f>
        <v>0</v>
      </c>
      <c r="O67" s="1">
        <f>COUNTIF($N$11:N67,"&lt;&gt;"&amp;FALSE())</f>
        <v>2</v>
      </c>
      <c r="P67" s="337">
        <v>877187.64</v>
      </c>
      <c r="Q67" s="338" t="s">
        <v>351</v>
      </c>
    </row>
    <row r="68" spans="1:17">
      <c r="A68" s="1" t="s">
        <v>305</v>
      </c>
      <c r="B68" s="330"/>
      <c r="C68" s="77">
        <v>58</v>
      </c>
      <c r="D68" s="321"/>
      <c r="E68" s="321"/>
      <c r="F68" s="78" t="s">
        <v>221</v>
      </c>
      <c r="G68" s="78" t="s">
        <v>220</v>
      </c>
      <c r="H68" s="79">
        <v>5</v>
      </c>
      <c r="I68" s="80">
        <f t="shared" si="7"/>
        <v>6002.76</v>
      </c>
      <c r="J68" s="81">
        <f t="shared" si="8"/>
        <v>30013.800000000003</v>
      </c>
      <c r="K68" s="81">
        <f t="shared" si="9"/>
        <v>72033.119999999995</v>
      </c>
      <c r="L68" s="81">
        <f t="shared" si="10"/>
        <v>360165.6</v>
      </c>
      <c r="M68" s="322"/>
      <c r="N68" s="1" t="b">
        <f>IF(Proposta!$A$15=A68,C68)</f>
        <v>0</v>
      </c>
      <c r="O68" s="1">
        <f>COUNTIF($N$11:N68,"&lt;&gt;"&amp;FALSE())</f>
        <v>2</v>
      </c>
      <c r="P68" s="337"/>
      <c r="Q68" s="339"/>
    </row>
    <row r="69" spans="1:17">
      <c r="A69" s="1" t="s">
        <v>305</v>
      </c>
      <c r="B69" s="330"/>
      <c r="C69" s="77">
        <v>59</v>
      </c>
      <c r="D69" s="321"/>
      <c r="E69" s="321"/>
      <c r="F69" s="78" t="s">
        <v>222</v>
      </c>
      <c r="G69" s="78" t="s">
        <v>220</v>
      </c>
      <c r="H69" s="79">
        <v>2</v>
      </c>
      <c r="I69" s="80">
        <f t="shared" si="7"/>
        <v>6356.86</v>
      </c>
      <c r="J69" s="81">
        <f t="shared" si="8"/>
        <v>12713.72</v>
      </c>
      <c r="K69" s="81">
        <f t="shared" si="9"/>
        <v>76282.319999999992</v>
      </c>
      <c r="L69" s="81">
        <f t="shared" si="10"/>
        <v>152564.63999999998</v>
      </c>
      <c r="M69" s="322"/>
      <c r="N69" s="1" t="b">
        <f>IF(Proposta!$A$15=A69,C69)</f>
        <v>0</v>
      </c>
      <c r="O69" s="1">
        <f>COUNTIF($N$11:N69,"&lt;&gt;"&amp;FALSE())</f>
        <v>2</v>
      </c>
      <c r="P69" s="337"/>
      <c r="Q69" s="339"/>
    </row>
    <row r="70" spans="1:17">
      <c r="A70" s="1" t="s">
        <v>305</v>
      </c>
      <c r="B70" s="330"/>
      <c r="C70" s="77">
        <v>60</v>
      </c>
      <c r="D70" s="321"/>
      <c r="E70" s="321"/>
      <c r="F70" s="78" t="s">
        <v>223</v>
      </c>
      <c r="G70" s="78" t="s">
        <v>220</v>
      </c>
      <c r="H70" s="79">
        <v>3</v>
      </c>
      <c r="I70" s="80">
        <f t="shared" si="7"/>
        <v>5992.28</v>
      </c>
      <c r="J70" s="81">
        <f t="shared" si="8"/>
        <v>17976.84</v>
      </c>
      <c r="K70" s="81">
        <f t="shared" si="9"/>
        <v>71907.360000000001</v>
      </c>
      <c r="L70" s="81">
        <f t="shared" si="10"/>
        <v>215722.08000000002</v>
      </c>
      <c r="M70" s="322"/>
      <c r="N70" s="1" t="b">
        <f>IF(Proposta!$A$15=A70,C70)</f>
        <v>0</v>
      </c>
      <c r="O70" s="1">
        <f>COUNTIF($N$11:N70,"&lt;&gt;"&amp;FALSE())</f>
        <v>2</v>
      </c>
      <c r="P70" s="337"/>
      <c r="Q70" s="339"/>
    </row>
    <row r="71" spans="1:17">
      <c r="A71" s="1" t="s">
        <v>305</v>
      </c>
      <c r="B71" s="330"/>
      <c r="C71" s="77">
        <v>61</v>
      </c>
      <c r="D71" s="321"/>
      <c r="E71" s="321"/>
      <c r="F71" s="78" t="s">
        <v>224</v>
      </c>
      <c r="G71" s="78" t="s">
        <v>220</v>
      </c>
      <c r="H71" s="79">
        <v>1</v>
      </c>
      <c r="I71" s="80">
        <f t="shared" si="7"/>
        <v>6346.92</v>
      </c>
      <c r="J71" s="81">
        <f t="shared" si="8"/>
        <v>6346.92</v>
      </c>
      <c r="K71" s="81">
        <f t="shared" si="9"/>
        <v>76163.040000000008</v>
      </c>
      <c r="L71" s="81">
        <f t="shared" si="10"/>
        <v>76163.040000000008</v>
      </c>
      <c r="M71" s="322"/>
      <c r="N71" s="1" t="b">
        <f>IF(Proposta!$A$15=A71,C71)</f>
        <v>0</v>
      </c>
      <c r="O71" s="1">
        <f>COUNTIF($N$11:N71,"&lt;&gt;"&amp;FALSE())</f>
        <v>2</v>
      </c>
      <c r="P71" s="337"/>
      <c r="Q71" s="339"/>
    </row>
    <row r="72" spans="1:17">
      <c r="A72" s="1" t="s">
        <v>305</v>
      </c>
      <c r="B72" s="330"/>
      <c r="C72" s="77">
        <v>62</v>
      </c>
      <c r="D72" s="321"/>
      <c r="E72" s="321"/>
      <c r="F72" s="78" t="s">
        <v>225</v>
      </c>
      <c r="G72" s="78" t="s">
        <v>226</v>
      </c>
      <c r="H72" s="79">
        <v>1</v>
      </c>
      <c r="I72" s="80">
        <f t="shared" si="7"/>
        <v>162.05000000000001</v>
      </c>
      <c r="J72" s="81">
        <f t="shared" si="8"/>
        <v>162.05000000000001</v>
      </c>
      <c r="K72" s="81">
        <f t="shared" si="9"/>
        <v>1944.6000000000001</v>
      </c>
      <c r="L72" s="81">
        <f t="shared" si="10"/>
        <v>1944.6000000000001</v>
      </c>
      <c r="M72" s="322"/>
      <c r="N72" s="1" t="b">
        <f>IF(Proposta!$A$15=A72,C72)</f>
        <v>0</v>
      </c>
      <c r="O72" s="1">
        <f>COUNTIF($N$11:N72,"&lt;&gt;"&amp;FALSE())</f>
        <v>2</v>
      </c>
      <c r="P72" s="337"/>
      <c r="Q72" s="339"/>
    </row>
    <row r="73" spans="1:17">
      <c r="A73" s="1" t="s">
        <v>305</v>
      </c>
      <c r="B73" s="330"/>
      <c r="C73" s="77">
        <v>63</v>
      </c>
      <c r="D73" s="321"/>
      <c r="E73" s="321"/>
      <c r="F73" s="78" t="s">
        <v>227</v>
      </c>
      <c r="G73" s="78" t="s">
        <v>226</v>
      </c>
      <c r="H73" s="79">
        <v>2</v>
      </c>
      <c r="I73" s="80">
        <f t="shared" si="7"/>
        <v>216.06</v>
      </c>
      <c r="J73" s="81">
        <f t="shared" si="8"/>
        <v>432.12</v>
      </c>
      <c r="K73" s="81">
        <f t="shared" si="9"/>
        <v>2592.7200000000003</v>
      </c>
      <c r="L73" s="81">
        <f t="shared" si="10"/>
        <v>5185.4400000000005</v>
      </c>
      <c r="M73" s="322"/>
      <c r="N73" s="1" t="b">
        <f>IF(Proposta!$A$15=A73,C73)</f>
        <v>0</v>
      </c>
      <c r="O73" s="1">
        <f>COUNTIF($N$11:N73,"&lt;&gt;"&amp;FALSE())</f>
        <v>2</v>
      </c>
      <c r="P73" s="337"/>
      <c r="Q73" s="339"/>
    </row>
    <row r="74" spans="1:17">
      <c r="A74" s="1" t="s">
        <v>306</v>
      </c>
      <c r="B74" s="328">
        <v>16</v>
      </c>
      <c r="C74" s="83">
        <v>64</v>
      </c>
      <c r="D74" s="329" t="s">
        <v>259</v>
      </c>
      <c r="E74" s="329">
        <v>390004</v>
      </c>
      <c r="F74" s="84" t="s">
        <v>219</v>
      </c>
      <c r="G74" s="84" t="s">
        <v>220</v>
      </c>
      <c r="H74" s="85">
        <v>2</v>
      </c>
      <c r="I74" s="90">
        <f t="shared" si="7"/>
        <v>5368.39</v>
      </c>
      <c r="J74" s="87">
        <f t="shared" si="8"/>
        <v>10736.78</v>
      </c>
      <c r="K74" s="87">
        <f t="shared" si="9"/>
        <v>64420.680000000008</v>
      </c>
      <c r="L74" s="87">
        <f t="shared" si="10"/>
        <v>128841.36000000002</v>
      </c>
      <c r="M74" s="327">
        <f>SUM(L74:L78)</f>
        <v>578324.99999999988</v>
      </c>
      <c r="N74" s="1" t="b">
        <f>IF(Proposta!$A$15=A74,C74)</f>
        <v>0</v>
      </c>
      <c r="O74" s="1">
        <f>COUNTIF($N$11:N74,"&lt;&gt;"&amp;FALSE())</f>
        <v>2</v>
      </c>
      <c r="P74" s="337">
        <v>578601.96</v>
      </c>
      <c r="Q74" s="338" t="s">
        <v>351</v>
      </c>
    </row>
    <row r="75" spans="1:17">
      <c r="A75" s="1" t="s">
        <v>306</v>
      </c>
      <c r="B75" s="328"/>
      <c r="C75" s="83">
        <v>65</v>
      </c>
      <c r="D75" s="329"/>
      <c r="E75" s="329"/>
      <c r="F75" s="84" t="s">
        <v>221</v>
      </c>
      <c r="G75" s="84" t="s">
        <v>220</v>
      </c>
      <c r="H75" s="85">
        <v>3</v>
      </c>
      <c r="I75" s="90">
        <f t="shared" ref="I75:I94" si="11">VLOOKUP(F75,$B$2:$I$8,7,FALSE())</f>
        <v>6002.76</v>
      </c>
      <c r="J75" s="87">
        <f t="shared" ref="J75:J94" si="12">I75*H75</f>
        <v>18008.28</v>
      </c>
      <c r="K75" s="87">
        <f t="shared" ref="K75:K94" si="13">I75*12</f>
        <v>72033.119999999995</v>
      </c>
      <c r="L75" s="87">
        <f t="shared" ref="L75:L94" si="14">K75*H75</f>
        <v>216099.36</v>
      </c>
      <c r="M75" s="327"/>
      <c r="N75" s="1" t="b">
        <f>IF(Proposta!$A$15=A75,C75)</f>
        <v>0</v>
      </c>
      <c r="O75" s="1">
        <f>COUNTIF($N$11:N75,"&lt;&gt;"&amp;FALSE())</f>
        <v>2</v>
      </c>
      <c r="P75" s="337"/>
      <c r="Q75" s="339"/>
    </row>
    <row r="76" spans="1:17">
      <c r="A76" s="1" t="s">
        <v>306</v>
      </c>
      <c r="B76" s="328"/>
      <c r="C76" s="83">
        <v>66</v>
      </c>
      <c r="D76" s="329"/>
      <c r="E76" s="329"/>
      <c r="F76" s="84" t="s">
        <v>222</v>
      </c>
      <c r="G76" s="84" t="s">
        <v>220</v>
      </c>
      <c r="H76" s="85">
        <v>3</v>
      </c>
      <c r="I76" s="90">
        <f t="shared" si="11"/>
        <v>6356.86</v>
      </c>
      <c r="J76" s="87">
        <f t="shared" si="12"/>
        <v>19070.579999999998</v>
      </c>
      <c r="K76" s="87">
        <f t="shared" si="13"/>
        <v>76282.319999999992</v>
      </c>
      <c r="L76" s="87">
        <f t="shared" si="14"/>
        <v>228846.95999999996</v>
      </c>
      <c r="M76" s="327"/>
      <c r="N76" s="1" t="b">
        <f>IF(Proposta!$A$15=A76,C76)</f>
        <v>0</v>
      </c>
      <c r="O76" s="1">
        <f>COUNTIF($N$11:N76,"&lt;&gt;"&amp;FALSE())</f>
        <v>2</v>
      </c>
      <c r="P76" s="337"/>
      <c r="Q76" s="339"/>
    </row>
    <row r="77" spans="1:17">
      <c r="A77" s="1" t="s">
        <v>306</v>
      </c>
      <c r="B77" s="328"/>
      <c r="C77" s="83">
        <v>67</v>
      </c>
      <c r="D77" s="329"/>
      <c r="E77" s="329"/>
      <c r="F77" s="84" t="s">
        <v>225</v>
      </c>
      <c r="G77" s="84" t="s">
        <v>226</v>
      </c>
      <c r="H77" s="85">
        <v>1</v>
      </c>
      <c r="I77" s="90">
        <f t="shared" si="11"/>
        <v>162.05000000000001</v>
      </c>
      <c r="J77" s="87">
        <f t="shared" si="12"/>
        <v>162.05000000000001</v>
      </c>
      <c r="K77" s="87">
        <f t="shared" si="13"/>
        <v>1944.6000000000001</v>
      </c>
      <c r="L77" s="87">
        <f t="shared" si="14"/>
        <v>1944.6000000000001</v>
      </c>
      <c r="M77" s="327"/>
      <c r="N77" s="1" t="b">
        <f>IF(Proposta!$A$15=A77,C77)</f>
        <v>0</v>
      </c>
      <c r="O77" s="1">
        <f>COUNTIF($N$11:N77,"&lt;&gt;"&amp;FALSE())</f>
        <v>2</v>
      </c>
      <c r="P77" s="337"/>
      <c r="Q77" s="339"/>
    </row>
    <row r="78" spans="1:17">
      <c r="A78" s="1" t="s">
        <v>306</v>
      </c>
      <c r="B78" s="328"/>
      <c r="C78" s="83">
        <v>68</v>
      </c>
      <c r="D78" s="329"/>
      <c r="E78" s="329"/>
      <c r="F78" s="84" t="s">
        <v>227</v>
      </c>
      <c r="G78" s="84" t="s">
        <v>226</v>
      </c>
      <c r="H78" s="85">
        <v>1</v>
      </c>
      <c r="I78" s="90">
        <f t="shared" si="11"/>
        <v>216.06</v>
      </c>
      <c r="J78" s="87">
        <f t="shared" si="12"/>
        <v>216.06</v>
      </c>
      <c r="K78" s="87">
        <f t="shared" si="13"/>
        <v>2592.7200000000003</v>
      </c>
      <c r="L78" s="87">
        <f t="shared" si="14"/>
        <v>2592.7200000000003</v>
      </c>
      <c r="M78" s="327"/>
      <c r="N78" s="1" t="b">
        <f>IF(Proposta!$A$15=A78,C78)</f>
        <v>0</v>
      </c>
      <c r="O78" s="1">
        <f>COUNTIF($N$11:N78,"&lt;&gt;"&amp;FALSE())</f>
        <v>2</v>
      </c>
      <c r="P78" s="337"/>
      <c r="Q78" s="339"/>
    </row>
    <row r="79" spans="1:17">
      <c r="A79" s="1" t="s">
        <v>307</v>
      </c>
      <c r="B79" s="323">
        <v>17</v>
      </c>
      <c r="C79" s="77">
        <v>69</v>
      </c>
      <c r="D79" s="321" t="s">
        <v>260</v>
      </c>
      <c r="E79" s="321">
        <v>200005</v>
      </c>
      <c r="F79" s="78" t="s">
        <v>221</v>
      </c>
      <c r="G79" s="78" t="s">
        <v>220</v>
      </c>
      <c r="H79" s="79">
        <v>4</v>
      </c>
      <c r="I79" s="80">
        <f t="shared" si="11"/>
        <v>6002.76</v>
      </c>
      <c r="J79" s="81">
        <f t="shared" si="12"/>
        <v>24011.040000000001</v>
      </c>
      <c r="K79" s="81">
        <f t="shared" si="13"/>
        <v>72033.119999999995</v>
      </c>
      <c r="L79" s="81">
        <f t="shared" si="14"/>
        <v>288132.47999999998</v>
      </c>
      <c r="M79" s="322">
        <f>SUM(L79:L80)</f>
        <v>593261.76</v>
      </c>
      <c r="N79" s="1" t="b">
        <f>IF(Proposta!$A$15=A79,C79)</f>
        <v>0</v>
      </c>
      <c r="O79" s="1">
        <f>COUNTIF($N$11:N79,"&lt;&gt;"&amp;FALSE())</f>
        <v>2</v>
      </c>
      <c r="P79" s="337">
        <v>593319.36</v>
      </c>
      <c r="Q79" s="338" t="s">
        <v>351</v>
      </c>
    </row>
    <row r="80" spans="1:17">
      <c r="A80" s="1" t="s">
        <v>307</v>
      </c>
      <c r="B80" s="323"/>
      <c r="C80" s="77">
        <v>70</v>
      </c>
      <c r="D80" s="321"/>
      <c r="E80" s="321"/>
      <c r="F80" s="78" t="s">
        <v>222</v>
      </c>
      <c r="G80" s="78" t="s">
        <v>220</v>
      </c>
      <c r="H80" s="79">
        <v>4</v>
      </c>
      <c r="I80" s="80">
        <f t="shared" si="11"/>
        <v>6356.86</v>
      </c>
      <c r="J80" s="81">
        <f t="shared" si="12"/>
        <v>25427.439999999999</v>
      </c>
      <c r="K80" s="81">
        <f t="shared" si="13"/>
        <v>76282.319999999992</v>
      </c>
      <c r="L80" s="81">
        <f t="shared" si="14"/>
        <v>305129.27999999997</v>
      </c>
      <c r="M80" s="322"/>
      <c r="N80" s="1" t="b">
        <f>IF(Proposta!$A$15=A80,C80)</f>
        <v>0</v>
      </c>
      <c r="O80" s="1">
        <f>COUNTIF($N$11:N80,"&lt;&gt;"&amp;FALSE())</f>
        <v>2</v>
      </c>
      <c r="P80" s="337"/>
      <c r="Q80" s="339"/>
    </row>
    <row r="81" spans="1:17">
      <c r="A81" s="1" t="s">
        <v>308</v>
      </c>
      <c r="B81" s="325">
        <v>18</v>
      </c>
      <c r="C81" s="83">
        <v>71</v>
      </c>
      <c r="D81" s="329" t="s">
        <v>261</v>
      </c>
      <c r="E81" s="329">
        <v>320004</v>
      </c>
      <c r="F81" s="84" t="s">
        <v>219</v>
      </c>
      <c r="G81" s="84" t="s">
        <v>220</v>
      </c>
      <c r="H81" s="85">
        <v>2</v>
      </c>
      <c r="I81" s="90">
        <f t="shared" si="11"/>
        <v>5368.39</v>
      </c>
      <c r="J81" s="87">
        <f t="shared" si="12"/>
        <v>10736.78</v>
      </c>
      <c r="K81" s="87">
        <f t="shared" si="13"/>
        <v>64420.680000000008</v>
      </c>
      <c r="L81" s="87">
        <f t="shared" si="14"/>
        <v>128841.36000000002</v>
      </c>
      <c r="M81" s="327">
        <f>SUM(L81:L85)</f>
        <v>431954.16</v>
      </c>
      <c r="N81" s="1" t="b">
        <f>IF(Proposta!$A$15=A81,C81)</f>
        <v>0</v>
      </c>
      <c r="O81" s="1">
        <f>COUNTIF($N$11:N81,"&lt;&gt;"&amp;FALSE())</f>
        <v>2</v>
      </c>
      <c r="P81" s="337">
        <v>432221.28</v>
      </c>
      <c r="Q81" s="338" t="s">
        <v>351</v>
      </c>
    </row>
    <row r="82" spans="1:17">
      <c r="A82" s="1" t="s">
        <v>308</v>
      </c>
      <c r="B82" s="325"/>
      <c r="C82" s="83">
        <v>72</v>
      </c>
      <c r="D82" s="329"/>
      <c r="E82" s="329"/>
      <c r="F82" s="84" t="s">
        <v>221</v>
      </c>
      <c r="G82" s="84" t="s">
        <v>220</v>
      </c>
      <c r="H82" s="85">
        <v>2</v>
      </c>
      <c r="I82" s="90">
        <f t="shared" si="11"/>
        <v>6002.76</v>
      </c>
      <c r="J82" s="87">
        <f t="shared" si="12"/>
        <v>12005.52</v>
      </c>
      <c r="K82" s="87">
        <f t="shared" si="13"/>
        <v>72033.119999999995</v>
      </c>
      <c r="L82" s="87">
        <f t="shared" si="14"/>
        <v>144066.23999999999</v>
      </c>
      <c r="M82" s="327"/>
      <c r="N82" s="1" t="b">
        <f>IF(Proposta!$A$15=A82,C82)</f>
        <v>0</v>
      </c>
      <c r="O82" s="1">
        <f>COUNTIF($N$11:N82,"&lt;&gt;"&amp;FALSE())</f>
        <v>2</v>
      </c>
      <c r="P82" s="337"/>
      <c r="Q82" s="339"/>
    </row>
    <row r="83" spans="1:17">
      <c r="A83" s="1" t="s">
        <v>308</v>
      </c>
      <c r="B83" s="325"/>
      <c r="C83" s="83">
        <v>73</v>
      </c>
      <c r="D83" s="329"/>
      <c r="E83" s="329"/>
      <c r="F83" s="84" t="s">
        <v>222</v>
      </c>
      <c r="G83" s="84" t="s">
        <v>220</v>
      </c>
      <c r="H83" s="85">
        <v>2</v>
      </c>
      <c r="I83" s="90">
        <f t="shared" si="11"/>
        <v>6356.86</v>
      </c>
      <c r="J83" s="87">
        <f t="shared" si="12"/>
        <v>12713.72</v>
      </c>
      <c r="K83" s="87">
        <f t="shared" si="13"/>
        <v>76282.319999999992</v>
      </c>
      <c r="L83" s="87">
        <f t="shared" si="14"/>
        <v>152564.63999999998</v>
      </c>
      <c r="M83" s="327"/>
      <c r="N83" s="1" t="b">
        <f>IF(Proposta!$A$15=A83,C83)</f>
        <v>0</v>
      </c>
      <c r="O83" s="1">
        <f>COUNTIF($N$11:N83,"&lt;&gt;"&amp;FALSE())</f>
        <v>2</v>
      </c>
      <c r="P83" s="337"/>
      <c r="Q83" s="339"/>
    </row>
    <row r="84" spans="1:17">
      <c r="A84" s="1" t="s">
        <v>308</v>
      </c>
      <c r="B84" s="325"/>
      <c r="C84" s="83">
        <v>74</v>
      </c>
      <c r="D84" s="329"/>
      <c r="E84" s="329"/>
      <c r="F84" s="84" t="s">
        <v>225</v>
      </c>
      <c r="G84" s="84" t="s">
        <v>226</v>
      </c>
      <c r="H84" s="85">
        <v>2</v>
      </c>
      <c r="I84" s="90">
        <f t="shared" si="11"/>
        <v>162.05000000000001</v>
      </c>
      <c r="J84" s="87">
        <f t="shared" si="12"/>
        <v>324.10000000000002</v>
      </c>
      <c r="K84" s="87">
        <f t="shared" si="13"/>
        <v>1944.6000000000001</v>
      </c>
      <c r="L84" s="87">
        <f t="shared" si="14"/>
        <v>3889.2000000000003</v>
      </c>
      <c r="M84" s="327"/>
      <c r="N84" s="1" t="b">
        <f>IF(Proposta!$A$15=A84,C84)</f>
        <v>0</v>
      </c>
      <c r="O84" s="1">
        <f>COUNTIF($N$11:N84,"&lt;&gt;"&amp;FALSE())</f>
        <v>2</v>
      </c>
      <c r="P84" s="337"/>
      <c r="Q84" s="339"/>
    </row>
    <row r="85" spans="1:17">
      <c r="A85" s="1" t="s">
        <v>308</v>
      </c>
      <c r="B85" s="325"/>
      <c r="C85" s="83">
        <v>75</v>
      </c>
      <c r="D85" s="329"/>
      <c r="E85" s="329"/>
      <c r="F85" s="84" t="s">
        <v>227</v>
      </c>
      <c r="G85" s="84" t="s">
        <v>226</v>
      </c>
      <c r="H85" s="85">
        <v>1</v>
      </c>
      <c r="I85" s="90">
        <f t="shared" si="11"/>
        <v>216.06</v>
      </c>
      <c r="J85" s="87">
        <f t="shared" si="12"/>
        <v>216.06</v>
      </c>
      <c r="K85" s="87">
        <f t="shared" si="13"/>
        <v>2592.7200000000003</v>
      </c>
      <c r="L85" s="87">
        <f t="shared" si="14"/>
        <v>2592.7200000000003</v>
      </c>
      <c r="M85" s="327"/>
      <c r="N85" s="1" t="b">
        <f>IF(Proposta!$A$15=A85,C85)</f>
        <v>0</v>
      </c>
      <c r="O85" s="1">
        <f>COUNTIF($N$11:N85,"&lt;&gt;"&amp;FALSE())</f>
        <v>2</v>
      </c>
      <c r="P85" s="337"/>
      <c r="Q85" s="339"/>
    </row>
    <row r="86" spans="1:17">
      <c r="A86" s="1" t="s">
        <v>309</v>
      </c>
      <c r="B86" s="323">
        <v>19</v>
      </c>
      <c r="C86" s="77">
        <v>76</v>
      </c>
      <c r="D86" s="324" t="s">
        <v>262</v>
      </c>
      <c r="E86" s="324">
        <v>250110</v>
      </c>
      <c r="F86" s="78" t="s">
        <v>221</v>
      </c>
      <c r="G86" s="78" t="s">
        <v>220</v>
      </c>
      <c r="H86" s="79">
        <v>2</v>
      </c>
      <c r="I86" s="80">
        <f t="shared" si="11"/>
        <v>6002.76</v>
      </c>
      <c r="J86" s="81">
        <f t="shared" si="12"/>
        <v>12005.52</v>
      </c>
      <c r="K86" s="81">
        <f t="shared" si="13"/>
        <v>72033.119999999995</v>
      </c>
      <c r="L86" s="81">
        <f t="shared" si="14"/>
        <v>144066.23999999999</v>
      </c>
      <c r="M86" s="322">
        <f>SUM(L86:L88)</f>
        <v>368538.24</v>
      </c>
      <c r="N86" s="1" t="b">
        <f>IF(Proposta!$A$15=A86,C86)</f>
        <v>0</v>
      </c>
      <c r="O86" s="1">
        <f>COUNTIF($N$11:N86,"&lt;&gt;"&amp;FALSE())</f>
        <v>2</v>
      </c>
      <c r="P86" s="337">
        <v>368692.8</v>
      </c>
      <c r="Q86" s="338" t="s">
        <v>351</v>
      </c>
    </row>
    <row r="87" spans="1:17">
      <c r="A87" s="1" t="s">
        <v>309</v>
      </c>
      <c r="B87" s="323"/>
      <c r="C87" s="77">
        <v>77</v>
      </c>
      <c r="D87" s="324"/>
      <c r="E87" s="324"/>
      <c r="F87" s="78" t="s">
        <v>222</v>
      </c>
      <c r="G87" s="78" t="s">
        <v>220</v>
      </c>
      <c r="H87" s="79">
        <v>2</v>
      </c>
      <c r="I87" s="80">
        <f t="shared" si="11"/>
        <v>6356.86</v>
      </c>
      <c r="J87" s="81">
        <f t="shared" si="12"/>
        <v>12713.72</v>
      </c>
      <c r="K87" s="81">
        <f t="shared" si="13"/>
        <v>76282.319999999992</v>
      </c>
      <c r="L87" s="81">
        <f t="shared" si="14"/>
        <v>152564.63999999998</v>
      </c>
      <c r="M87" s="322"/>
      <c r="N87" s="1" t="b">
        <f>IF(Proposta!$A$15=A87,C87)</f>
        <v>0</v>
      </c>
      <c r="O87" s="1">
        <f>COUNTIF($N$11:N87,"&lt;&gt;"&amp;FALSE())</f>
        <v>2</v>
      </c>
      <c r="P87" s="337"/>
      <c r="Q87" s="339"/>
    </row>
    <row r="88" spans="1:17">
      <c r="A88" s="1" t="s">
        <v>309</v>
      </c>
      <c r="B88" s="323"/>
      <c r="C88" s="96">
        <v>78</v>
      </c>
      <c r="D88" s="324"/>
      <c r="E88" s="324"/>
      <c r="F88" s="97" t="s">
        <v>223</v>
      </c>
      <c r="G88" s="78" t="s">
        <v>220</v>
      </c>
      <c r="H88" s="89">
        <v>1</v>
      </c>
      <c r="I88" s="80">
        <f t="shared" si="11"/>
        <v>5992.28</v>
      </c>
      <c r="J88" s="81">
        <f t="shared" si="12"/>
        <v>5992.28</v>
      </c>
      <c r="K88" s="81">
        <f t="shared" si="13"/>
        <v>71907.360000000001</v>
      </c>
      <c r="L88" s="81">
        <f t="shared" si="14"/>
        <v>71907.360000000001</v>
      </c>
      <c r="M88" s="322"/>
      <c r="N88" s="1" t="b">
        <f>IF(Proposta!$A$15=A88,C88)</f>
        <v>0</v>
      </c>
      <c r="O88" s="1">
        <f>COUNTIF($N$11:N88,"&lt;&gt;"&amp;FALSE())</f>
        <v>2</v>
      </c>
      <c r="P88" s="337"/>
      <c r="Q88" s="339"/>
    </row>
    <row r="89" spans="1:17">
      <c r="A89" s="1" t="s">
        <v>310</v>
      </c>
      <c r="B89" s="325">
        <v>20</v>
      </c>
      <c r="C89" s="98">
        <v>79</v>
      </c>
      <c r="D89" s="326" t="s">
        <v>263</v>
      </c>
      <c r="E89" s="326">
        <v>540004</v>
      </c>
      <c r="F89" s="99" t="s">
        <v>221</v>
      </c>
      <c r="G89" s="84" t="s">
        <v>220</v>
      </c>
      <c r="H89" s="100">
        <v>2</v>
      </c>
      <c r="I89" s="90">
        <f t="shared" si="11"/>
        <v>6002.76</v>
      </c>
      <c r="J89" s="87">
        <f t="shared" si="12"/>
        <v>12005.52</v>
      </c>
      <c r="K89" s="87">
        <f t="shared" si="13"/>
        <v>72033.119999999995</v>
      </c>
      <c r="L89" s="87">
        <f t="shared" si="14"/>
        <v>144066.23999999999</v>
      </c>
      <c r="M89" s="327">
        <f>SUM(L89:L90)</f>
        <v>296630.88</v>
      </c>
      <c r="N89" s="1" t="b">
        <f>IF(Proposta!$A$15=A89,C89)</f>
        <v>0</v>
      </c>
      <c r="O89" s="1">
        <f>COUNTIF($N$11:N89,"&lt;&gt;"&amp;FALSE())</f>
        <v>2</v>
      </c>
      <c r="P89" s="337">
        <v>296659.68</v>
      </c>
      <c r="Q89" s="338" t="s">
        <v>351</v>
      </c>
    </row>
    <row r="90" spans="1:17">
      <c r="A90" s="1" t="s">
        <v>310</v>
      </c>
      <c r="B90" s="325"/>
      <c r="C90" s="98">
        <v>80</v>
      </c>
      <c r="D90" s="326"/>
      <c r="E90" s="326"/>
      <c r="F90" s="84" t="s">
        <v>222</v>
      </c>
      <c r="G90" s="84" t="s">
        <v>220</v>
      </c>
      <c r="H90" s="85">
        <v>2</v>
      </c>
      <c r="I90" s="90">
        <f t="shared" si="11"/>
        <v>6356.86</v>
      </c>
      <c r="J90" s="87">
        <f t="shared" si="12"/>
        <v>12713.72</v>
      </c>
      <c r="K90" s="87">
        <f t="shared" si="13"/>
        <v>76282.319999999992</v>
      </c>
      <c r="L90" s="87">
        <f t="shared" si="14"/>
        <v>152564.63999999998</v>
      </c>
      <c r="M90" s="327"/>
      <c r="N90" s="1" t="b">
        <f>IF(Proposta!$A$15=A90,C90)</f>
        <v>0</v>
      </c>
      <c r="O90" s="1">
        <f>COUNTIF($N$11:N90,"&lt;&gt;"&amp;FALSE())</f>
        <v>2</v>
      </c>
      <c r="P90" s="337"/>
      <c r="Q90" s="339"/>
    </row>
    <row r="91" spans="1:17">
      <c r="A91" s="1" t="s">
        <v>311</v>
      </c>
      <c r="B91" s="320">
        <v>21</v>
      </c>
      <c r="C91" s="101">
        <v>81</v>
      </c>
      <c r="D91" s="321" t="s">
        <v>264</v>
      </c>
      <c r="E91" s="321">
        <v>200334</v>
      </c>
      <c r="F91" s="78" t="s">
        <v>219</v>
      </c>
      <c r="G91" s="78" t="s">
        <v>220</v>
      </c>
      <c r="H91" s="79">
        <v>16</v>
      </c>
      <c r="I91" s="80">
        <f t="shared" si="11"/>
        <v>5368.39</v>
      </c>
      <c r="J91" s="81">
        <f t="shared" si="12"/>
        <v>85894.24</v>
      </c>
      <c r="K91" s="81">
        <f t="shared" si="13"/>
        <v>64420.680000000008</v>
      </c>
      <c r="L91" s="81">
        <f t="shared" si="14"/>
        <v>1030730.8800000001</v>
      </c>
      <c r="M91" s="322">
        <f>SUM(L91:L94)</f>
        <v>1892405.28</v>
      </c>
      <c r="N91" s="1" t="b">
        <f>IF(Proposta!$A$15=A91,C91)</f>
        <v>0</v>
      </c>
      <c r="O91" s="1">
        <f>COUNTIF($N$11:N91,"&lt;&gt;"&amp;FALSE())</f>
        <v>2</v>
      </c>
      <c r="P91" s="337">
        <v>1895787.36</v>
      </c>
      <c r="Q91" s="338" t="s">
        <v>351</v>
      </c>
    </row>
    <row r="92" spans="1:17">
      <c r="A92" s="1" t="s">
        <v>311</v>
      </c>
      <c r="B92" s="320"/>
      <c r="C92" s="77">
        <v>82</v>
      </c>
      <c r="D92" s="321"/>
      <c r="E92" s="321"/>
      <c r="F92" s="78" t="s">
        <v>223</v>
      </c>
      <c r="G92" s="78" t="s">
        <v>220</v>
      </c>
      <c r="H92" s="79">
        <v>10</v>
      </c>
      <c r="I92" s="80">
        <f t="shared" si="11"/>
        <v>5992.28</v>
      </c>
      <c r="J92" s="81">
        <f t="shared" si="12"/>
        <v>59922.799999999996</v>
      </c>
      <c r="K92" s="81">
        <f t="shared" si="13"/>
        <v>71907.360000000001</v>
      </c>
      <c r="L92" s="81">
        <f t="shared" si="14"/>
        <v>719073.6</v>
      </c>
      <c r="M92" s="322"/>
      <c r="N92" s="1" t="b">
        <f>IF(Proposta!$A$15=A92,C92)</f>
        <v>0</v>
      </c>
      <c r="O92" s="1">
        <f>COUNTIF($N$11:N92,"&lt;&gt;"&amp;FALSE())</f>
        <v>2</v>
      </c>
      <c r="P92" s="337"/>
      <c r="Q92" s="339"/>
    </row>
    <row r="93" spans="1:17">
      <c r="A93" s="1" t="s">
        <v>311</v>
      </c>
      <c r="B93" s="320"/>
      <c r="C93" s="77">
        <v>83</v>
      </c>
      <c r="D93" s="321"/>
      <c r="E93" s="321"/>
      <c r="F93" s="78" t="s">
        <v>225</v>
      </c>
      <c r="G93" s="78" t="s">
        <v>226</v>
      </c>
      <c r="H93" s="79">
        <v>20</v>
      </c>
      <c r="I93" s="80">
        <f t="shared" si="11"/>
        <v>162.05000000000001</v>
      </c>
      <c r="J93" s="81">
        <f t="shared" si="12"/>
        <v>3241</v>
      </c>
      <c r="K93" s="81">
        <f t="shared" si="13"/>
        <v>1944.6000000000001</v>
      </c>
      <c r="L93" s="81">
        <f t="shared" si="14"/>
        <v>38892</v>
      </c>
      <c r="M93" s="322"/>
      <c r="N93" s="1" t="b">
        <f>IF(Proposta!$A$15=A93,C93)</f>
        <v>0</v>
      </c>
      <c r="O93" s="1">
        <f>COUNTIF($N$11:N93,"&lt;&gt;"&amp;FALSE())</f>
        <v>2</v>
      </c>
      <c r="P93" s="337"/>
      <c r="Q93" s="339"/>
    </row>
    <row r="94" spans="1:17">
      <c r="A94" s="1" t="s">
        <v>311</v>
      </c>
      <c r="B94" s="320"/>
      <c r="C94" s="77">
        <v>84</v>
      </c>
      <c r="D94" s="321"/>
      <c r="E94" s="321"/>
      <c r="F94" s="78" t="s">
        <v>227</v>
      </c>
      <c r="G94" s="78" t="s">
        <v>226</v>
      </c>
      <c r="H94" s="79">
        <v>40</v>
      </c>
      <c r="I94" s="80">
        <f t="shared" si="11"/>
        <v>216.06</v>
      </c>
      <c r="J94" s="81">
        <f t="shared" si="12"/>
        <v>8642.4</v>
      </c>
      <c r="K94" s="81">
        <f t="shared" si="13"/>
        <v>2592.7200000000003</v>
      </c>
      <c r="L94" s="81">
        <f t="shared" si="14"/>
        <v>103708.80000000002</v>
      </c>
      <c r="M94" s="322"/>
      <c r="N94" s="1" t="b">
        <f>IF(Proposta!$A$15=A94,C94)</f>
        <v>0</v>
      </c>
      <c r="O94" s="1">
        <f>COUNTIF($N$11:N94,"&lt;&gt;"&amp;FALSE())</f>
        <v>2</v>
      </c>
      <c r="P94" s="337"/>
      <c r="Q94" s="339"/>
    </row>
    <row r="95" spans="1:17">
      <c r="A95" s="1" t="s">
        <v>312</v>
      </c>
      <c r="B95" s="82"/>
      <c r="C95" s="83"/>
      <c r="D95" s="85"/>
      <c r="E95" s="85"/>
      <c r="F95" s="84"/>
      <c r="G95" s="84"/>
      <c r="H95" s="95"/>
      <c r="I95" s="90"/>
      <c r="J95" s="87"/>
      <c r="K95" s="87"/>
      <c r="L95" s="87"/>
      <c r="M95" s="87">
        <f>SUM(M11:M94)</f>
        <v>12145937.879999999</v>
      </c>
      <c r="N95" s="1" t="b">
        <f>IF(Proposta!$A$15=A95,C95)</f>
        <v>0</v>
      </c>
      <c r="O95" s="1">
        <f>COUNTIF($N$11:N95,"&lt;&gt;"&amp;FALSE())</f>
        <v>2</v>
      </c>
      <c r="P95" s="165">
        <f>SUM(P13:P94)</f>
        <v>12158520.720000001</v>
      </c>
    </row>
    <row r="96" spans="1:17" ht="15" hidden="1" customHeight="1">
      <c r="B96" s="102"/>
      <c r="C96" s="102"/>
      <c r="D96" s="53"/>
      <c r="E96" s="53"/>
      <c r="F96" s="46"/>
      <c r="G96" s="46"/>
      <c r="H96" s="53"/>
      <c r="I96" s="53"/>
      <c r="J96" s="53"/>
      <c r="K96" s="103"/>
      <c r="L96" s="103"/>
      <c r="M96" s="81"/>
    </row>
    <row r="97" spans="1:13" ht="15" hidden="1" customHeight="1">
      <c r="A97" s="1" t="str">
        <f ca="1">IFERROR(__xludf.dummyfunction("UNIQUE(A11:A95)"),"GRUPO 1 - ABIN")</f>
        <v>GRUPO 1 - ABIN</v>
      </c>
      <c r="B97" s="102"/>
      <c r="C97" s="102"/>
      <c r="D97" s="102"/>
      <c r="E97" s="102"/>
      <c r="F97" s="104"/>
      <c r="G97" s="104"/>
      <c r="H97" s="102"/>
      <c r="I97" s="102"/>
      <c r="J97" s="102"/>
      <c r="K97" s="105"/>
      <c r="L97" s="105"/>
      <c r="M97" s="81"/>
    </row>
    <row r="98" spans="1:13" ht="15" hidden="1" customHeight="1">
      <c r="A98" s="1" t="str">
        <f ca="1">IFERROR(__xludf.dummyfunction("""COMPUTED_VALUE"""),"GRUPO 2 - AGU")</f>
        <v>GRUPO 2 - AGU</v>
      </c>
      <c r="B98" s="102"/>
      <c r="C98" s="102"/>
      <c r="D98" s="102"/>
      <c r="E98" s="102"/>
      <c r="F98" s="104"/>
      <c r="G98" s="104"/>
      <c r="H98" s="102"/>
      <c r="I98" s="102"/>
      <c r="J98" s="102"/>
      <c r="K98" s="105"/>
      <c r="L98" s="105"/>
      <c r="M98" s="81"/>
    </row>
    <row r="99" spans="1:13" hidden="1">
      <c r="A99" s="1" t="str">
        <f ca="1">IFERROR(__xludf.dummyfunction("""COMPUTED_VALUE"""),"ITEM 10 - ANATEL")</f>
        <v>ITEM 10 - ANATEL</v>
      </c>
      <c r="B99" s="102"/>
      <c r="C99" s="102"/>
      <c r="D99" s="102"/>
      <c r="E99" s="102"/>
      <c r="F99" s="104"/>
      <c r="G99" s="104"/>
      <c r="H99" s="102"/>
      <c r="I99" s="102"/>
      <c r="J99" s="102"/>
      <c r="K99" s="105"/>
      <c r="L99" s="105"/>
      <c r="M99" s="106"/>
    </row>
    <row r="100" spans="1:13" hidden="1">
      <c r="A100" s="1" t="str">
        <f ca="1">IFERROR(__xludf.dummyfunction("""COMPUTED_VALUE"""),"GRUPO 3 - ANEEL")</f>
        <v>GRUPO 3 - ANEEL</v>
      </c>
      <c r="B100" s="102"/>
      <c r="C100" s="102"/>
      <c r="D100" s="102"/>
      <c r="E100" s="102"/>
      <c r="F100" s="104"/>
      <c r="G100" s="104"/>
      <c r="H100" s="102"/>
      <c r="I100" s="102"/>
      <c r="J100" s="102"/>
      <c r="K100" s="105"/>
      <c r="L100" s="105"/>
      <c r="M100" s="106"/>
    </row>
    <row r="101" spans="1:13" hidden="1">
      <c r="A101" s="1" t="str">
        <f ca="1">IFERROR(__xludf.dummyfunction("""COMPUTED_VALUE"""),"GRUPO 4 - ANM")</f>
        <v>GRUPO 4 - ANM</v>
      </c>
      <c r="B101" s="102"/>
      <c r="C101" s="102"/>
      <c r="D101" s="102"/>
      <c r="E101" s="102"/>
      <c r="F101" s="104"/>
      <c r="G101" s="104"/>
      <c r="H101" s="102"/>
      <c r="I101" s="102"/>
      <c r="J101" s="102"/>
      <c r="K101" s="105"/>
      <c r="L101" s="105"/>
      <c r="M101" s="106"/>
    </row>
    <row r="102" spans="1:13" hidden="1">
      <c r="A102" s="1" t="str">
        <f ca="1">IFERROR(__xludf.dummyfunction("""COMPUTED_VALUE"""),"GRUPO 5 - ANTT")</f>
        <v>GRUPO 5 - ANTT</v>
      </c>
      <c r="B102" s="102"/>
      <c r="C102" s="102"/>
      <c r="D102" s="102"/>
      <c r="E102" s="102"/>
      <c r="F102" s="104"/>
      <c r="G102" s="104"/>
      <c r="H102" s="102"/>
      <c r="I102" s="102"/>
      <c r="J102" s="102"/>
      <c r="K102" s="105"/>
      <c r="L102" s="105"/>
      <c r="M102" s="106"/>
    </row>
    <row r="103" spans="1:13" hidden="1">
      <c r="A103" s="1" t="str">
        <f ca="1">IFERROR(__xludf.dummyfunction("""COMPUTED_VALUE"""),"GRUPO 6 - CGU")</f>
        <v>GRUPO 6 - CGU</v>
      </c>
      <c r="B103" s="102"/>
      <c r="C103" s="102"/>
      <c r="D103" s="102"/>
      <c r="E103" s="102"/>
      <c r="F103" s="104"/>
      <c r="G103" s="104"/>
      <c r="H103" s="102"/>
      <c r="I103" s="102"/>
      <c r="J103" s="102"/>
      <c r="K103" s="105"/>
      <c r="L103" s="105"/>
      <c r="M103" s="106"/>
    </row>
    <row r="104" spans="1:13" hidden="1">
      <c r="A104" s="1" t="str">
        <f ca="1">IFERROR(__xludf.dummyfunction("""COMPUTED_VALUE"""),"ITEM 25 - DEPEN")</f>
        <v>ITEM 25 - DEPEN</v>
      </c>
      <c r="B104" s="102"/>
      <c r="C104" s="102"/>
      <c r="D104" s="102"/>
      <c r="E104" s="102"/>
      <c r="F104" s="104"/>
      <c r="G104" s="104"/>
      <c r="H104" s="102"/>
      <c r="I104" s="102"/>
      <c r="J104" s="102"/>
      <c r="K104" s="105"/>
      <c r="L104" s="105"/>
      <c r="M104" s="106"/>
    </row>
    <row r="105" spans="1:13" hidden="1">
      <c r="A105" s="1" t="str">
        <f ca="1">IFERROR(__xludf.dummyfunction("""COMPUTED_VALUE"""),"ITEM 26 - FNDE")</f>
        <v>ITEM 26 - FNDE</v>
      </c>
      <c r="B105" s="102"/>
      <c r="C105" s="102"/>
      <c r="D105" s="102"/>
      <c r="E105" s="102"/>
      <c r="F105" s="104"/>
      <c r="G105" s="104"/>
      <c r="H105" s="102"/>
      <c r="I105" s="102"/>
      <c r="J105" s="102"/>
      <c r="K105" s="105"/>
      <c r="L105" s="105"/>
      <c r="M105" s="106"/>
    </row>
    <row r="106" spans="1:13" hidden="1">
      <c r="A106" s="1" t="str">
        <f ca="1">IFERROR(__xludf.dummyfunction("""COMPUTED_VALUE"""),"GRUPO 7 - FUB")</f>
        <v>GRUPO 7 - FUB</v>
      </c>
      <c r="B106" s="102"/>
      <c r="C106" s="102"/>
      <c r="D106" s="102"/>
      <c r="E106" s="102"/>
      <c r="F106" s="104"/>
      <c r="G106" s="104"/>
      <c r="H106" s="102"/>
      <c r="I106" s="102"/>
      <c r="J106" s="102"/>
      <c r="K106" s="105"/>
      <c r="L106" s="105"/>
      <c r="M106" s="106"/>
    </row>
    <row r="107" spans="1:13" hidden="1">
      <c r="A107" s="1" t="str">
        <f ca="1">IFERROR(__xludf.dummyfunction("""COMPUTED_VALUE"""),"GRUPO 8 - FUNAI")</f>
        <v>GRUPO 8 - FUNAI</v>
      </c>
      <c r="B107" s="102"/>
      <c r="C107" s="102"/>
      <c r="D107" s="102"/>
      <c r="E107" s="102"/>
      <c r="F107" s="104"/>
      <c r="G107" s="104"/>
      <c r="H107" s="102"/>
      <c r="I107" s="102"/>
      <c r="J107" s="102"/>
      <c r="K107" s="105"/>
      <c r="L107" s="105"/>
      <c r="M107" s="106"/>
    </row>
    <row r="108" spans="1:13" hidden="1">
      <c r="A108" s="1" t="str">
        <f ca="1">IFERROR(__xludf.dummyfunction("""COMPUTED_VALUE"""),"GRUPO 9 - FUNARTE")</f>
        <v>GRUPO 9 - FUNARTE</v>
      </c>
      <c r="B108" s="102"/>
      <c r="C108" s="102"/>
      <c r="D108" s="102"/>
      <c r="E108" s="102"/>
      <c r="F108" s="104"/>
      <c r="G108" s="104"/>
      <c r="H108" s="102"/>
      <c r="I108" s="102"/>
      <c r="J108" s="102"/>
      <c r="K108" s="105"/>
      <c r="L108" s="105"/>
      <c r="M108" s="106"/>
    </row>
    <row r="109" spans="1:13" hidden="1">
      <c r="A109" s="1" t="str">
        <f ca="1">IFERROR(__xludf.dummyfunction("""COMPUTED_VALUE"""),"GRUPO 10 - IBICT")</f>
        <v>GRUPO 10 - IBICT</v>
      </c>
      <c r="B109" s="102"/>
      <c r="C109" s="102"/>
      <c r="D109" s="102"/>
      <c r="E109" s="102"/>
      <c r="F109" s="104"/>
      <c r="G109" s="104"/>
      <c r="H109" s="102"/>
      <c r="I109" s="102"/>
      <c r="J109" s="102"/>
      <c r="K109" s="105"/>
      <c r="L109" s="105"/>
      <c r="M109" s="106"/>
    </row>
    <row r="110" spans="1:13" hidden="1">
      <c r="A110" s="1" t="str">
        <f ca="1">IFERROR(__xludf.dummyfunction("""COMPUTED_VALUE"""),"GRUPO 11 - INCRA")</f>
        <v>GRUPO 11 - INCRA</v>
      </c>
      <c r="B110" s="102"/>
      <c r="C110" s="102"/>
      <c r="D110" s="102"/>
      <c r="E110" s="102"/>
      <c r="F110" s="104"/>
      <c r="G110" s="104"/>
      <c r="H110" s="102"/>
      <c r="I110" s="102"/>
      <c r="J110" s="102"/>
      <c r="K110" s="105"/>
      <c r="L110" s="105"/>
      <c r="M110" s="106"/>
    </row>
    <row r="111" spans="1:13" hidden="1">
      <c r="A111" s="1" t="str">
        <f ca="1">IFERROR(__xludf.dummyfunction("""COMPUTED_VALUE"""),"GRUPO 12 - INSS")</f>
        <v>GRUPO 12 - INSS</v>
      </c>
      <c r="B111" s="102"/>
      <c r="C111" s="102"/>
      <c r="D111" s="102"/>
      <c r="E111" s="102"/>
      <c r="F111" s="104"/>
      <c r="G111" s="104"/>
      <c r="H111" s="102"/>
      <c r="I111" s="102"/>
      <c r="J111" s="102"/>
      <c r="K111" s="105"/>
      <c r="L111" s="105"/>
      <c r="M111" s="106"/>
    </row>
    <row r="112" spans="1:13" hidden="1">
      <c r="A112" s="1" t="str">
        <f ca="1">IFERROR(__xludf.dummyfunction("""COMPUTED_VALUE"""),"ITEM 48 - MAPA")</f>
        <v>ITEM 48 - MAPA</v>
      </c>
      <c r="B112" s="102"/>
      <c r="C112" s="102"/>
      <c r="D112" s="102"/>
      <c r="E112" s="102"/>
      <c r="F112" s="104"/>
      <c r="G112" s="104"/>
      <c r="H112" s="102"/>
      <c r="I112" s="102"/>
      <c r="J112" s="102"/>
      <c r="K112" s="105"/>
      <c r="L112" s="105"/>
      <c r="M112" s="106"/>
    </row>
    <row r="113" spans="1:13" hidden="1">
      <c r="A113" s="1" t="str">
        <f ca="1">IFERROR(__xludf.dummyfunction("""COMPUTED_VALUE"""),"GRUPO 13 - MC")</f>
        <v>GRUPO 13 - MC</v>
      </c>
      <c r="B113" s="102"/>
      <c r="C113" s="102"/>
      <c r="D113" s="102"/>
      <c r="E113" s="102"/>
      <c r="F113" s="104"/>
      <c r="G113" s="104"/>
      <c r="H113" s="102"/>
      <c r="I113" s="102"/>
      <c r="J113" s="102"/>
      <c r="K113" s="105"/>
      <c r="L113" s="105"/>
      <c r="M113" s="106"/>
    </row>
    <row r="114" spans="1:13" hidden="1">
      <c r="A114" s="1" t="str">
        <f ca="1">IFERROR(__xludf.dummyfunction("""COMPUTED_VALUE"""),"GRUPO 14 - MCom")</f>
        <v>GRUPO 14 - MCom</v>
      </c>
      <c r="B114" s="102"/>
      <c r="C114" s="102"/>
      <c r="D114" s="102"/>
      <c r="E114" s="102"/>
      <c r="F114" s="104"/>
      <c r="G114" s="104"/>
      <c r="H114" s="102"/>
      <c r="I114" s="102"/>
      <c r="J114" s="102"/>
      <c r="K114" s="105"/>
      <c r="L114" s="105"/>
      <c r="M114" s="106"/>
    </row>
    <row r="115" spans="1:13" hidden="1">
      <c r="A115" s="1" t="str">
        <f ca="1">IFERROR(__xludf.dummyfunction("""COMPUTED_VALUE"""),"GRUPO 15 - MCTIC")</f>
        <v>GRUPO 15 - MCTIC</v>
      </c>
      <c r="B115" s="102"/>
      <c r="C115" s="102"/>
      <c r="D115" s="102"/>
      <c r="E115" s="102"/>
      <c r="F115" s="104"/>
      <c r="G115" s="104"/>
      <c r="H115" s="102"/>
      <c r="I115" s="102"/>
      <c r="J115" s="102"/>
      <c r="K115" s="105"/>
      <c r="L115" s="105"/>
      <c r="M115" s="106"/>
    </row>
    <row r="116" spans="1:13" hidden="1">
      <c r="A116" s="1" t="str">
        <f ca="1">IFERROR(__xludf.dummyfunction("""COMPUTED_VALUE"""),"GRUPO 16 - MINFRA")</f>
        <v>GRUPO 16 - MINFRA</v>
      </c>
      <c r="B116" s="102"/>
      <c r="C116" s="102"/>
      <c r="D116" s="102"/>
      <c r="E116" s="102"/>
      <c r="F116" s="104"/>
      <c r="G116" s="104"/>
      <c r="H116" s="102"/>
      <c r="I116" s="102"/>
      <c r="J116" s="102"/>
      <c r="K116" s="105"/>
      <c r="L116" s="105"/>
      <c r="M116" s="106"/>
    </row>
    <row r="117" spans="1:13" hidden="1">
      <c r="A117" s="1" t="str">
        <f ca="1">IFERROR(__xludf.dummyfunction("""COMPUTED_VALUE"""),"GRUPO 17 - MJSP")</f>
        <v>GRUPO 17 - MJSP</v>
      </c>
      <c r="B117" s="102"/>
      <c r="C117" s="102"/>
      <c r="D117" s="102"/>
      <c r="E117" s="102"/>
      <c r="F117" s="104"/>
      <c r="G117" s="104"/>
      <c r="H117" s="102"/>
      <c r="I117" s="102"/>
      <c r="J117" s="102"/>
      <c r="K117" s="105"/>
      <c r="L117" s="105"/>
      <c r="M117" s="106"/>
    </row>
    <row r="118" spans="1:13" hidden="1">
      <c r="A118" s="1" t="str">
        <f ca="1">IFERROR(__xludf.dummyfunction("""COMPUTED_VALUE"""),"GRUPO 18 - MME")</f>
        <v>GRUPO 18 - MME</v>
      </c>
      <c r="B118" s="102"/>
      <c r="C118" s="102"/>
      <c r="D118" s="102"/>
      <c r="E118" s="102"/>
      <c r="F118" s="104"/>
      <c r="G118" s="104"/>
      <c r="H118" s="102"/>
      <c r="I118" s="102"/>
      <c r="J118" s="102"/>
      <c r="K118" s="105"/>
      <c r="L118" s="105"/>
      <c r="M118" s="106"/>
    </row>
    <row r="119" spans="1:13" hidden="1">
      <c r="A119" s="1" t="str">
        <f ca="1">IFERROR(__xludf.dummyfunction("""COMPUTED_VALUE"""),"GRUPO 19 - MS")</f>
        <v>GRUPO 19 - MS</v>
      </c>
      <c r="B119" s="102"/>
      <c r="C119" s="102"/>
      <c r="D119" s="102"/>
      <c r="E119" s="102"/>
      <c r="F119" s="104"/>
      <c r="G119" s="104"/>
      <c r="H119" s="102"/>
      <c r="I119" s="102"/>
      <c r="J119" s="102"/>
      <c r="K119" s="105"/>
      <c r="L119" s="105"/>
      <c r="M119" s="106"/>
    </row>
    <row r="120" spans="1:13" hidden="1">
      <c r="A120" s="1" t="str">
        <f ca="1">IFERROR(__xludf.dummyfunction("""COMPUTED_VALUE"""),"GRUPO 20 - MTur")</f>
        <v>GRUPO 20 - MTur</v>
      </c>
      <c r="B120" s="102"/>
      <c r="C120" s="102"/>
      <c r="D120" s="102"/>
      <c r="E120" s="102"/>
      <c r="F120" s="104"/>
      <c r="G120" s="104"/>
      <c r="H120" s="102"/>
      <c r="I120" s="102"/>
      <c r="J120" s="102"/>
      <c r="K120" s="105"/>
      <c r="L120" s="105"/>
      <c r="M120" s="106"/>
    </row>
    <row r="121" spans="1:13" hidden="1">
      <c r="A121" s="1" t="str">
        <f ca="1">IFERROR(__xludf.dummyfunction("""COMPUTED_VALUE"""),"GRUPO 21 - PF")</f>
        <v>GRUPO 21 - PF</v>
      </c>
      <c r="B121" s="102"/>
      <c r="C121" s="102"/>
      <c r="D121" s="102"/>
      <c r="E121" s="102"/>
      <c r="F121" s="104"/>
      <c r="G121" s="104"/>
      <c r="H121" s="102"/>
      <c r="I121" s="102"/>
      <c r="J121" s="102"/>
      <c r="K121" s="105"/>
      <c r="L121" s="105"/>
      <c r="M121" s="106"/>
    </row>
    <row r="122" spans="1:13" hidden="1">
      <c r="A122" s="1" t="str">
        <f ca="1">IFERROR(__xludf.dummyfunction("""COMPUTED_VALUE"""),"ITEM 85 - PRF")</f>
        <v>ITEM 85 - PRF</v>
      </c>
      <c r="B122" s="102"/>
      <c r="C122" s="102"/>
      <c r="D122" s="102"/>
      <c r="E122" s="102"/>
      <c r="F122" s="104"/>
      <c r="G122" s="104"/>
      <c r="H122" s="102"/>
      <c r="I122" s="102"/>
      <c r="J122" s="102"/>
      <c r="K122" s="105"/>
      <c r="L122" s="105"/>
      <c r="M122" s="106"/>
    </row>
    <row r="123" spans="1:13" hidden="1">
      <c r="B123" s="102"/>
      <c r="C123" s="102"/>
      <c r="D123" s="102"/>
      <c r="E123" s="102"/>
      <c r="F123" s="104"/>
      <c r="G123" s="104"/>
      <c r="H123" s="102"/>
      <c r="I123" s="102"/>
      <c r="J123" s="102"/>
      <c r="K123" s="105"/>
      <c r="L123" s="105"/>
      <c r="M123" s="106"/>
    </row>
    <row r="124" spans="1:13" hidden="1">
      <c r="B124" s="102"/>
      <c r="C124" s="102"/>
      <c r="D124" s="102"/>
      <c r="E124" s="102"/>
      <c r="F124" s="104"/>
      <c r="G124" s="104"/>
      <c r="H124" s="102"/>
      <c r="I124" s="102"/>
      <c r="J124" s="102"/>
      <c r="K124" s="105"/>
      <c r="L124" s="105"/>
      <c r="M124" s="106"/>
    </row>
    <row r="125" spans="1:13" hidden="1">
      <c r="B125" s="102"/>
      <c r="C125" s="102"/>
      <c r="D125" s="102"/>
      <c r="E125" s="102"/>
      <c r="F125" s="104"/>
      <c r="G125" s="104"/>
      <c r="H125" s="102"/>
      <c r="I125" s="102"/>
      <c r="J125" s="102"/>
      <c r="K125" s="105"/>
      <c r="L125" s="105"/>
      <c r="M125" s="106"/>
    </row>
    <row r="126" spans="1:13" hidden="1">
      <c r="B126" s="102"/>
      <c r="C126" s="102"/>
      <c r="D126" s="102"/>
      <c r="E126" s="102"/>
      <c r="F126" s="104"/>
      <c r="G126" s="104"/>
      <c r="H126" s="102"/>
      <c r="I126" s="102"/>
      <c r="J126" s="102"/>
      <c r="K126" s="105"/>
      <c r="L126" s="105"/>
      <c r="M126" s="106"/>
    </row>
    <row r="127" spans="1:13" hidden="1">
      <c r="B127" s="102"/>
      <c r="C127" s="102"/>
      <c r="D127" s="102"/>
      <c r="E127" s="102"/>
      <c r="F127" s="104"/>
      <c r="G127" s="104"/>
      <c r="H127" s="102"/>
      <c r="I127" s="102"/>
      <c r="J127" s="102"/>
      <c r="K127" s="105"/>
      <c r="L127" s="105"/>
      <c r="M127" s="106"/>
    </row>
    <row r="128" spans="1:13" hidden="1">
      <c r="B128" s="102"/>
      <c r="C128" s="102"/>
      <c r="D128" s="102"/>
      <c r="E128" s="102"/>
      <c r="F128" s="104"/>
      <c r="G128" s="104"/>
      <c r="H128" s="102"/>
      <c r="I128" s="102"/>
      <c r="J128" s="102"/>
      <c r="K128" s="105"/>
      <c r="L128" s="105"/>
      <c r="M128" s="106"/>
    </row>
    <row r="129" spans="2:13" hidden="1">
      <c r="B129" s="102"/>
      <c r="C129" s="102"/>
      <c r="D129" s="102"/>
      <c r="E129" s="102"/>
      <c r="F129" s="104"/>
      <c r="G129" s="104"/>
      <c r="H129" s="102"/>
      <c r="I129" s="102"/>
      <c r="J129" s="102"/>
      <c r="K129" s="105"/>
      <c r="L129" s="105"/>
      <c r="M129" s="106"/>
    </row>
    <row r="130" spans="2:13" hidden="1">
      <c r="B130" s="102"/>
      <c r="C130" s="102"/>
      <c r="D130" s="102"/>
      <c r="E130" s="102"/>
      <c r="F130" s="104"/>
      <c r="G130" s="104"/>
      <c r="H130" s="102"/>
      <c r="I130" s="102"/>
      <c r="J130" s="102"/>
      <c r="K130" s="105"/>
      <c r="L130" s="105"/>
      <c r="M130" s="106"/>
    </row>
    <row r="131" spans="2:13" hidden="1">
      <c r="B131" s="102"/>
      <c r="C131" s="102"/>
      <c r="D131" s="102"/>
      <c r="E131" s="102"/>
      <c r="F131" s="104"/>
      <c r="G131" s="104"/>
      <c r="H131" s="102"/>
      <c r="I131" s="102"/>
      <c r="J131" s="102"/>
      <c r="K131" s="105"/>
      <c r="L131" s="105"/>
      <c r="M131" s="106"/>
    </row>
    <row r="132" spans="2:13" hidden="1">
      <c r="B132" s="102"/>
      <c r="C132" s="102"/>
      <c r="D132" s="102"/>
      <c r="E132" s="102"/>
      <c r="F132" s="104"/>
      <c r="G132" s="104"/>
      <c r="H132" s="102"/>
      <c r="I132" s="102"/>
      <c r="J132" s="102"/>
      <c r="K132" s="105"/>
      <c r="L132" s="105"/>
      <c r="M132" s="106"/>
    </row>
    <row r="133" spans="2:13" hidden="1">
      <c r="B133" s="102"/>
      <c r="C133" s="102"/>
      <c r="D133" s="102"/>
      <c r="E133" s="102"/>
      <c r="F133" s="104"/>
      <c r="G133" s="104"/>
      <c r="H133" s="102"/>
      <c r="I133" s="102"/>
      <c r="J133" s="102"/>
      <c r="K133" s="105"/>
      <c r="L133" s="105"/>
      <c r="M133" s="106"/>
    </row>
    <row r="134" spans="2:13" hidden="1">
      <c r="B134" s="102"/>
      <c r="C134" s="102"/>
      <c r="D134" s="102"/>
      <c r="E134" s="102"/>
      <c r="F134" s="104"/>
      <c r="G134" s="104"/>
      <c r="H134" s="102"/>
      <c r="I134" s="102"/>
      <c r="J134" s="102"/>
      <c r="K134" s="105"/>
      <c r="L134" s="105"/>
      <c r="M134" s="106"/>
    </row>
    <row r="135" spans="2:13" hidden="1">
      <c r="B135" s="102"/>
      <c r="C135" s="102"/>
      <c r="D135" s="102"/>
      <c r="E135" s="102"/>
      <c r="F135" s="104"/>
      <c r="G135" s="104"/>
      <c r="H135" s="102"/>
      <c r="I135" s="102"/>
      <c r="J135" s="102"/>
      <c r="K135" s="105"/>
      <c r="L135" s="105"/>
      <c r="M135" s="106"/>
    </row>
    <row r="136" spans="2:13" hidden="1">
      <c r="B136" s="102"/>
      <c r="C136" s="102"/>
      <c r="D136" s="102"/>
      <c r="E136" s="102"/>
      <c r="F136" s="104"/>
      <c r="G136" s="104"/>
      <c r="H136" s="102"/>
      <c r="I136" s="102"/>
      <c r="J136" s="102"/>
      <c r="K136" s="105"/>
      <c r="L136" s="105"/>
      <c r="M136" s="106"/>
    </row>
    <row r="137" spans="2:13" hidden="1">
      <c r="B137" s="102"/>
      <c r="C137" s="102"/>
      <c r="D137" s="102"/>
      <c r="E137" s="102"/>
      <c r="F137" s="104"/>
      <c r="G137" s="104"/>
      <c r="H137" s="102"/>
      <c r="I137" s="102"/>
      <c r="J137" s="102"/>
      <c r="K137" s="105"/>
      <c r="L137" s="105"/>
      <c r="M137" s="106"/>
    </row>
    <row r="138" spans="2:13" hidden="1">
      <c r="B138" s="102"/>
      <c r="C138" s="102"/>
      <c r="D138" s="102"/>
      <c r="E138" s="102"/>
      <c r="F138" s="104"/>
      <c r="G138" s="104"/>
      <c r="H138" s="102"/>
      <c r="I138" s="102"/>
      <c r="J138" s="102"/>
      <c r="K138" s="105"/>
      <c r="L138" s="105"/>
      <c r="M138" s="106"/>
    </row>
    <row r="139" spans="2:13" hidden="1">
      <c r="B139" s="102"/>
      <c r="C139" s="102"/>
      <c r="D139" s="102"/>
      <c r="E139" s="102"/>
      <c r="F139" s="104"/>
      <c r="G139" s="104"/>
      <c r="H139" s="102"/>
      <c r="I139" s="102"/>
      <c r="J139" s="102"/>
      <c r="K139" s="105"/>
      <c r="L139" s="105"/>
      <c r="M139" s="106"/>
    </row>
    <row r="140" spans="2:13" hidden="1">
      <c r="B140" s="102"/>
      <c r="C140" s="102"/>
      <c r="D140" s="102"/>
      <c r="E140" s="102"/>
      <c r="F140" s="104"/>
      <c r="G140" s="104"/>
      <c r="H140" s="102"/>
      <c r="I140" s="102"/>
      <c r="J140" s="102"/>
      <c r="K140" s="105"/>
      <c r="L140" s="105"/>
      <c r="M140" s="106"/>
    </row>
    <row r="141" spans="2:13" hidden="1">
      <c r="B141" s="102"/>
      <c r="C141" s="102"/>
      <c r="D141" s="102"/>
      <c r="E141" s="102"/>
      <c r="F141" s="104"/>
      <c r="G141" s="104"/>
      <c r="H141" s="102"/>
      <c r="I141" s="102"/>
      <c r="J141" s="102"/>
      <c r="K141" s="105"/>
      <c r="L141" s="105"/>
      <c r="M141" s="106"/>
    </row>
    <row r="142" spans="2:13" hidden="1">
      <c r="B142" s="102"/>
      <c r="C142" s="102"/>
      <c r="D142" s="102"/>
      <c r="E142" s="102"/>
      <c r="F142" s="104"/>
      <c r="G142" s="104"/>
      <c r="H142" s="102"/>
      <c r="I142" s="102"/>
      <c r="J142" s="102"/>
      <c r="K142" s="105"/>
      <c r="L142" s="105"/>
      <c r="M142" s="106"/>
    </row>
    <row r="143" spans="2:13" hidden="1">
      <c r="B143" s="102"/>
      <c r="C143" s="102"/>
      <c r="D143" s="102"/>
      <c r="E143" s="102"/>
      <c r="F143" s="104"/>
      <c r="G143" s="104"/>
      <c r="H143" s="102"/>
      <c r="I143" s="102"/>
      <c r="J143" s="102"/>
      <c r="K143" s="105"/>
      <c r="L143" s="105"/>
      <c r="M143" s="106"/>
    </row>
    <row r="144" spans="2:13" hidden="1">
      <c r="B144" s="102"/>
      <c r="C144" s="102"/>
      <c r="D144" s="102"/>
      <c r="E144" s="102"/>
      <c r="F144" s="104"/>
      <c r="G144" s="104"/>
      <c r="H144" s="102"/>
      <c r="I144" s="102"/>
      <c r="J144" s="102"/>
      <c r="K144" s="105"/>
      <c r="L144" s="105"/>
      <c r="M144" s="106"/>
    </row>
    <row r="145" spans="2:13" hidden="1">
      <c r="B145" s="102"/>
      <c r="C145" s="102"/>
      <c r="D145" s="102"/>
      <c r="E145" s="102"/>
      <c r="F145" s="104"/>
      <c r="G145" s="104"/>
      <c r="H145" s="102"/>
      <c r="I145" s="102"/>
      <c r="J145" s="102"/>
      <c r="K145" s="105"/>
      <c r="L145" s="105"/>
      <c r="M145" s="106"/>
    </row>
    <row r="146" spans="2:13" hidden="1">
      <c r="B146" s="102"/>
      <c r="C146" s="102"/>
      <c r="D146" s="102"/>
      <c r="E146" s="102"/>
      <c r="F146" s="104"/>
      <c r="G146" s="104"/>
      <c r="H146" s="102"/>
      <c r="I146" s="102"/>
      <c r="J146" s="102"/>
      <c r="K146" s="105"/>
      <c r="L146" s="105"/>
      <c r="M146" s="106"/>
    </row>
    <row r="147" spans="2:13" hidden="1">
      <c r="B147" s="102"/>
      <c r="C147" s="102"/>
      <c r="D147" s="102"/>
      <c r="E147" s="102"/>
      <c r="F147" s="104"/>
      <c r="G147" s="104"/>
      <c r="H147" s="102"/>
      <c r="I147" s="102"/>
      <c r="J147" s="102"/>
      <c r="K147" s="105"/>
      <c r="L147" s="105"/>
      <c r="M147" s="106"/>
    </row>
    <row r="148" spans="2:13" hidden="1">
      <c r="B148" s="102"/>
      <c r="C148" s="102"/>
      <c r="D148" s="102"/>
      <c r="E148" s="102"/>
      <c r="F148" s="104"/>
      <c r="G148" s="104"/>
      <c r="H148" s="102"/>
      <c r="I148" s="102"/>
      <c r="J148" s="102"/>
      <c r="K148" s="105"/>
      <c r="L148" s="105"/>
      <c r="M148" s="106"/>
    </row>
    <row r="149" spans="2:13" hidden="1">
      <c r="B149" s="102"/>
      <c r="C149" s="102"/>
      <c r="D149" s="102"/>
      <c r="E149" s="102"/>
      <c r="F149" s="104"/>
      <c r="G149" s="104"/>
      <c r="H149" s="102"/>
      <c r="I149" s="102"/>
      <c r="J149" s="102"/>
      <c r="K149" s="105"/>
      <c r="L149" s="105"/>
      <c r="M149" s="106"/>
    </row>
    <row r="150" spans="2:13" hidden="1">
      <c r="B150" s="102"/>
      <c r="C150" s="102"/>
      <c r="D150" s="102"/>
      <c r="E150" s="102"/>
      <c r="F150" s="104"/>
      <c r="G150" s="104"/>
      <c r="H150" s="102"/>
      <c r="I150" s="102"/>
      <c r="J150" s="102"/>
      <c r="K150" s="105"/>
      <c r="L150" s="105"/>
      <c r="M150" s="106"/>
    </row>
    <row r="151" spans="2:13" hidden="1">
      <c r="B151" s="102"/>
      <c r="C151" s="102"/>
      <c r="D151" s="102"/>
      <c r="E151" s="102"/>
      <c r="F151" s="104"/>
      <c r="G151" s="104"/>
      <c r="H151" s="102"/>
      <c r="I151" s="102"/>
      <c r="J151" s="102"/>
      <c r="K151" s="105"/>
      <c r="L151" s="105"/>
      <c r="M151" s="106"/>
    </row>
    <row r="152" spans="2:13" hidden="1">
      <c r="B152" s="102"/>
      <c r="C152" s="102"/>
      <c r="D152" s="102"/>
      <c r="E152" s="102"/>
      <c r="F152" s="104"/>
      <c r="G152" s="104"/>
      <c r="H152" s="102"/>
      <c r="I152" s="102"/>
      <c r="J152" s="102"/>
      <c r="K152" s="105"/>
      <c r="L152" s="105"/>
      <c r="M152" s="106"/>
    </row>
    <row r="153" spans="2:13" hidden="1">
      <c r="B153" s="102"/>
      <c r="C153" s="102"/>
      <c r="D153" s="102"/>
      <c r="E153" s="102"/>
      <c r="F153" s="104"/>
      <c r="G153" s="104"/>
      <c r="H153" s="102"/>
      <c r="I153" s="102"/>
      <c r="J153" s="102"/>
      <c r="K153" s="105"/>
      <c r="L153" s="105"/>
      <c r="M153" s="106"/>
    </row>
    <row r="154" spans="2:13" hidden="1">
      <c r="B154" s="102"/>
      <c r="C154" s="102"/>
      <c r="D154" s="102"/>
      <c r="E154" s="102"/>
      <c r="F154" s="104"/>
      <c r="G154" s="104"/>
      <c r="H154" s="102"/>
      <c r="I154" s="102"/>
      <c r="J154" s="102"/>
      <c r="K154" s="105"/>
      <c r="L154" s="105"/>
      <c r="M154" s="106"/>
    </row>
    <row r="155" spans="2:13" hidden="1">
      <c r="B155" s="102"/>
      <c r="C155" s="102"/>
      <c r="D155" s="102"/>
      <c r="E155" s="102"/>
      <c r="F155" s="104"/>
      <c r="G155" s="104"/>
      <c r="H155" s="102"/>
      <c r="I155" s="102"/>
      <c r="J155" s="102"/>
      <c r="K155" s="105"/>
      <c r="L155" s="105"/>
      <c r="M155" s="106"/>
    </row>
    <row r="156" spans="2:13" hidden="1">
      <c r="B156" s="102"/>
      <c r="C156" s="102"/>
      <c r="D156" s="102"/>
      <c r="E156" s="102"/>
      <c r="F156" s="104"/>
      <c r="G156" s="104"/>
      <c r="H156" s="102"/>
      <c r="I156" s="102"/>
      <c r="J156" s="102"/>
      <c r="K156" s="105"/>
      <c r="L156" s="105"/>
      <c r="M156" s="106"/>
    </row>
    <row r="157" spans="2:13" hidden="1">
      <c r="B157" s="102"/>
      <c r="C157" s="102"/>
      <c r="D157" s="102"/>
      <c r="E157" s="102"/>
      <c r="F157" s="104"/>
      <c r="G157" s="104"/>
      <c r="H157" s="102"/>
      <c r="I157" s="102"/>
      <c r="J157" s="102"/>
      <c r="K157" s="105"/>
      <c r="L157" s="105"/>
      <c r="M157" s="106"/>
    </row>
    <row r="158" spans="2:13" hidden="1">
      <c r="B158" s="102"/>
      <c r="C158" s="102"/>
      <c r="D158" s="102"/>
      <c r="E158" s="102"/>
      <c r="F158" s="104"/>
      <c r="G158" s="104"/>
      <c r="H158" s="102"/>
      <c r="I158" s="102"/>
      <c r="J158" s="102"/>
      <c r="K158" s="105"/>
      <c r="L158" s="105"/>
      <c r="M158" s="106"/>
    </row>
    <row r="159" spans="2:13" hidden="1">
      <c r="B159" s="102"/>
      <c r="C159" s="102"/>
      <c r="D159" s="102"/>
      <c r="E159" s="102"/>
      <c r="F159" s="104"/>
      <c r="G159" s="104"/>
      <c r="H159" s="102"/>
      <c r="I159" s="102"/>
      <c r="J159" s="102"/>
      <c r="K159" s="105"/>
      <c r="L159" s="105"/>
      <c r="M159" s="106"/>
    </row>
    <row r="160" spans="2:13" hidden="1">
      <c r="B160" s="102"/>
      <c r="C160" s="102"/>
      <c r="D160" s="102"/>
      <c r="E160" s="102"/>
      <c r="F160" s="104"/>
      <c r="G160" s="104"/>
      <c r="H160" s="102"/>
      <c r="I160" s="102"/>
      <c r="J160" s="102"/>
      <c r="K160" s="105"/>
      <c r="L160" s="105"/>
      <c r="M160" s="106"/>
    </row>
    <row r="161" spans="2:13" hidden="1">
      <c r="B161" s="102"/>
      <c r="C161" s="102"/>
      <c r="D161" s="102"/>
      <c r="E161" s="102"/>
      <c r="F161" s="104"/>
      <c r="G161" s="104"/>
      <c r="H161" s="102"/>
      <c r="I161" s="102"/>
      <c r="J161" s="102"/>
      <c r="K161" s="105"/>
      <c r="L161" s="105"/>
      <c r="M161" s="106"/>
    </row>
    <row r="162" spans="2:13" hidden="1">
      <c r="B162" s="102"/>
      <c r="C162" s="102"/>
      <c r="D162" s="102"/>
      <c r="E162" s="102"/>
      <c r="F162" s="104"/>
      <c r="G162" s="104"/>
      <c r="H162" s="102"/>
      <c r="I162" s="102"/>
      <c r="J162" s="102"/>
      <c r="K162" s="105"/>
      <c r="L162" s="105"/>
      <c r="M162" s="106"/>
    </row>
    <row r="163" spans="2:13" hidden="1">
      <c r="B163" s="102"/>
      <c r="C163" s="102"/>
      <c r="D163" s="102"/>
      <c r="E163" s="102"/>
      <c r="F163" s="104"/>
      <c r="G163" s="104"/>
      <c r="H163" s="102"/>
      <c r="I163" s="102"/>
      <c r="J163" s="102"/>
      <c r="K163" s="105"/>
      <c r="L163" s="105"/>
      <c r="M163" s="106"/>
    </row>
    <row r="164" spans="2:13" hidden="1">
      <c r="B164" s="102"/>
      <c r="C164" s="102"/>
      <c r="D164" s="102"/>
      <c r="E164" s="102"/>
      <c r="F164" s="104"/>
      <c r="G164" s="104"/>
      <c r="H164" s="102"/>
      <c r="I164" s="102"/>
      <c r="J164" s="102"/>
      <c r="K164" s="105"/>
      <c r="L164" s="105"/>
      <c r="M164" s="106"/>
    </row>
    <row r="165" spans="2:13" hidden="1">
      <c r="B165" s="102"/>
      <c r="C165" s="102"/>
      <c r="D165" s="102"/>
      <c r="E165" s="102"/>
      <c r="F165" s="104"/>
      <c r="G165" s="104"/>
      <c r="H165" s="102"/>
      <c r="I165" s="102"/>
      <c r="J165" s="102"/>
      <c r="K165" s="105"/>
      <c r="L165" s="105"/>
      <c r="M165" s="106"/>
    </row>
    <row r="166" spans="2:13" hidden="1">
      <c r="B166" s="102"/>
      <c r="C166" s="102"/>
      <c r="D166" s="102"/>
      <c r="E166" s="102"/>
      <c r="F166" s="104"/>
      <c r="G166" s="104"/>
      <c r="H166" s="102"/>
      <c r="I166" s="102"/>
      <c r="J166" s="102"/>
      <c r="K166" s="105"/>
      <c r="L166" s="105"/>
      <c r="M166" s="106"/>
    </row>
    <row r="167" spans="2:13" hidden="1">
      <c r="B167" s="102"/>
      <c r="C167" s="102"/>
      <c r="D167" s="102"/>
      <c r="E167" s="102"/>
      <c r="F167" s="104"/>
      <c r="G167" s="104"/>
      <c r="H167" s="102"/>
      <c r="I167" s="102"/>
      <c r="J167" s="102"/>
      <c r="K167" s="105"/>
      <c r="L167" s="105"/>
      <c r="M167" s="106"/>
    </row>
    <row r="168" spans="2:13" hidden="1">
      <c r="B168" s="102"/>
      <c r="C168" s="102"/>
      <c r="D168" s="102"/>
      <c r="E168" s="102"/>
      <c r="F168" s="104"/>
      <c r="G168" s="104"/>
      <c r="H168" s="102"/>
      <c r="I168" s="102"/>
      <c r="J168" s="102"/>
      <c r="K168" s="105"/>
      <c r="L168" s="105"/>
      <c r="M168" s="106"/>
    </row>
    <row r="169" spans="2:13" hidden="1">
      <c r="B169" s="102"/>
      <c r="C169" s="102"/>
      <c r="D169" s="102"/>
      <c r="E169" s="102"/>
      <c r="F169" s="104"/>
      <c r="G169" s="104"/>
      <c r="H169" s="102"/>
      <c r="I169" s="102"/>
      <c r="J169" s="102"/>
      <c r="K169" s="105"/>
      <c r="L169" s="105"/>
      <c r="M169" s="106"/>
    </row>
    <row r="170" spans="2:13" hidden="1">
      <c r="B170" s="102"/>
      <c r="C170" s="102"/>
      <c r="D170" s="102"/>
      <c r="E170" s="102"/>
      <c r="F170" s="104"/>
      <c r="G170" s="104"/>
      <c r="H170" s="102"/>
      <c r="I170" s="102"/>
      <c r="J170" s="102"/>
      <c r="K170" s="105"/>
      <c r="L170" s="105"/>
      <c r="M170" s="106"/>
    </row>
    <row r="171" spans="2:13" hidden="1">
      <c r="B171" s="102"/>
      <c r="C171" s="102"/>
      <c r="D171" s="102"/>
      <c r="E171" s="102"/>
      <c r="F171" s="104"/>
      <c r="G171" s="104"/>
      <c r="H171" s="102"/>
      <c r="I171" s="102"/>
      <c r="J171" s="102"/>
      <c r="K171" s="105"/>
      <c r="L171" s="105"/>
      <c r="M171" s="106"/>
    </row>
    <row r="172" spans="2:13" hidden="1">
      <c r="B172" s="102"/>
      <c r="C172" s="102"/>
      <c r="D172" s="102"/>
      <c r="E172" s="102"/>
      <c r="F172" s="104"/>
      <c r="G172" s="104"/>
      <c r="H172" s="102"/>
      <c r="I172" s="102"/>
      <c r="J172" s="102"/>
      <c r="K172" s="105"/>
      <c r="L172" s="105"/>
      <c r="M172" s="106"/>
    </row>
    <row r="173" spans="2:13" hidden="1">
      <c r="B173" s="102"/>
      <c r="C173" s="102"/>
      <c r="D173" s="102"/>
      <c r="E173" s="102"/>
      <c r="F173" s="104"/>
      <c r="G173" s="104"/>
      <c r="H173" s="102"/>
      <c r="I173" s="102"/>
      <c r="J173" s="102"/>
      <c r="K173" s="105"/>
      <c r="L173" s="105"/>
      <c r="M173" s="106"/>
    </row>
    <row r="174" spans="2:13" hidden="1">
      <c r="B174" s="102"/>
      <c r="C174" s="102"/>
      <c r="D174" s="102"/>
      <c r="E174" s="102"/>
      <c r="F174" s="104"/>
      <c r="G174" s="104"/>
      <c r="H174" s="102"/>
      <c r="I174" s="102"/>
      <c r="J174" s="102"/>
      <c r="K174" s="105"/>
      <c r="L174" s="105"/>
      <c r="M174" s="106"/>
    </row>
    <row r="175" spans="2:13" hidden="1">
      <c r="B175" s="102"/>
      <c r="C175" s="102"/>
      <c r="D175" s="102"/>
      <c r="E175" s="102"/>
      <c r="F175" s="104"/>
      <c r="G175" s="104"/>
      <c r="H175" s="102"/>
      <c r="I175" s="102"/>
      <c r="J175" s="102"/>
      <c r="K175" s="105"/>
      <c r="L175" s="105"/>
      <c r="M175" s="106"/>
    </row>
    <row r="176" spans="2:13" hidden="1">
      <c r="B176" s="102"/>
      <c r="C176" s="102"/>
      <c r="D176" s="102"/>
      <c r="E176" s="102"/>
      <c r="F176" s="104"/>
      <c r="G176" s="104"/>
      <c r="H176" s="102"/>
      <c r="I176" s="102"/>
      <c r="J176" s="102"/>
      <c r="K176" s="105"/>
      <c r="L176" s="105"/>
      <c r="M176" s="106"/>
    </row>
    <row r="177" spans="2:13" hidden="1">
      <c r="B177" s="102"/>
      <c r="C177" s="102"/>
      <c r="D177" s="102"/>
      <c r="E177" s="102"/>
      <c r="F177" s="104"/>
      <c r="G177" s="104"/>
      <c r="H177" s="102"/>
      <c r="I177" s="102"/>
      <c r="J177" s="102"/>
      <c r="K177" s="105"/>
      <c r="L177" s="105"/>
      <c r="M177" s="106"/>
    </row>
    <row r="178" spans="2:13" hidden="1">
      <c r="B178" s="102"/>
      <c r="C178" s="102"/>
      <c r="D178" s="102"/>
      <c r="E178" s="102"/>
      <c r="F178" s="104"/>
      <c r="G178" s="104"/>
      <c r="H178" s="102"/>
      <c r="I178" s="102"/>
      <c r="J178" s="102"/>
      <c r="K178" s="105"/>
      <c r="L178" s="105"/>
      <c r="M178" s="106"/>
    </row>
    <row r="179" spans="2:13" hidden="1">
      <c r="B179" s="102"/>
      <c r="C179" s="102"/>
      <c r="D179" s="102"/>
      <c r="E179" s="102"/>
      <c r="F179" s="104"/>
      <c r="G179" s="104"/>
      <c r="H179" s="102"/>
      <c r="I179" s="102"/>
      <c r="J179" s="102"/>
      <c r="K179" s="105"/>
      <c r="L179" s="105"/>
      <c r="M179" s="106"/>
    </row>
    <row r="180" spans="2:13" hidden="1">
      <c r="B180" s="102"/>
      <c r="C180" s="102"/>
      <c r="D180" s="102"/>
      <c r="E180" s="102"/>
      <c r="F180" s="104"/>
      <c r="G180" s="104"/>
      <c r="H180" s="102"/>
      <c r="I180" s="102"/>
      <c r="J180" s="102"/>
      <c r="K180" s="105"/>
      <c r="L180" s="105"/>
      <c r="M180" s="106"/>
    </row>
    <row r="181" spans="2:13" hidden="1">
      <c r="B181" s="102"/>
      <c r="C181" s="102"/>
      <c r="D181" s="102"/>
      <c r="E181" s="102"/>
      <c r="F181" s="104"/>
      <c r="G181" s="104"/>
      <c r="H181" s="102"/>
      <c r="I181" s="102"/>
      <c r="J181" s="102"/>
      <c r="K181" s="105"/>
      <c r="L181" s="105"/>
      <c r="M181" s="106"/>
    </row>
    <row r="182" spans="2:13" hidden="1">
      <c r="B182" s="102"/>
      <c r="C182" s="102"/>
      <c r="D182" s="102"/>
      <c r="E182" s="102"/>
      <c r="F182" s="104"/>
      <c r="G182" s="104"/>
      <c r="H182" s="102"/>
      <c r="I182" s="102"/>
      <c r="J182" s="102"/>
      <c r="K182" s="105"/>
      <c r="L182" s="105"/>
      <c r="M182" s="106"/>
    </row>
    <row r="183" spans="2:13" hidden="1">
      <c r="B183" s="102"/>
      <c r="C183" s="102"/>
      <c r="D183" s="102"/>
      <c r="E183" s="102"/>
      <c r="F183" s="104"/>
      <c r="G183" s="104"/>
      <c r="H183" s="102"/>
      <c r="I183" s="102"/>
      <c r="J183" s="102"/>
      <c r="K183" s="105"/>
      <c r="L183" s="105"/>
      <c r="M183" s="106"/>
    </row>
    <row r="184" spans="2:13" hidden="1">
      <c r="B184" s="102"/>
      <c r="C184" s="102"/>
      <c r="D184" s="102"/>
      <c r="E184" s="102"/>
      <c r="F184" s="104"/>
      <c r="G184" s="104"/>
      <c r="H184" s="102"/>
      <c r="I184" s="102"/>
      <c r="J184" s="102"/>
      <c r="K184" s="105"/>
      <c r="L184" s="105"/>
      <c r="M184" s="106"/>
    </row>
    <row r="185" spans="2:13" hidden="1">
      <c r="B185" s="102"/>
      <c r="C185" s="102"/>
      <c r="D185" s="102"/>
      <c r="E185" s="102"/>
      <c r="F185" s="104"/>
      <c r="G185" s="104"/>
      <c r="H185" s="102"/>
      <c r="I185" s="102"/>
      <c r="J185" s="102"/>
      <c r="K185" s="105"/>
      <c r="L185" s="105"/>
      <c r="M185" s="106"/>
    </row>
    <row r="186" spans="2:13" hidden="1">
      <c r="B186" s="102"/>
      <c r="C186" s="102"/>
      <c r="D186" s="102"/>
      <c r="E186" s="102"/>
      <c r="F186" s="104"/>
      <c r="G186" s="104"/>
      <c r="H186" s="102"/>
      <c r="I186" s="102"/>
      <c r="J186" s="102"/>
      <c r="K186" s="105"/>
      <c r="L186" s="105"/>
      <c r="M186" s="106"/>
    </row>
    <row r="187" spans="2:13" hidden="1">
      <c r="B187" s="102"/>
      <c r="C187" s="102"/>
      <c r="D187" s="102"/>
      <c r="E187" s="102"/>
      <c r="F187" s="104"/>
      <c r="G187" s="104"/>
      <c r="H187" s="102"/>
      <c r="I187" s="102"/>
      <c r="J187" s="102"/>
      <c r="K187" s="105"/>
      <c r="L187" s="105"/>
      <c r="M187" s="106"/>
    </row>
    <row r="188" spans="2:13" hidden="1">
      <c r="B188" s="102"/>
      <c r="C188" s="102"/>
      <c r="D188" s="102"/>
      <c r="E188" s="102"/>
      <c r="F188" s="104"/>
      <c r="G188" s="104"/>
      <c r="H188" s="102"/>
      <c r="I188" s="102"/>
      <c r="J188" s="102"/>
      <c r="K188" s="105"/>
      <c r="L188" s="105"/>
      <c r="M188" s="106"/>
    </row>
    <row r="189" spans="2:13" hidden="1">
      <c r="B189" s="102"/>
      <c r="C189" s="102"/>
      <c r="D189" s="102"/>
      <c r="E189" s="102"/>
      <c r="F189" s="104"/>
      <c r="G189" s="104"/>
      <c r="H189" s="102"/>
      <c r="I189" s="102"/>
      <c r="J189" s="102"/>
      <c r="K189" s="105"/>
      <c r="L189" s="105"/>
      <c r="M189" s="106"/>
    </row>
    <row r="190" spans="2:13" hidden="1">
      <c r="B190" s="102"/>
      <c r="C190" s="102"/>
      <c r="D190" s="102"/>
      <c r="E190" s="102"/>
      <c r="F190" s="104"/>
      <c r="G190" s="104"/>
      <c r="H190" s="102"/>
      <c r="I190" s="102"/>
      <c r="J190" s="102"/>
      <c r="K190" s="105"/>
      <c r="L190" s="105"/>
      <c r="M190" s="106"/>
    </row>
    <row r="191" spans="2:13" hidden="1">
      <c r="B191" s="102"/>
      <c r="C191" s="102"/>
      <c r="D191" s="102"/>
      <c r="E191" s="102"/>
      <c r="F191" s="104"/>
      <c r="G191" s="104"/>
      <c r="H191" s="102"/>
      <c r="I191" s="102"/>
      <c r="J191" s="102"/>
      <c r="K191" s="105"/>
      <c r="L191" s="105"/>
      <c r="M191" s="106"/>
    </row>
    <row r="192" spans="2:13" hidden="1">
      <c r="B192" s="102"/>
      <c r="C192" s="102"/>
      <c r="D192" s="102"/>
      <c r="E192" s="102"/>
      <c r="F192" s="104"/>
      <c r="G192" s="104"/>
      <c r="H192" s="102"/>
      <c r="I192" s="102"/>
      <c r="J192" s="102"/>
      <c r="K192" s="105"/>
      <c r="L192" s="105"/>
      <c r="M192" s="106"/>
    </row>
    <row r="193" spans="2:13" hidden="1">
      <c r="B193" s="102"/>
      <c r="C193" s="102"/>
      <c r="D193" s="102"/>
      <c r="E193" s="102"/>
      <c r="F193" s="104"/>
      <c r="G193" s="104"/>
      <c r="H193" s="102"/>
      <c r="I193" s="102"/>
      <c r="J193" s="102"/>
      <c r="K193" s="105"/>
      <c r="L193" s="105"/>
      <c r="M193" s="106"/>
    </row>
    <row r="194" spans="2:13" hidden="1">
      <c r="B194" s="102"/>
      <c r="C194" s="102"/>
      <c r="D194" s="102"/>
      <c r="E194" s="102"/>
      <c r="F194" s="104"/>
      <c r="G194" s="104"/>
      <c r="H194" s="102"/>
      <c r="I194" s="102"/>
      <c r="J194" s="102"/>
      <c r="K194" s="105"/>
      <c r="L194" s="105"/>
      <c r="M194" s="106"/>
    </row>
    <row r="195" spans="2:13" hidden="1">
      <c r="B195" s="102"/>
      <c r="C195" s="102"/>
      <c r="D195" s="102"/>
      <c r="E195" s="102"/>
      <c r="F195" s="104"/>
      <c r="G195" s="104"/>
      <c r="H195" s="102"/>
      <c r="I195" s="102"/>
      <c r="J195" s="102"/>
      <c r="K195" s="105"/>
      <c r="L195" s="105"/>
      <c r="M195" s="106"/>
    </row>
    <row r="196" spans="2:13" hidden="1">
      <c r="B196" s="102"/>
      <c r="C196" s="102"/>
      <c r="D196" s="102"/>
      <c r="E196" s="102"/>
      <c r="F196" s="104"/>
      <c r="G196" s="104"/>
      <c r="H196" s="102"/>
      <c r="I196" s="102"/>
      <c r="J196" s="102"/>
      <c r="K196" s="105"/>
      <c r="L196" s="105"/>
      <c r="M196" s="106"/>
    </row>
    <row r="197" spans="2:13" hidden="1">
      <c r="B197" s="102"/>
      <c r="C197" s="102"/>
      <c r="D197" s="102"/>
      <c r="E197" s="102"/>
      <c r="F197" s="104"/>
      <c r="G197" s="104"/>
      <c r="H197" s="102"/>
      <c r="I197" s="102"/>
      <c r="J197" s="102"/>
      <c r="K197" s="105"/>
      <c r="L197" s="105"/>
      <c r="M197" s="106"/>
    </row>
    <row r="198" spans="2:13" hidden="1">
      <c r="B198" s="102"/>
      <c r="C198" s="102"/>
      <c r="D198" s="102"/>
      <c r="E198" s="102"/>
      <c r="F198" s="104"/>
      <c r="G198" s="104"/>
      <c r="H198" s="102"/>
      <c r="I198" s="102"/>
      <c r="J198" s="102"/>
      <c r="K198" s="105"/>
      <c r="L198" s="105"/>
      <c r="M198" s="106"/>
    </row>
    <row r="199" spans="2:13" hidden="1">
      <c r="B199" s="102"/>
      <c r="C199" s="102"/>
      <c r="D199" s="102"/>
      <c r="E199" s="102"/>
      <c r="F199" s="104"/>
      <c r="G199" s="104"/>
      <c r="H199" s="102"/>
      <c r="I199" s="102"/>
      <c r="J199" s="102"/>
      <c r="K199" s="105"/>
      <c r="L199" s="105"/>
      <c r="M199" s="106"/>
    </row>
    <row r="200" spans="2:13" hidden="1">
      <c r="B200" s="102"/>
      <c r="C200" s="102"/>
      <c r="D200" s="102"/>
      <c r="E200" s="102"/>
      <c r="F200" s="104"/>
      <c r="G200" s="104"/>
      <c r="H200" s="102"/>
      <c r="I200" s="102"/>
      <c r="J200" s="102"/>
      <c r="K200" s="105"/>
      <c r="L200" s="105"/>
      <c r="M200" s="106"/>
    </row>
    <row r="201" spans="2:13" hidden="1">
      <c r="B201" s="102"/>
      <c r="C201" s="102"/>
      <c r="D201" s="102"/>
      <c r="E201" s="102"/>
      <c r="F201" s="104"/>
      <c r="G201" s="104"/>
      <c r="H201" s="102"/>
      <c r="I201" s="102"/>
      <c r="J201" s="102"/>
      <c r="K201" s="105"/>
      <c r="L201" s="105"/>
      <c r="M201" s="106"/>
    </row>
    <row r="202" spans="2:13" hidden="1">
      <c r="B202" s="102"/>
      <c r="C202" s="102"/>
      <c r="D202" s="102"/>
      <c r="E202" s="102"/>
      <c r="F202" s="104"/>
      <c r="G202" s="104"/>
      <c r="H202" s="102"/>
      <c r="I202" s="102"/>
      <c r="J202" s="102"/>
      <c r="K202" s="105"/>
      <c r="L202" s="105"/>
      <c r="M202" s="106"/>
    </row>
    <row r="203" spans="2:13" hidden="1">
      <c r="B203" s="102"/>
      <c r="C203" s="102"/>
      <c r="D203" s="102"/>
      <c r="E203" s="102"/>
      <c r="F203" s="104"/>
      <c r="G203" s="104"/>
      <c r="H203" s="102"/>
      <c r="I203" s="102"/>
      <c r="J203" s="102"/>
      <c r="K203" s="105"/>
      <c r="L203" s="105"/>
      <c r="M203" s="106"/>
    </row>
    <row r="204" spans="2:13" hidden="1">
      <c r="B204" s="102"/>
      <c r="C204" s="102"/>
      <c r="D204" s="102"/>
      <c r="E204" s="102"/>
      <c r="F204" s="104"/>
      <c r="G204" s="104"/>
      <c r="H204" s="102"/>
      <c r="I204" s="102"/>
      <c r="J204" s="102"/>
      <c r="K204" s="105"/>
      <c r="L204" s="105"/>
      <c r="M204" s="106"/>
    </row>
    <row r="205" spans="2:13" hidden="1">
      <c r="B205" s="102"/>
      <c r="C205" s="102"/>
      <c r="D205" s="102"/>
      <c r="E205" s="102"/>
      <c r="F205" s="104"/>
      <c r="G205" s="104"/>
      <c r="H205" s="102"/>
      <c r="I205" s="102"/>
      <c r="J205" s="102"/>
      <c r="K205" s="105"/>
      <c r="L205" s="105"/>
      <c r="M205" s="106"/>
    </row>
    <row r="206" spans="2:13" hidden="1">
      <c r="B206" s="102"/>
      <c r="C206" s="102"/>
      <c r="D206" s="102"/>
      <c r="E206" s="102"/>
      <c r="F206" s="104"/>
      <c r="G206" s="104"/>
      <c r="H206" s="102"/>
      <c r="I206" s="102"/>
      <c r="J206" s="102"/>
      <c r="K206" s="105"/>
      <c r="L206" s="105"/>
      <c r="M206" s="106"/>
    </row>
    <row r="207" spans="2:13" hidden="1">
      <c r="B207" s="102"/>
      <c r="C207" s="102"/>
      <c r="D207" s="102"/>
      <c r="E207" s="102"/>
      <c r="F207" s="104"/>
      <c r="G207" s="104"/>
      <c r="H207" s="102"/>
      <c r="I207" s="102"/>
      <c r="J207" s="102"/>
      <c r="K207" s="105"/>
      <c r="L207" s="105"/>
      <c r="M207" s="106"/>
    </row>
    <row r="208" spans="2:13" hidden="1">
      <c r="B208" s="102"/>
      <c r="C208" s="102"/>
      <c r="D208" s="102"/>
      <c r="E208" s="102"/>
      <c r="F208" s="104"/>
      <c r="G208" s="104"/>
      <c r="H208" s="102"/>
      <c r="I208" s="102"/>
      <c r="J208" s="102"/>
      <c r="K208" s="105"/>
      <c r="L208" s="105"/>
      <c r="M208" s="106"/>
    </row>
    <row r="209" spans="2:13" hidden="1">
      <c r="B209" s="102"/>
      <c r="C209" s="102"/>
      <c r="D209" s="102"/>
      <c r="E209" s="102"/>
      <c r="F209" s="104"/>
      <c r="G209" s="104"/>
      <c r="H209" s="102"/>
      <c r="I209" s="102"/>
      <c r="J209" s="102"/>
      <c r="K209" s="105"/>
      <c r="L209" s="105"/>
      <c r="M209" s="106"/>
    </row>
    <row r="210" spans="2:13" hidden="1">
      <c r="B210" s="102"/>
      <c r="C210" s="102"/>
      <c r="D210" s="102"/>
      <c r="E210" s="102"/>
      <c r="F210" s="104"/>
      <c r="G210" s="104"/>
      <c r="H210" s="102"/>
      <c r="I210" s="102"/>
      <c r="J210" s="102"/>
      <c r="K210" s="105"/>
      <c r="L210" s="105"/>
      <c r="M210" s="106"/>
    </row>
    <row r="211" spans="2:13" hidden="1">
      <c r="B211" s="102"/>
      <c r="C211" s="102"/>
      <c r="D211" s="102"/>
      <c r="E211" s="102"/>
      <c r="F211" s="104"/>
      <c r="G211" s="104"/>
      <c r="H211" s="102"/>
      <c r="I211" s="102"/>
      <c r="J211" s="102"/>
      <c r="K211" s="105"/>
      <c r="L211" s="105"/>
      <c r="M211" s="106"/>
    </row>
    <row r="212" spans="2:13" hidden="1">
      <c r="B212" s="102"/>
      <c r="C212" s="102"/>
      <c r="D212" s="102"/>
      <c r="E212" s="102"/>
      <c r="F212" s="104"/>
      <c r="G212" s="104"/>
      <c r="H212" s="102"/>
      <c r="I212" s="102"/>
      <c r="J212" s="102"/>
      <c r="K212" s="105"/>
      <c r="L212" s="105"/>
      <c r="M212" s="106"/>
    </row>
    <row r="213" spans="2:13" hidden="1">
      <c r="B213" s="102"/>
      <c r="C213" s="102"/>
      <c r="D213" s="102"/>
      <c r="E213" s="102"/>
      <c r="F213" s="104"/>
      <c r="G213" s="104"/>
      <c r="H213" s="102"/>
      <c r="I213" s="102"/>
      <c r="J213" s="102"/>
      <c r="K213" s="105"/>
      <c r="L213" s="105"/>
      <c r="M213" s="106"/>
    </row>
    <row r="214" spans="2:13" hidden="1">
      <c r="B214" s="102"/>
      <c r="C214" s="102"/>
      <c r="D214" s="102"/>
      <c r="E214" s="102"/>
      <c r="F214" s="104"/>
      <c r="G214" s="104"/>
      <c r="H214" s="102"/>
      <c r="I214" s="102"/>
      <c r="J214" s="102"/>
      <c r="K214" s="105"/>
      <c r="L214" s="105"/>
      <c r="M214" s="106"/>
    </row>
    <row r="215" spans="2:13" hidden="1">
      <c r="B215" s="102"/>
      <c r="C215" s="102"/>
      <c r="D215" s="102"/>
      <c r="E215" s="102"/>
      <c r="F215" s="104"/>
      <c r="G215" s="104"/>
      <c r="H215" s="102"/>
      <c r="I215" s="102"/>
      <c r="J215" s="102"/>
      <c r="K215" s="105"/>
      <c r="L215" s="105"/>
      <c r="M215" s="106"/>
    </row>
    <row r="216" spans="2:13" hidden="1">
      <c r="B216" s="102"/>
      <c r="C216" s="102"/>
      <c r="D216" s="102"/>
      <c r="E216" s="102"/>
      <c r="F216" s="104"/>
      <c r="G216" s="104"/>
      <c r="H216" s="102"/>
      <c r="I216" s="102"/>
      <c r="J216" s="102"/>
      <c r="K216" s="105"/>
      <c r="L216" s="105"/>
      <c r="M216" s="106"/>
    </row>
    <row r="217" spans="2:13" hidden="1">
      <c r="B217" s="102"/>
      <c r="C217" s="102"/>
      <c r="D217" s="102"/>
      <c r="E217" s="102"/>
      <c r="F217" s="104"/>
      <c r="G217" s="104"/>
      <c r="H217" s="102"/>
      <c r="I217" s="102"/>
      <c r="J217" s="102"/>
      <c r="K217" s="105"/>
      <c r="L217" s="105"/>
      <c r="M217" s="106"/>
    </row>
    <row r="218" spans="2:13" hidden="1">
      <c r="B218" s="102"/>
      <c r="C218" s="102"/>
      <c r="D218" s="102"/>
      <c r="E218" s="102"/>
      <c r="F218" s="104"/>
      <c r="G218" s="104"/>
      <c r="H218" s="102"/>
      <c r="I218" s="102"/>
      <c r="J218" s="102"/>
      <c r="K218" s="105"/>
      <c r="L218" s="105"/>
      <c r="M218" s="106"/>
    </row>
    <row r="219" spans="2:13" hidden="1">
      <c r="B219" s="102"/>
      <c r="C219" s="102"/>
      <c r="D219" s="102"/>
      <c r="E219" s="102"/>
      <c r="F219" s="104"/>
      <c r="G219" s="104"/>
      <c r="H219" s="102"/>
      <c r="I219" s="102"/>
      <c r="J219" s="102"/>
      <c r="K219" s="105"/>
      <c r="L219" s="105"/>
      <c r="M219" s="106"/>
    </row>
    <row r="220" spans="2:13" hidden="1">
      <c r="B220" s="102"/>
      <c r="C220" s="102"/>
      <c r="D220" s="102"/>
      <c r="E220" s="102"/>
      <c r="F220" s="104"/>
      <c r="G220" s="104"/>
      <c r="H220" s="102"/>
      <c r="I220" s="102"/>
      <c r="J220" s="102"/>
      <c r="K220" s="105"/>
      <c r="L220" s="105"/>
      <c r="M220" s="106"/>
    </row>
    <row r="221" spans="2:13" hidden="1">
      <c r="B221" s="102"/>
      <c r="C221" s="102"/>
      <c r="D221" s="102"/>
      <c r="E221" s="102"/>
      <c r="F221" s="104"/>
      <c r="G221" s="104"/>
      <c r="H221" s="102"/>
      <c r="I221" s="102"/>
      <c r="J221" s="102"/>
      <c r="K221" s="105"/>
      <c r="L221" s="105"/>
      <c r="M221" s="106"/>
    </row>
    <row r="222" spans="2:13" hidden="1">
      <c r="B222" s="102"/>
      <c r="C222" s="102"/>
      <c r="D222" s="102"/>
      <c r="E222" s="102"/>
      <c r="F222" s="104"/>
      <c r="G222" s="104"/>
      <c r="H222" s="102"/>
      <c r="I222" s="102"/>
      <c r="J222" s="102"/>
      <c r="K222" s="105"/>
      <c r="L222" s="105"/>
      <c r="M222" s="106"/>
    </row>
    <row r="223" spans="2:13" hidden="1">
      <c r="B223" s="102"/>
      <c r="C223" s="102"/>
      <c r="D223" s="102"/>
      <c r="E223" s="102"/>
      <c r="F223" s="104"/>
      <c r="G223" s="104"/>
      <c r="H223" s="102"/>
      <c r="I223" s="102"/>
      <c r="J223" s="102"/>
      <c r="K223" s="105"/>
      <c r="L223" s="105"/>
      <c r="M223" s="106"/>
    </row>
    <row r="224" spans="2:13" hidden="1">
      <c r="B224" s="102"/>
      <c r="C224" s="102"/>
      <c r="D224" s="102"/>
      <c r="E224" s="102"/>
      <c r="F224" s="104"/>
      <c r="G224" s="104"/>
      <c r="H224" s="102"/>
      <c r="I224" s="102"/>
      <c r="J224" s="102"/>
      <c r="K224" s="105"/>
      <c r="L224" s="105"/>
      <c r="M224" s="106"/>
    </row>
    <row r="225" spans="2:13" hidden="1">
      <c r="B225" s="102"/>
      <c r="C225" s="102"/>
      <c r="D225" s="102"/>
      <c r="E225" s="102"/>
      <c r="F225" s="104"/>
      <c r="G225" s="104"/>
      <c r="H225" s="102"/>
      <c r="I225" s="102"/>
      <c r="J225" s="102"/>
      <c r="K225" s="105"/>
      <c r="L225" s="105"/>
      <c r="M225" s="106"/>
    </row>
    <row r="226" spans="2:13" hidden="1">
      <c r="B226" s="102"/>
      <c r="C226" s="102"/>
      <c r="D226" s="102"/>
      <c r="E226" s="102"/>
      <c r="F226" s="104"/>
      <c r="G226" s="104"/>
      <c r="H226" s="102"/>
      <c r="I226" s="102"/>
      <c r="J226" s="102"/>
      <c r="K226" s="105"/>
      <c r="L226" s="105"/>
      <c r="M226" s="106"/>
    </row>
    <row r="227" spans="2:13" hidden="1">
      <c r="B227" s="102"/>
      <c r="C227" s="102"/>
      <c r="D227" s="102"/>
      <c r="E227" s="102"/>
      <c r="F227" s="104"/>
      <c r="G227" s="104"/>
      <c r="H227" s="102"/>
      <c r="I227" s="102"/>
      <c r="J227" s="102"/>
      <c r="K227" s="105"/>
      <c r="L227" s="105"/>
      <c r="M227" s="106"/>
    </row>
    <row r="228" spans="2:13" hidden="1">
      <c r="B228" s="102"/>
      <c r="C228" s="102"/>
      <c r="D228" s="102"/>
      <c r="E228" s="102"/>
      <c r="F228" s="104"/>
      <c r="G228" s="104"/>
      <c r="H228" s="102"/>
      <c r="I228" s="102"/>
      <c r="J228" s="102"/>
      <c r="K228" s="105"/>
      <c r="L228" s="105"/>
      <c r="M228" s="106"/>
    </row>
    <row r="229" spans="2:13" hidden="1">
      <c r="B229" s="102"/>
      <c r="C229" s="102"/>
      <c r="D229" s="102"/>
      <c r="E229" s="102"/>
      <c r="F229" s="104"/>
      <c r="G229" s="104"/>
      <c r="H229" s="102"/>
      <c r="I229" s="102"/>
      <c r="J229" s="102"/>
      <c r="K229" s="105"/>
      <c r="L229" s="105"/>
      <c r="M229" s="106"/>
    </row>
    <row r="230" spans="2:13" hidden="1">
      <c r="B230" s="102"/>
      <c r="C230" s="102"/>
      <c r="D230" s="102"/>
      <c r="E230" s="102"/>
      <c r="F230" s="104"/>
      <c r="G230" s="104"/>
      <c r="H230" s="102"/>
      <c r="I230" s="102"/>
      <c r="J230" s="102"/>
      <c r="K230" s="105"/>
      <c r="L230" s="105"/>
      <c r="M230" s="106"/>
    </row>
    <row r="231" spans="2:13" hidden="1">
      <c r="B231" s="102"/>
      <c r="C231" s="102"/>
      <c r="D231" s="102"/>
      <c r="E231" s="102"/>
      <c r="F231" s="104"/>
      <c r="G231" s="104"/>
      <c r="H231" s="102"/>
      <c r="I231" s="102"/>
      <c r="J231" s="102"/>
      <c r="K231" s="105"/>
      <c r="L231" s="105"/>
      <c r="M231" s="106"/>
    </row>
    <row r="232" spans="2:13" hidden="1">
      <c r="B232" s="102"/>
      <c r="C232" s="102"/>
      <c r="D232" s="102"/>
      <c r="E232" s="102"/>
      <c r="F232" s="104"/>
      <c r="G232" s="104"/>
      <c r="H232" s="102"/>
      <c r="I232" s="102"/>
      <c r="J232" s="102"/>
      <c r="K232" s="105"/>
      <c r="L232" s="105"/>
      <c r="M232" s="106"/>
    </row>
    <row r="233" spans="2:13" hidden="1">
      <c r="B233" s="102"/>
      <c r="C233" s="102"/>
      <c r="D233" s="102"/>
      <c r="E233" s="102"/>
      <c r="F233" s="104"/>
      <c r="G233" s="104"/>
      <c r="H233" s="102"/>
      <c r="I233" s="102"/>
      <c r="J233" s="102"/>
      <c r="K233" s="105"/>
      <c r="L233" s="105"/>
      <c r="M233" s="106"/>
    </row>
    <row r="234" spans="2:13" hidden="1">
      <c r="B234" s="102"/>
      <c r="C234" s="102"/>
      <c r="D234" s="102"/>
      <c r="E234" s="102"/>
      <c r="F234" s="104"/>
      <c r="G234" s="104"/>
      <c r="H234" s="102"/>
      <c r="I234" s="102"/>
      <c r="J234" s="102"/>
      <c r="K234" s="105"/>
      <c r="L234" s="105"/>
      <c r="M234" s="106"/>
    </row>
    <row r="235" spans="2:13" hidden="1">
      <c r="B235" s="102"/>
      <c r="C235" s="102"/>
      <c r="D235" s="102"/>
      <c r="E235" s="102"/>
      <c r="F235" s="104"/>
      <c r="G235" s="104"/>
      <c r="H235" s="102"/>
      <c r="I235" s="102"/>
      <c r="J235" s="102"/>
      <c r="K235" s="105"/>
      <c r="L235" s="105"/>
      <c r="M235" s="106"/>
    </row>
    <row r="236" spans="2:13" hidden="1">
      <c r="B236" s="102"/>
      <c r="C236" s="102"/>
      <c r="D236" s="102"/>
      <c r="E236" s="102"/>
      <c r="F236" s="104"/>
      <c r="G236" s="104"/>
      <c r="H236" s="102"/>
      <c r="I236" s="102"/>
      <c r="J236" s="102"/>
      <c r="K236" s="105"/>
      <c r="L236" s="105"/>
      <c r="M236" s="106"/>
    </row>
    <row r="237" spans="2:13" hidden="1">
      <c r="B237" s="102"/>
      <c r="C237" s="102"/>
      <c r="D237" s="102"/>
      <c r="E237" s="102"/>
      <c r="F237" s="104"/>
      <c r="G237" s="104"/>
      <c r="H237" s="102"/>
      <c r="I237" s="102"/>
      <c r="J237" s="102"/>
      <c r="K237" s="105"/>
      <c r="L237" s="105"/>
      <c r="M237" s="106"/>
    </row>
    <row r="238" spans="2:13" hidden="1">
      <c r="B238" s="102"/>
      <c r="C238" s="102"/>
      <c r="D238" s="102"/>
      <c r="E238" s="102"/>
      <c r="F238" s="104"/>
      <c r="G238" s="104"/>
      <c r="H238" s="102"/>
      <c r="I238" s="102"/>
      <c r="J238" s="102"/>
      <c r="K238" s="105"/>
      <c r="L238" s="105"/>
      <c r="M238" s="106"/>
    </row>
    <row r="239" spans="2:13" hidden="1">
      <c r="B239" s="102"/>
      <c r="C239" s="102"/>
      <c r="D239" s="102"/>
      <c r="E239" s="102"/>
      <c r="F239" s="104"/>
      <c r="G239" s="104"/>
      <c r="H239" s="102"/>
      <c r="I239" s="102"/>
      <c r="J239" s="102"/>
      <c r="K239" s="105"/>
      <c r="L239" s="105"/>
      <c r="M239" s="106"/>
    </row>
    <row r="240" spans="2:13" hidden="1">
      <c r="B240" s="102"/>
      <c r="C240" s="102"/>
      <c r="D240" s="102"/>
      <c r="E240" s="102"/>
      <c r="F240" s="104"/>
      <c r="G240" s="104"/>
      <c r="H240" s="102"/>
      <c r="I240" s="102"/>
      <c r="J240" s="102"/>
      <c r="K240" s="105"/>
      <c r="L240" s="105"/>
      <c r="M240" s="106"/>
    </row>
    <row r="241" spans="2:13" hidden="1">
      <c r="B241" s="102"/>
      <c r="C241" s="102"/>
      <c r="D241" s="102"/>
      <c r="E241" s="102"/>
      <c r="F241" s="104"/>
      <c r="G241" s="104"/>
      <c r="H241" s="102"/>
      <c r="I241" s="102"/>
      <c r="J241" s="102"/>
      <c r="K241" s="105"/>
      <c r="L241" s="105"/>
      <c r="M241" s="106"/>
    </row>
    <row r="242" spans="2:13" hidden="1">
      <c r="B242" s="102"/>
      <c r="C242" s="102"/>
      <c r="D242" s="102"/>
      <c r="E242" s="102"/>
      <c r="F242" s="104"/>
      <c r="G242" s="104"/>
      <c r="H242" s="102"/>
      <c r="I242" s="102"/>
      <c r="J242" s="102"/>
      <c r="K242" s="105"/>
      <c r="L242" s="105"/>
      <c r="M242" s="106"/>
    </row>
    <row r="243" spans="2:13" hidden="1">
      <c r="B243" s="102"/>
      <c r="C243" s="102"/>
      <c r="D243" s="102"/>
      <c r="E243" s="102"/>
      <c r="F243" s="104"/>
      <c r="G243" s="104"/>
      <c r="H243" s="102"/>
      <c r="I243" s="102"/>
      <c r="J243" s="102"/>
      <c r="K243" s="105"/>
      <c r="L243" s="105"/>
      <c r="M243" s="106"/>
    </row>
    <row r="244" spans="2:13" hidden="1">
      <c r="B244" s="102"/>
      <c r="C244" s="102"/>
      <c r="D244" s="102"/>
      <c r="E244" s="102"/>
      <c r="F244" s="104"/>
      <c r="G244" s="104"/>
      <c r="H244" s="102"/>
      <c r="I244" s="102"/>
      <c r="J244" s="102"/>
      <c r="K244" s="105"/>
      <c r="L244" s="105"/>
      <c r="M244" s="106"/>
    </row>
    <row r="245" spans="2:13" hidden="1">
      <c r="B245" s="102"/>
      <c r="C245" s="102"/>
      <c r="D245" s="102"/>
      <c r="E245" s="102"/>
      <c r="F245" s="104"/>
      <c r="G245" s="104"/>
      <c r="H245" s="102"/>
      <c r="I245" s="102"/>
      <c r="J245" s="102"/>
      <c r="K245" s="105"/>
      <c r="L245" s="105"/>
      <c r="M245" s="106"/>
    </row>
    <row r="246" spans="2:13" hidden="1">
      <c r="B246" s="102"/>
      <c r="C246" s="102"/>
      <c r="D246" s="102"/>
      <c r="E246" s="102"/>
      <c r="F246" s="104"/>
      <c r="G246" s="104"/>
      <c r="H246" s="102"/>
      <c r="I246" s="102"/>
      <c r="J246" s="102"/>
      <c r="K246" s="105"/>
      <c r="L246" s="105"/>
      <c r="M246" s="106"/>
    </row>
    <row r="247" spans="2:13" hidden="1">
      <c r="B247" s="102"/>
      <c r="C247" s="102"/>
      <c r="D247" s="102"/>
      <c r="E247" s="102"/>
      <c r="F247" s="104"/>
      <c r="G247" s="104"/>
      <c r="H247" s="102"/>
      <c r="I247" s="102"/>
      <c r="J247" s="102"/>
      <c r="K247" s="105"/>
      <c r="L247" s="105"/>
      <c r="M247" s="106"/>
    </row>
    <row r="248" spans="2:13" hidden="1">
      <c r="B248" s="102"/>
      <c r="C248" s="102"/>
      <c r="D248" s="102"/>
      <c r="E248" s="102"/>
      <c r="F248" s="104"/>
      <c r="G248" s="104"/>
      <c r="H248" s="102"/>
      <c r="I248" s="102"/>
      <c r="J248" s="102"/>
      <c r="K248" s="105"/>
      <c r="L248" s="105"/>
      <c r="M248" s="106"/>
    </row>
    <row r="249" spans="2:13" hidden="1">
      <c r="B249" s="102"/>
      <c r="C249" s="102"/>
      <c r="D249" s="102"/>
      <c r="E249" s="102"/>
      <c r="F249" s="104"/>
      <c r="G249" s="104"/>
      <c r="H249" s="102"/>
      <c r="I249" s="102"/>
      <c r="J249" s="102"/>
      <c r="K249" s="105"/>
      <c r="L249" s="105"/>
      <c r="M249" s="106"/>
    </row>
    <row r="250" spans="2:13" hidden="1">
      <c r="B250" s="102"/>
      <c r="C250" s="102"/>
      <c r="D250" s="102"/>
      <c r="E250" s="102"/>
      <c r="F250" s="104"/>
      <c r="G250" s="104"/>
      <c r="H250" s="102"/>
      <c r="I250" s="102"/>
      <c r="J250" s="102"/>
      <c r="K250" s="105"/>
      <c r="L250" s="105"/>
      <c r="M250" s="106"/>
    </row>
    <row r="251" spans="2:13" hidden="1">
      <c r="B251" s="102"/>
      <c r="C251" s="102"/>
      <c r="D251" s="102"/>
      <c r="E251" s="102"/>
      <c r="F251" s="104"/>
      <c r="G251" s="104"/>
      <c r="H251" s="102"/>
      <c r="I251" s="102"/>
      <c r="J251" s="102"/>
      <c r="K251" s="105"/>
      <c r="L251" s="105"/>
      <c r="M251" s="106"/>
    </row>
    <row r="252" spans="2:13" hidden="1">
      <c r="B252" s="102"/>
      <c r="C252" s="102"/>
      <c r="D252" s="102"/>
      <c r="E252" s="102"/>
      <c r="F252" s="104"/>
      <c r="G252" s="104"/>
      <c r="H252" s="102"/>
      <c r="I252" s="102"/>
      <c r="J252" s="102"/>
      <c r="K252" s="105"/>
      <c r="L252" s="105"/>
      <c r="M252" s="106"/>
    </row>
    <row r="253" spans="2:13" hidden="1">
      <c r="B253" s="102"/>
      <c r="C253" s="102"/>
      <c r="D253" s="102"/>
      <c r="E253" s="102"/>
      <c r="F253" s="104"/>
      <c r="G253" s="104"/>
      <c r="H253" s="102"/>
      <c r="I253" s="102"/>
      <c r="J253" s="102"/>
      <c r="K253" s="105"/>
      <c r="L253" s="105"/>
      <c r="M253" s="106"/>
    </row>
    <row r="254" spans="2:13" hidden="1">
      <c r="B254" s="102"/>
      <c r="C254" s="102"/>
      <c r="D254" s="102"/>
      <c r="E254" s="102"/>
      <c r="F254" s="104"/>
      <c r="G254" s="104"/>
      <c r="H254" s="102"/>
      <c r="I254" s="102"/>
      <c r="J254" s="102"/>
      <c r="K254" s="105"/>
      <c r="L254" s="105"/>
      <c r="M254" s="106"/>
    </row>
    <row r="255" spans="2:13" hidden="1">
      <c r="B255" s="102"/>
      <c r="C255" s="102"/>
      <c r="D255" s="102"/>
      <c r="E255" s="102"/>
      <c r="F255" s="104"/>
      <c r="G255" s="104"/>
      <c r="H255" s="102"/>
      <c r="I255" s="102"/>
      <c r="J255" s="102"/>
      <c r="K255" s="105"/>
      <c r="L255" s="105"/>
      <c r="M255" s="106"/>
    </row>
    <row r="256" spans="2:13" hidden="1">
      <c r="B256" s="102"/>
      <c r="C256" s="102"/>
      <c r="D256" s="102"/>
      <c r="E256" s="102"/>
      <c r="F256" s="104"/>
      <c r="G256" s="104"/>
      <c r="H256" s="102"/>
      <c r="I256" s="102"/>
      <c r="J256" s="102"/>
      <c r="K256" s="105"/>
      <c r="L256" s="105"/>
      <c r="M256" s="106"/>
    </row>
    <row r="257" spans="2:13" hidden="1">
      <c r="B257" s="102"/>
      <c r="C257" s="102"/>
      <c r="D257" s="102"/>
      <c r="E257" s="102"/>
      <c r="F257" s="104"/>
      <c r="G257" s="104"/>
      <c r="H257" s="102"/>
      <c r="I257" s="102"/>
      <c r="J257" s="102"/>
      <c r="K257" s="105"/>
      <c r="L257" s="105"/>
      <c r="M257" s="106"/>
    </row>
    <row r="258" spans="2:13" hidden="1">
      <c r="B258" s="102"/>
      <c r="C258" s="102"/>
      <c r="D258" s="102"/>
      <c r="E258" s="102"/>
      <c r="F258" s="104"/>
      <c r="G258" s="104"/>
      <c r="H258" s="102"/>
      <c r="I258" s="102"/>
      <c r="J258" s="102"/>
      <c r="K258" s="105"/>
      <c r="L258" s="105"/>
      <c r="M258" s="106"/>
    </row>
    <row r="259" spans="2:13" hidden="1">
      <c r="B259" s="102"/>
      <c r="C259" s="102"/>
      <c r="D259" s="102"/>
      <c r="E259" s="102"/>
      <c r="F259" s="104"/>
      <c r="G259" s="104"/>
      <c r="H259" s="102"/>
      <c r="I259" s="102"/>
      <c r="J259" s="102"/>
      <c r="K259" s="105"/>
      <c r="L259" s="105"/>
      <c r="M259" s="106"/>
    </row>
    <row r="260" spans="2:13" hidden="1">
      <c r="B260" s="102"/>
      <c r="C260" s="102"/>
      <c r="D260" s="102"/>
      <c r="E260" s="102"/>
      <c r="F260" s="104"/>
      <c r="G260" s="104"/>
      <c r="H260" s="102"/>
      <c r="I260" s="102"/>
      <c r="J260" s="102"/>
      <c r="K260" s="105"/>
      <c r="L260" s="105"/>
      <c r="M260" s="106"/>
    </row>
    <row r="261" spans="2:13" hidden="1">
      <c r="B261" s="102"/>
      <c r="C261" s="102"/>
      <c r="D261" s="102"/>
      <c r="E261" s="102"/>
      <c r="F261" s="104"/>
      <c r="G261" s="104"/>
      <c r="H261" s="102"/>
      <c r="I261" s="102"/>
      <c r="J261" s="102"/>
      <c r="K261" s="105"/>
      <c r="L261" s="105"/>
      <c r="M261" s="106"/>
    </row>
    <row r="262" spans="2:13" hidden="1">
      <c r="B262" s="102"/>
      <c r="C262" s="102"/>
      <c r="D262" s="102"/>
      <c r="E262" s="102"/>
      <c r="F262" s="104"/>
      <c r="G262" s="104"/>
      <c r="H262" s="102"/>
      <c r="I262" s="102"/>
      <c r="J262" s="102"/>
      <c r="K262" s="105"/>
      <c r="L262" s="105"/>
      <c r="M262" s="106"/>
    </row>
    <row r="263" spans="2:13" hidden="1">
      <c r="B263" s="102"/>
      <c r="C263" s="102"/>
      <c r="D263" s="102"/>
      <c r="E263" s="102"/>
      <c r="F263" s="104"/>
      <c r="G263" s="104"/>
      <c r="H263" s="102"/>
      <c r="I263" s="102"/>
      <c r="J263" s="102"/>
      <c r="K263" s="105"/>
      <c r="L263" s="105"/>
      <c r="M263" s="106"/>
    </row>
    <row r="264" spans="2:13" hidden="1">
      <c r="B264" s="102"/>
      <c r="C264" s="102"/>
      <c r="D264" s="102"/>
      <c r="E264" s="102"/>
      <c r="F264" s="104"/>
      <c r="G264" s="104"/>
      <c r="H264" s="102"/>
      <c r="I264" s="102"/>
      <c r="J264" s="102"/>
      <c r="K264" s="105"/>
      <c r="L264" s="105"/>
      <c r="M264" s="106"/>
    </row>
    <row r="265" spans="2:13" hidden="1">
      <c r="B265" s="102"/>
      <c r="C265" s="102"/>
      <c r="D265" s="102"/>
      <c r="E265" s="102"/>
      <c r="F265" s="104"/>
      <c r="G265" s="104"/>
      <c r="H265" s="102"/>
      <c r="I265" s="102"/>
      <c r="J265" s="102"/>
      <c r="K265" s="105"/>
      <c r="L265" s="105"/>
      <c r="M265" s="106"/>
    </row>
    <row r="266" spans="2:13" hidden="1">
      <c r="B266" s="102"/>
      <c r="C266" s="102"/>
      <c r="D266" s="102"/>
      <c r="E266" s="102"/>
      <c r="F266" s="104"/>
      <c r="G266" s="104"/>
      <c r="H266" s="102"/>
      <c r="I266" s="102"/>
      <c r="J266" s="102"/>
      <c r="K266" s="105"/>
      <c r="L266" s="105"/>
      <c r="M266" s="106"/>
    </row>
    <row r="267" spans="2:13" hidden="1">
      <c r="B267" s="102"/>
      <c r="C267" s="102"/>
      <c r="D267" s="102"/>
      <c r="E267" s="102"/>
      <c r="F267" s="104"/>
      <c r="G267" s="104"/>
      <c r="H267" s="102"/>
      <c r="I267" s="102"/>
      <c r="J267" s="102"/>
      <c r="K267" s="105"/>
      <c r="L267" s="105"/>
      <c r="M267" s="106"/>
    </row>
    <row r="268" spans="2:13" hidden="1">
      <c r="B268" s="102"/>
      <c r="C268" s="102"/>
      <c r="D268" s="102"/>
      <c r="E268" s="102"/>
      <c r="F268" s="104"/>
      <c r="G268" s="104"/>
      <c r="H268" s="102"/>
      <c r="I268" s="102"/>
      <c r="J268" s="102"/>
      <c r="K268" s="105"/>
      <c r="L268" s="105"/>
      <c r="M268" s="106"/>
    </row>
    <row r="269" spans="2:13" hidden="1">
      <c r="B269" s="102"/>
      <c r="C269" s="102"/>
      <c r="D269" s="102"/>
      <c r="E269" s="102"/>
      <c r="F269" s="104"/>
      <c r="G269" s="104"/>
      <c r="H269" s="102"/>
      <c r="I269" s="102"/>
      <c r="J269" s="102"/>
      <c r="K269" s="105"/>
      <c r="L269" s="105"/>
      <c r="M269" s="106"/>
    </row>
    <row r="270" spans="2:13" hidden="1">
      <c r="B270" s="102"/>
      <c r="C270" s="102"/>
      <c r="D270" s="102"/>
      <c r="E270" s="102"/>
      <c r="F270" s="104"/>
      <c r="G270" s="104"/>
      <c r="H270" s="102"/>
      <c r="I270" s="102"/>
      <c r="J270" s="102"/>
      <c r="K270" s="105"/>
      <c r="L270" s="105"/>
      <c r="M270" s="106"/>
    </row>
    <row r="271" spans="2:13" hidden="1">
      <c r="B271" s="102"/>
      <c r="C271" s="102"/>
      <c r="D271" s="102"/>
      <c r="E271" s="102"/>
      <c r="F271" s="104"/>
      <c r="G271" s="104"/>
      <c r="H271" s="102"/>
      <c r="I271" s="102"/>
      <c r="J271" s="102"/>
      <c r="K271" s="105"/>
      <c r="L271" s="105"/>
      <c r="M271" s="106"/>
    </row>
    <row r="272" spans="2:13" hidden="1">
      <c r="B272" s="102"/>
      <c r="C272" s="102"/>
      <c r="D272" s="102"/>
      <c r="E272" s="102"/>
      <c r="F272" s="104"/>
      <c r="G272" s="104"/>
      <c r="H272" s="102"/>
      <c r="I272" s="102"/>
      <c r="J272" s="102"/>
      <c r="K272" s="105"/>
      <c r="L272" s="105"/>
      <c r="M272" s="106"/>
    </row>
    <row r="273" spans="2:13" hidden="1">
      <c r="B273" s="102"/>
      <c r="C273" s="102"/>
      <c r="D273" s="102"/>
      <c r="E273" s="102"/>
      <c r="F273" s="104"/>
      <c r="G273" s="104"/>
      <c r="H273" s="102"/>
      <c r="I273" s="102"/>
      <c r="J273" s="102"/>
      <c r="K273" s="105"/>
      <c r="L273" s="105"/>
      <c r="M273" s="106"/>
    </row>
    <row r="274" spans="2:13" hidden="1">
      <c r="B274" s="102"/>
      <c r="C274" s="102"/>
      <c r="D274" s="102"/>
      <c r="E274" s="102"/>
      <c r="F274" s="104"/>
      <c r="G274" s="104"/>
      <c r="H274" s="102"/>
      <c r="I274" s="102"/>
      <c r="J274" s="102"/>
      <c r="K274" s="105"/>
      <c r="L274" s="105"/>
      <c r="M274" s="106"/>
    </row>
    <row r="275" spans="2:13" hidden="1">
      <c r="B275" s="102"/>
      <c r="C275" s="102"/>
      <c r="D275" s="102"/>
      <c r="E275" s="102"/>
      <c r="F275" s="104"/>
      <c r="G275" s="104"/>
      <c r="H275" s="102"/>
      <c r="I275" s="102"/>
      <c r="J275" s="102"/>
      <c r="K275" s="105"/>
      <c r="L275" s="105"/>
      <c r="M275" s="106"/>
    </row>
    <row r="276" spans="2:13" hidden="1">
      <c r="B276" s="102"/>
      <c r="C276" s="102"/>
      <c r="D276" s="102"/>
      <c r="E276" s="102"/>
      <c r="F276" s="104"/>
      <c r="G276" s="104"/>
      <c r="H276" s="102"/>
      <c r="I276" s="102"/>
      <c r="J276" s="102"/>
      <c r="K276" s="105"/>
      <c r="L276" s="105"/>
      <c r="M276" s="106"/>
    </row>
    <row r="277" spans="2:13" hidden="1">
      <c r="B277" s="102"/>
      <c r="C277" s="102"/>
      <c r="D277" s="102"/>
      <c r="E277" s="102"/>
      <c r="F277" s="104"/>
      <c r="G277" s="104"/>
      <c r="H277" s="102"/>
      <c r="I277" s="102"/>
      <c r="J277" s="102"/>
      <c r="K277" s="105"/>
      <c r="L277" s="105"/>
      <c r="M277" s="106"/>
    </row>
    <row r="278" spans="2:13" hidden="1">
      <c r="B278" s="102"/>
      <c r="C278" s="102"/>
      <c r="D278" s="102"/>
      <c r="E278" s="102"/>
      <c r="F278" s="104"/>
      <c r="G278" s="104"/>
      <c r="H278" s="102"/>
      <c r="I278" s="102"/>
      <c r="J278" s="102"/>
      <c r="K278" s="105"/>
      <c r="L278" s="105"/>
      <c r="M278" s="106"/>
    </row>
    <row r="279" spans="2:13" hidden="1">
      <c r="B279" s="102"/>
      <c r="C279" s="102"/>
      <c r="D279" s="102"/>
      <c r="E279" s="102"/>
      <c r="F279" s="104"/>
      <c r="G279" s="104"/>
      <c r="H279" s="102"/>
      <c r="I279" s="102"/>
      <c r="J279" s="102"/>
      <c r="K279" s="105"/>
      <c r="L279" s="105"/>
      <c r="M279" s="106"/>
    </row>
    <row r="280" spans="2:13" hidden="1">
      <c r="B280" s="102"/>
      <c r="C280" s="102"/>
      <c r="D280" s="102"/>
      <c r="E280" s="102"/>
      <c r="F280" s="104"/>
      <c r="G280" s="104"/>
      <c r="H280" s="102"/>
      <c r="I280" s="102"/>
      <c r="J280" s="102"/>
      <c r="K280" s="105"/>
      <c r="L280" s="105"/>
      <c r="M280" s="106"/>
    </row>
    <row r="281" spans="2:13" hidden="1">
      <c r="B281" s="102"/>
      <c r="C281" s="102"/>
      <c r="D281" s="102"/>
      <c r="E281" s="102"/>
      <c r="F281" s="104"/>
      <c r="G281" s="104"/>
      <c r="H281" s="102"/>
      <c r="I281" s="102"/>
      <c r="J281" s="102"/>
      <c r="K281" s="105"/>
      <c r="L281" s="105"/>
      <c r="M281" s="106"/>
    </row>
    <row r="282" spans="2:13" hidden="1">
      <c r="B282" s="102"/>
      <c r="C282" s="102"/>
      <c r="D282" s="102"/>
      <c r="E282" s="102"/>
      <c r="F282" s="104"/>
      <c r="G282" s="104"/>
      <c r="H282" s="102"/>
      <c r="I282" s="102"/>
      <c r="J282" s="102"/>
      <c r="K282" s="105"/>
      <c r="L282" s="105"/>
      <c r="M282" s="106"/>
    </row>
    <row r="283" spans="2:13" hidden="1">
      <c r="B283" s="102"/>
      <c r="C283" s="102"/>
      <c r="D283" s="102"/>
      <c r="E283" s="102"/>
      <c r="F283" s="104"/>
      <c r="G283" s="104"/>
      <c r="H283" s="102"/>
      <c r="I283" s="102"/>
      <c r="J283" s="102"/>
      <c r="K283" s="105"/>
      <c r="L283" s="105"/>
      <c r="M283" s="106"/>
    </row>
    <row r="284" spans="2:13" hidden="1">
      <c r="B284" s="102"/>
      <c r="C284" s="102"/>
      <c r="D284" s="102"/>
      <c r="E284" s="102"/>
      <c r="F284" s="104"/>
      <c r="G284" s="104"/>
      <c r="H284" s="102"/>
      <c r="I284" s="102"/>
      <c r="J284" s="102"/>
      <c r="K284" s="105"/>
      <c r="L284" s="105"/>
      <c r="M284" s="106"/>
    </row>
    <row r="285" spans="2:13" hidden="1">
      <c r="B285" s="102"/>
      <c r="C285" s="102"/>
      <c r="D285" s="102"/>
      <c r="E285" s="102"/>
      <c r="F285" s="104"/>
      <c r="G285" s="104"/>
      <c r="H285" s="102"/>
      <c r="I285" s="102"/>
      <c r="J285" s="102"/>
      <c r="K285" s="105"/>
      <c r="L285" s="105"/>
      <c r="M285" s="106"/>
    </row>
    <row r="286" spans="2:13" hidden="1">
      <c r="B286" s="102"/>
      <c r="C286" s="102"/>
      <c r="D286" s="102"/>
      <c r="E286" s="102"/>
      <c r="F286" s="104"/>
      <c r="G286" s="104"/>
      <c r="H286" s="102"/>
      <c r="I286" s="102"/>
      <c r="J286" s="102"/>
      <c r="K286" s="105"/>
      <c r="L286" s="105"/>
      <c r="M286" s="106"/>
    </row>
    <row r="287" spans="2:13" hidden="1">
      <c r="B287" s="102"/>
      <c r="C287" s="102"/>
      <c r="D287" s="102"/>
      <c r="E287" s="102"/>
      <c r="F287" s="104"/>
      <c r="G287" s="104"/>
      <c r="H287" s="102"/>
      <c r="I287" s="102"/>
      <c r="J287" s="102"/>
      <c r="K287" s="105"/>
      <c r="L287" s="105"/>
      <c r="M287" s="106"/>
    </row>
    <row r="288" spans="2:13" hidden="1">
      <c r="B288" s="102"/>
      <c r="C288" s="102"/>
      <c r="D288" s="102"/>
      <c r="E288" s="102"/>
      <c r="F288" s="104"/>
      <c r="G288" s="104"/>
      <c r="H288" s="102"/>
      <c r="I288" s="102"/>
      <c r="J288" s="102"/>
      <c r="K288" s="105"/>
      <c r="L288" s="105"/>
      <c r="M288" s="106"/>
    </row>
    <row r="289" spans="2:13" hidden="1">
      <c r="B289" s="102"/>
      <c r="C289" s="102"/>
      <c r="D289" s="102"/>
      <c r="E289" s="102"/>
      <c r="F289" s="104"/>
      <c r="G289" s="104"/>
      <c r="H289" s="102"/>
      <c r="I289" s="102"/>
      <c r="J289" s="102"/>
      <c r="K289" s="105"/>
      <c r="L289" s="105"/>
      <c r="M289" s="106"/>
    </row>
    <row r="290" spans="2:13" hidden="1">
      <c r="B290" s="102"/>
      <c r="C290" s="102"/>
      <c r="D290" s="102"/>
      <c r="E290" s="102"/>
      <c r="F290" s="104"/>
      <c r="G290" s="104"/>
      <c r="H290" s="102"/>
      <c r="I290" s="102"/>
      <c r="J290" s="102"/>
      <c r="K290" s="105"/>
      <c r="L290" s="105"/>
      <c r="M290" s="106"/>
    </row>
    <row r="291" spans="2:13" hidden="1">
      <c r="B291" s="102"/>
      <c r="C291" s="102"/>
      <c r="D291" s="102"/>
      <c r="E291" s="102"/>
      <c r="F291" s="104"/>
      <c r="G291" s="104"/>
      <c r="H291" s="102"/>
      <c r="I291" s="102"/>
      <c r="J291" s="102"/>
      <c r="K291" s="105"/>
      <c r="L291" s="105"/>
      <c r="M291" s="106"/>
    </row>
    <row r="292" spans="2:13" hidden="1">
      <c r="B292" s="102"/>
      <c r="C292" s="102"/>
      <c r="D292" s="102"/>
      <c r="E292" s="102"/>
      <c r="F292" s="104"/>
      <c r="G292" s="104"/>
      <c r="H292" s="102"/>
      <c r="I292" s="102"/>
      <c r="J292" s="102"/>
      <c r="K292" s="105"/>
      <c r="L292" s="105"/>
      <c r="M292" s="106"/>
    </row>
    <row r="293" spans="2:13" hidden="1">
      <c r="B293" s="102"/>
      <c r="C293" s="102"/>
      <c r="D293" s="102"/>
      <c r="E293" s="102"/>
      <c r="F293" s="104"/>
      <c r="G293" s="104"/>
      <c r="H293" s="102"/>
      <c r="I293" s="102"/>
      <c r="J293" s="102"/>
      <c r="K293" s="105"/>
      <c r="L293" s="105"/>
      <c r="M293" s="106"/>
    </row>
    <row r="294" spans="2:13" hidden="1">
      <c r="B294" s="102"/>
      <c r="C294" s="102"/>
      <c r="D294" s="102"/>
      <c r="E294" s="102"/>
      <c r="F294" s="104"/>
      <c r="G294" s="104"/>
      <c r="H294" s="102"/>
      <c r="I294" s="102"/>
      <c r="J294" s="102"/>
      <c r="K294" s="105"/>
      <c r="L294" s="105"/>
      <c r="M294" s="106"/>
    </row>
    <row r="295" spans="2:13" hidden="1">
      <c r="B295" s="102"/>
      <c r="C295" s="102"/>
      <c r="D295" s="102"/>
      <c r="E295" s="102"/>
      <c r="F295" s="104"/>
      <c r="G295" s="104"/>
      <c r="H295" s="102"/>
      <c r="I295" s="102"/>
      <c r="J295" s="102"/>
      <c r="K295" s="105"/>
      <c r="L295" s="105"/>
      <c r="M295" s="106"/>
    </row>
    <row r="296" spans="2:13" hidden="1">
      <c r="B296" s="102"/>
      <c r="C296" s="102"/>
      <c r="D296" s="102"/>
      <c r="E296" s="102"/>
      <c r="F296" s="104"/>
      <c r="G296" s="104"/>
      <c r="H296" s="102"/>
      <c r="I296" s="102"/>
      <c r="J296" s="102"/>
      <c r="K296" s="105"/>
      <c r="L296" s="105"/>
      <c r="M296" s="106"/>
    </row>
    <row r="297" spans="2:13" hidden="1">
      <c r="B297" s="102"/>
      <c r="C297" s="102"/>
      <c r="D297" s="102"/>
      <c r="E297" s="102"/>
      <c r="F297" s="104"/>
      <c r="G297" s="104"/>
      <c r="H297" s="102"/>
      <c r="I297" s="102"/>
      <c r="J297" s="102"/>
      <c r="K297" s="105"/>
      <c r="L297" s="105"/>
      <c r="M297" s="106"/>
    </row>
    <row r="298" spans="2:13" hidden="1">
      <c r="B298" s="102"/>
      <c r="C298" s="102"/>
      <c r="D298" s="102"/>
      <c r="E298" s="102"/>
      <c r="F298" s="104"/>
      <c r="G298" s="104"/>
      <c r="H298" s="102"/>
      <c r="I298" s="102"/>
      <c r="J298" s="102"/>
      <c r="K298" s="105"/>
      <c r="L298" s="105"/>
      <c r="M298" s="106"/>
    </row>
    <row r="299" spans="2:13" hidden="1">
      <c r="B299" s="102"/>
      <c r="C299" s="102"/>
      <c r="D299" s="102"/>
      <c r="E299" s="102"/>
      <c r="F299" s="104"/>
      <c r="G299" s="104"/>
      <c r="H299" s="102"/>
      <c r="I299" s="102"/>
      <c r="J299" s="102"/>
      <c r="K299" s="105"/>
      <c r="L299" s="105"/>
      <c r="M299" s="106"/>
    </row>
    <row r="300" spans="2:13" hidden="1">
      <c r="B300" s="102"/>
      <c r="C300" s="102"/>
      <c r="D300" s="102"/>
      <c r="E300" s="102"/>
      <c r="F300" s="104"/>
      <c r="G300" s="104"/>
      <c r="H300" s="102"/>
      <c r="I300" s="102"/>
      <c r="J300" s="102"/>
      <c r="K300" s="105"/>
      <c r="L300" s="105"/>
      <c r="M300" s="106"/>
    </row>
    <row r="301" spans="2:13" hidden="1">
      <c r="B301" s="102"/>
      <c r="C301" s="102"/>
      <c r="D301" s="102"/>
      <c r="E301" s="102"/>
      <c r="F301" s="104"/>
      <c r="G301" s="104"/>
      <c r="H301" s="102"/>
      <c r="I301" s="102"/>
      <c r="J301" s="102"/>
      <c r="K301" s="105"/>
      <c r="L301" s="105"/>
      <c r="M301" s="106"/>
    </row>
    <row r="302" spans="2:13" hidden="1">
      <c r="B302" s="102"/>
      <c r="C302" s="102"/>
      <c r="D302" s="102"/>
      <c r="E302" s="102"/>
      <c r="F302" s="104"/>
      <c r="G302" s="104"/>
      <c r="H302" s="102"/>
      <c r="I302" s="102"/>
      <c r="J302" s="102"/>
      <c r="K302" s="105"/>
      <c r="L302" s="105"/>
      <c r="M302" s="106"/>
    </row>
    <row r="303" spans="2:13" hidden="1">
      <c r="B303" s="102"/>
      <c r="C303" s="102"/>
      <c r="D303" s="102"/>
      <c r="E303" s="102"/>
      <c r="F303" s="104"/>
      <c r="G303" s="104"/>
      <c r="H303" s="102"/>
      <c r="I303" s="102"/>
      <c r="J303" s="102"/>
      <c r="K303" s="105"/>
      <c r="L303" s="105"/>
      <c r="M303" s="106"/>
    </row>
    <row r="304" spans="2:13" hidden="1">
      <c r="B304" s="102"/>
      <c r="C304" s="102"/>
      <c r="D304" s="102"/>
      <c r="E304" s="102"/>
      <c r="F304" s="104"/>
      <c r="G304" s="104"/>
      <c r="H304" s="102"/>
      <c r="I304" s="102"/>
      <c r="J304" s="102"/>
      <c r="K304" s="105"/>
      <c r="L304" s="105"/>
      <c r="M304" s="106"/>
    </row>
    <row r="305" spans="2:13" hidden="1">
      <c r="B305" s="102"/>
      <c r="C305" s="102"/>
      <c r="D305" s="102"/>
      <c r="E305" s="102"/>
      <c r="F305" s="104"/>
      <c r="G305" s="104"/>
      <c r="H305" s="102"/>
      <c r="I305" s="102"/>
      <c r="J305" s="102"/>
      <c r="K305" s="105"/>
      <c r="L305" s="105"/>
      <c r="M305" s="106"/>
    </row>
    <row r="306" spans="2:13" hidden="1">
      <c r="B306" s="102"/>
      <c r="C306" s="102"/>
      <c r="D306" s="102"/>
      <c r="E306" s="102"/>
      <c r="F306" s="104"/>
      <c r="G306" s="104"/>
      <c r="H306" s="102"/>
      <c r="I306" s="102"/>
      <c r="J306" s="102"/>
      <c r="K306" s="105"/>
      <c r="L306" s="105"/>
      <c r="M306" s="106"/>
    </row>
    <row r="307" spans="2:13" hidden="1">
      <c r="B307" s="102"/>
      <c r="C307" s="102"/>
      <c r="D307" s="102"/>
      <c r="E307" s="102"/>
      <c r="F307" s="104"/>
      <c r="G307" s="104"/>
      <c r="H307" s="102"/>
      <c r="I307" s="102"/>
      <c r="J307" s="102"/>
      <c r="K307" s="105"/>
      <c r="L307" s="105"/>
      <c r="M307" s="106"/>
    </row>
    <row r="308" spans="2:13" hidden="1">
      <c r="B308" s="102"/>
      <c r="C308" s="102"/>
      <c r="D308" s="102"/>
      <c r="E308" s="102"/>
      <c r="F308" s="104"/>
      <c r="G308" s="104"/>
      <c r="H308" s="102"/>
      <c r="I308" s="102"/>
      <c r="J308" s="102"/>
      <c r="K308" s="105"/>
      <c r="L308" s="105"/>
      <c r="M308" s="106"/>
    </row>
    <row r="309" spans="2:13" hidden="1">
      <c r="B309" s="102"/>
      <c r="C309" s="102"/>
      <c r="D309" s="102"/>
      <c r="E309" s="102"/>
      <c r="F309" s="104"/>
      <c r="G309" s="104"/>
      <c r="H309" s="102"/>
      <c r="I309" s="102"/>
      <c r="J309" s="102"/>
      <c r="K309" s="105"/>
      <c r="L309" s="105"/>
      <c r="M309" s="106"/>
    </row>
    <row r="310" spans="2:13" hidden="1">
      <c r="B310" s="102"/>
      <c r="C310" s="102"/>
      <c r="D310" s="102"/>
      <c r="E310" s="102"/>
      <c r="F310" s="104"/>
      <c r="G310" s="104"/>
      <c r="H310" s="102"/>
      <c r="I310" s="102"/>
      <c r="J310" s="102"/>
      <c r="K310" s="105"/>
      <c r="L310" s="105"/>
      <c r="M310" s="106"/>
    </row>
    <row r="311" spans="2:13" hidden="1">
      <c r="B311" s="102"/>
      <c r="C311" s="102"/>
      <c r="D311" s="102"/>
      <c r="E311" s="102"/>
      <c r="F311" s="104"/>
      <c r="G311" s="104"/>
      <c r="H311" s="102"/>
      <c r="I311" s="102"/>
      <c r="J311" s="102"/>
      <c r="K311" s="105"/>
      <c r="L311" s="105"/>
      <c r="M311" s="106"/>
    </row>
    <row r="312" spans="2:13" hidden="1">
      <c r="B312" s="102"/>
      <c r="C312" s="102"/>
      <c r="D312" s="102"/>
      <c r="E312" s="102"/>
      <c r="F312" s="104"/>
      <c r="G312" s="104"/>
      <c r="H312" s="102"/>
      <c r="I312" s="102"/>
      <c r="J312" s="102"/>
      <c r="K312" s="105"/>
      <c r="L312" s="105"/>
      <c r="M312" s="106"/>
    </row>
    <row r="313" spans="2:13" hidden="1">
      <c r="B313" s="102"/>
      <c r="C313" s="102"/>
      <c r="D313" s="102"/>
      <c r="E313" s="102"/>
      <c r="F313" s="104"/>
      <c r="G313" s="104"/>
      <c r="H313" s="102"/>
      <c r="I313" s="102"/>
      <c r="J313" s="102"/>
      <c r="K313" s="105"/>
      <c r="L313" s="105"/>
      <c r="M313" s="106"/>
    </row>
    <row r="314" spans="2:13" hidden="1">
      <c r="B314" s="102"/>
      <c r="C314" s="102"/>
      <c r="D314" s="102"/>
      <c r="E314" s="102"/>
      <c r="F314" s="104"/>
      <c r="G314" s="104"/>
      <c r="H314" s="102"/>
      <c r="I314" s="102"/>
      <c r="J314" s="102"/>
      <c r="K314" s="105"/>
      <c r="L314" s="105"/>
      <c r="M314" s="106"/>
    </row>
    <row r="315" spans="2:13" hidden="1">
      <c r="B315" s="102"/>
      <c r="C315" s="102"/>
      <c r="D315" s="102"/>
      <c r="E315" s="102"/>
      <c r="F315" s="104"/>
      <c r="G315" s="104"/>
      <c r="H315" s="102"/>
      <c r="I315" s="102"/>
      <c r="J315" s="102"/>
      <c r="K315" s="105"/>
      <c r="L315" s="105"/>
      <c r="M315" s="106"/>
    </row>
    <row r="316" spans="2:13" hidden="1">
      <c r="B316" s="102"/>
      <c r="C316" s="102"/>
      <c r="D316" s="102"/>
      <c r="E316" s="102"/>
      <c r="F316" s="104"/>
      <c r="G316" s="104"/>
      <c r="H316" s="102"/>
      <c r="I316" s="102"/>
      <c r="J316" s="102"/>
      <c r="K316" s="105"/>
      <c r="L316" s="105"/>
      <c r="M316" s="106"/>
    </row>
    <row r="317" spans="2:13" hidden="1">
      <c r="B317" s="102"/>
      <c r="C317" s="102"/>
      <c r="D317" s="102"/>
      <c r="E317" s="102"/>
      <c r="F317" s="104"/>
      <c r="G317" s="104"/>
      <c r="H317" s="102"/>
      <c r="I317" s="102"/>
      <c r="J317" s="102"/>
      <c r="K317" s="105"/>
      <c r="L317" s="105"/>
      <c r="M317" s="106"/>
    </row>
    <row r="318" spans="2:13" hidden="1">
      <c r="B318" s="102"/>
      <c r="C318" s="102"/>
      <c r="D318" s="102"/>
      <c r="E318" s="102"/>
      <c r="F318" s="104"/>
      <c r="G318" s="104"/>
      <c r="H318" s="102"/>
      <c r="I318" s="102"/>
      <c r="J318" s="102"/>
      <c r="K318" s="105"/>
      <c r="L318" s="105"/>
      <c r="M318" s="106"/>
    </row>
    <row r="319" spans="2:13" hidden="1">
      <c r="B319" s="102"/>
      <c r="C319" s="102"/>
      <c r="D319" s="102"/>
      <c r="E319" s="102"/>
      <c r="F319" s="104"/>
      <c r="G319" s="104"/>
      <c r="H319" s="102"/>
      <c r="I319" s="102"/>
      <c r="J319" s="102"/>
      <c r="K319" s="105"/>
      <c r="L319" s="105"/>
      <c r="M319" s="106"/>
    </row>
    <row r="320" spans="2:13" hidden="1">
      <c r="B320" s="102"/>
      <c r="C320" s="102"/>
      <c r="D320" s="102"/>
      <c r="E320" s="102"/>
      <c r="F320" s="104"/>
      <c r="G320" s="104"/>
      <c r="H320" s="102"/>
      <c r="I320" s="102"/>
      <c r="J320" s="102"/>
      <c r="K320" s="105"/>
      <c r="L320" s="105"/>
      <c r="M320" s="106"/>
    </row>
    <row r="321" spans="2:13" hidden="1">
      <c r="B321" s="102"/>
      <c r="C321" s="102"/>
      <c r="D321" s="102"/>
      <c r="E321" s="102"/>
      <c r="F321" s="104"/>
      <c r="G321" s="104"/>
      <c r="H321" s="102"/>
      <c r="I321" s="102"/>
      <c r="J321" s="102"/>
      <c r="K321" s="105"/>
      <c r="L321" s="105"/>
      <c r="M321" s="106"/>
    </row>
    <row r="322" spans="2:13" hidden="1">
      <c r="B322" s="102"/>
      <c r="C322" s="102"/>
      <c r="D322" s="102"/>
      <c r="E322" s="102"/>
      <c r="F322" s="104"/>
      <c r="G322" s="104"/>
      <c r="H322" s="102"/>
      <c r="I322" s="102"/>
      <c r="J322" s="102"/>
      <c r="K322" s="105"/>
      <c r="L322" s="105"/>
      <c r="M322" s="106"/>
    </row>
    <row r="323" spans="2:13" hidden="1">
      <c r="B323" s="102"/>
      <c r="C323" s="102"/>
      <c r="D323" s="102"/>
      <c r="E323" s="102"/>
      <c r="F323" s="104"/>
      <c r="G323" s="104"/>
      <c r="H323" s="102"/>
      <c r="I323" s="102"/>
      <c r="J323" s="102"/>
      <c r="K323" s="105"/>
      <c r="L323" s="105"/>
      <c r="M323" s="106"/>
    </row>
    <row r="324" spans="2:13" hidden="1">
      <c r="B324" s="102"/>
      <c r="C324" s="102"/>
      <c r="D324" s="102"/>
      <c r="E324" s="102"/>
      <c r="F324" s="104"/>
      <c r="G324" s="104"/>
      <c r="H324" s="102"/>
      <c r="I324" s="102"/>
      <c r="J324" s="102"/>
      <c r="K324" s="105"/>
      <c r="L324" s="105"/>
      <c r="M324" s="106"/>
    </row>
    <row r="325" spans="2:13" hidden="1">
      <c r="B325" s="102"/>
      <c r="C325" s="102"/>
      <c r="D325" s="102"/>
      <c r="E325" s="102"/>
      <c r="F325" s="104"/>
      <c r="G325" s="104"/>
      <c r="H325" s="102"/>
      <c r="I325" s="102"/>
      <c r="J325" s="102"/>
      <c r="K325" s="105"/>
      <c r="L325" s="105"/>
      <c r="M325" s="106"/>
    </row>
    <row r="326" spans="2:13" hidden="1">
      <c r="B326" s="102"/>
      <c r="C326" s="102"/>
      <c r="D326" s="102"/>
      <c r="E326" s="102"/>
      <c r="F326" s="104"/>
      <c r="G326" s="104"/>
      <c r="H326" s="102"/>
      <c r="I326" s="102"/>
      <c r="J326" s="102"/>
      <c r="K326" s="105"/>
      <c r="L326" s="105"/>
      <c r="M326" s="106"/>
    </row>
    <row r="327" spans="2:13" hidden="1">
      <c r="B327" s="102"/>
      <c r="C327" s="102"/>
      <c r="D327" s="102"/>
      <c r="E327" s="102"/>
      <c r="F327" s="104"/>
      <c r="G327" s="104"/>
      <c r="H327" s="102"/>
      <c r="I327" s="102"/>
      <c r="J327" s="102"/>
      <c r="K327" s="105"/>
      <c r="L327" s="105"/>
      <c r="M327" s="106"/>
    </row>
    <row r="328" spans="2:13" hidden="1">
      <c r="B328" s="102"/>
      <c r="C328" s="102"/>
      <c r="D328" s="102"/>
      <c r="E328" s="102"/>
      <c r="F328" s="104"/>
      <c r="G328" s="104"/>
      <c r="H328" s="102"/>
      <c r="I328" s="102"/>
      <c r="J328" s="102"/>
      <c r="K328" s="105"/>
      <c r="L328" s="105"/>
      <c r="M328" s="106"/>
    </row>
    <row r="329" spans="2:13" hidden="1">
      <c r="B329" s="102"/>
      <c r="C329" s="102"/>
      <c r="D329" s="102"/>
      <c r="E329" s="102"/>
      <c r="F329" s="104"/>
      <c r="G329" s="104"/>
      <c r="H329" s="102"/>
      <c r="I329" s="102"/>
      <c r="J329" s="102"/>
      <c r="K329" s="105"/>
      <c r="L329" s="105"/>
      <c r="M329" s="106"/>
    </row>
    <row r="330" spans="2:13" hidden="1">
      <c r="B330" s="102"/>
      <c r="C330" s="102"/>
      <c r="D330" s="102"/>
      <c r="E330" s="102"/>
      <c r="F330" s="104"/>
      <c r="G330" s="104"/>
      <c r="H330" s="102"/>
      <c r="I330" s="102"/>
      <c r="J330" s="102"/>
      <c r="K330" s="105"/>
      <c r="L330" s="105"/>
      <c r="M330" s="106"/>
    </row>
    <row r="331" spans="2:13" hidden="1">
      <c r="B331" s="102"/>
      <c r="C331" s="102"/>
      <c r="D331" s="102"/>
      <c r="E331" s="102"/>
      <c r="F331" s="104"/>
      <c r="G331" s="104"/>
      <c r="H331" s="102"/>
      <c r="I331" s="102"/>
      <c r="J331" s="102"/>
      <c r="K331" s="105"/>
      <c r="L331" s="105"/>
      <c r="M331" s="106"/>
    </row>
    <row r="332" spans="2:13" hidden="1">
      <c r="B332" s="102"/>
      <c r="C332" s="102"/>
      <c r="D332" s="102"/>
      <c r="E332" s="102"/>
      <c r="F332" s="104"/>
      <c r="G332" s="104"/>
      <c r="H332" s="102"/>
      <c r="I332" s="102"/>
      <c r="J332" s="102"/>
      <c r="K332" s="105"/>
      <c r="L332" s="105"/>
      <c r="M332" s="106"/>
    </row>
    <row r="333" spans="2:13" hidden="1">
      <c r="B333" s="102"/>
      <c r="C333" s="102"/>
      <c r="D333" s="102"/>
      <c r="E333" s="102"/>
      <c r="F333" s="104"/>
      <c r="G333" s="104"/>
      <c r="H333" s="102"/>
      <c r="I333" s="102"/>
      <c r="J333" s="102"/>
      <c r="K333" s="105"/>
      <c r="L333" s="105"/>
      <c r="M333" s="106"/>
    </row>
    <row r="334" spans="2:13" hidden="1">
      <c r="B334" s="102"/>
      <c r="C334" s="102"/>
      <c r="D334" s="102"/>
      <c r="E334" s="102"/>
      <c r="F334" s="104"/>
      <c r="G334" s="104"/>
      <c r="H334" s="102"/>
      <c r="I334" s="102"/>
      <c r="J334" s="102"/>
      <c r="K334" s="105"/>
      <c r="L334" s="105"/>
      <c r="M334" s="106"/>
    </row>
    <row r="335" spans="2:13" hidden="1">
      <c r="B335" s="102"/>
      <c r="C335" s="102"/>
      <c r="D335" s="102"/>
      <c r="E335" s="102"/>
      <c r="F335" s="104"/>
      <c r="G335" s="104"/>
      <c r="H335" s="102"/>
      <c r="I335" s="102"/>
      <c r="J335" s="102"/>
      <c r="K335" s="105"/>
      <c r="L335" s="105"/>
      <c r="M335" s="106"/>
    </row>
    <row r="336" spans="2:13" hidden="1">
      <c r="B336" s="102"/>
      <c r="C336" s="102"/>
      <c r="D336" s="102"/>
      <c r="E336" s="102"/>
      <c r="F336" s="104"/>
      <c r="G336" s="104"/>
      <c r="H336" s="102"/>
      <c r="I336" s="102"/>
      <c r="J336" s="102"/>
      <c r="K336" s="105"/>
      <c r="L336" s="105"/>
      <c r="M336" s="106"/>
    </row>
    <row r="337" spans="2:13" hidden="1">
      <c r="B337" s="102"/>
      <c r="C337" s="102"/>
      <c r="D337" s="102"/>
      <c r="E337" s="102"/>
      <c r="F337" s="104"/>
      <c r="G337" s="104"/>
      <c r="H337" s="102"/>
      <c r="I337" s="102"/>
      <c r="J337" s="102"/>
      <c r="K337" s="105"/>
      <c r="L337" s="105"/>
      <c r="M337" s="106"/>
    </row>
    <row r="338" spans="2:13" hidden="1">
      <c r="B338" s="102"/>
      <c r="C338" s="102"/>
      <c r="D338" s="102"/>
      <c r="E338" s="102"/>
      <c r="F338" s="104"/>
      <c r="G338" s="104"/>
      <c r="H338" s="102"/>
      <c r="I338" s="102"/>
      <c r="J338" s="102"/>
      <c r="K338" s="105"/>
      <c r="L338" s="105"/>
      <c r="M338" s="106"/>
    </row>
    <row r="339" spans="2:13" hidden="1">
      <c r="B339" s="102"/>
      <c r="C339" s="102"/>
      <c r="D339" s="102"/>
      <c r="E339" s="102"/>
      <c r="F339" s="104"/>
      <c r="G339" s="104"/>
      <c r="H339" s="102"/>
      <c r="I339" s="102"/>
      <c r="J339" s="102"/>
      <c r="K339" s="105"/>
      <c r="L339" s="105"/>
      <c r="M339" s="106"/>
    </row>
    <row r="340" spans="2:13" hidden="1">
      <c r="B340" s="102"/>
      <c r="C340" s="102"/>
      <c r="D340" s="102"/>
      <c r="E340" s="102"/>
      <c r="F340" s="104"/>
      <c r="G340" s="104"/>
      <c r="H340" s="102"/>
      <c r="I340" s="102"/>
      <c r="J340" s="102"/>
      <c r="K340" s="105"/>
      <c r="L340" s="105"/>
      <c r="M340" s="106"/>
    </row>
    <row r="341" spans="2:13" hidden="1">
      <c r="B341" s="102"/>
      <c r="C341" s="102"/>
      <c r="D341" s="102"/>
      <c r="E341" s="102"/>
      <c r="F341" s="104"/>
      <c r="G341" s="104"/>
      <c r="H341" s="102"/>
      <c r="I341" s="102"/>
      <c r="J341" s="102"/>
      <c r="K341" s="105"/>
      <c r="L341" s="105"/>
      <c r="M341" s="106"/>
    </row>
    <row r="342" spans="2:13" hidden="1">
      <c r="B342" s="102"/>
      <c r="C342" s="102"/>
      <c r="D342" s="102"/>
      <c r="E342" s="102"/>
      <c r="F342" s="104"/>
      <c r="G342" s="104"/>
      <c r="H342" s="102"/>
      <c r="I342" s="102"/>
      <c r="J342" s="102"/>
      <c r="K342" s="105"/>
      <c r="L342" s="105"/>
      <c r="M342" s="106"/>
    </row>
    <row r="343" spans="2:13" hidden="1">
      <c r="B343" s="102"/>
      <c r="C343" s="102"/>
      <c r="D343" s="102"/>
      <c r="E343" s="102"/>
      <c r="F343" s="104"/>
      <c r="G343" s="104"/>
      <c r="H343" s="102"/>
      <c r="I343" s="102"/>
      <c r="J343" s="102"/>
      <c r="K343" s="105"/>
      <c r="L343" s="105"/>
      <c r="M343" s="106"/>
    </row>
    <row r="344" spans="2:13" hidden="1">
      <c r="B344" s="102"/>
      <c r="C344" s="102"/>
      <c r="D344" s="102"/>
      <c r="E344" s="102"/>
      <c r="F344" s="104"/>
      <c r="G344" s="104"/>
      <c r="H344" s="102"/>
      <c r="I344" s="102"/>
      <c r="J344" s="102"/>
      <c r="K344" s="105"/>
      <c r="L344" s="105"/>
      <c r="M344" s="106"/>
    </row>
    <row r="345" spans="2:13" hidden="1">
      <c r="B345" s="102"/>
      <c r="C345" s="102"/>
      <c r="D345" s="102"/>
      <c r="E345" s="102"/>
      <c r="F345" s="104"/>
      <c r="G345" s="104"/>
      <c r="H345" s="102"/>
      <c r="I345" s="102"/>
      <c r="J345" s="102"/>
      <c r="K345" s="105"/>
      <c r="L345" s="105"/>
      <c r="M345" s="106"/>
    </row>
    <row r="346" spans="2:13" hidden="1">
      <c r="B346" s="102"/>
      <c r="C346" s="102"/>
      <c r="D346" s="102"/>
      <c r="E346" s="102"/>
      <c r="F346" s="104"/>
      <c r="G346" s="104"/>
      <c r="H346" s="102"/>
      <c r="I346" s="102"/>
      <c r="J346" s="102"/>
      <c r="K346" s="105"/>
      <c r="L346" s="105"/>
      <c r="M346" s="106"/>
    </row>
    <row r="347" spans="2:13" hidden="1">
      <c r="B347" s="102"/>
      <c r="C347" s="102"/>
      <c r="D347" s="102"/>
      <c r="E347" s="102"/>
      <c r="F347" s="104"/>
      <c r="G347" s="104"/>
      <c r="H347" s="102"/>
      <c r="I347" s="102"/>
      <c r="J347" s="102"/>
      <c r="K347" s="105"/>
      <c r="L347" s="105"/>
      <c r="M347" s="106"/>
    </row>
    <row r="348" spans="2:13" hidden="1">
      <c r="B348" s="102"/>
      <c r="C348" s="102"/>
      <c r="D348" s="102"/>
      <c r="E348" s="102"/>
      <c r="F348" s="104"/>
      <c r="G348" s="104"/>
      <c r="H348" s="102"/>
      <c r="I348" s="102"/>
      <c r="J348" s="102"/>
      <c r="K348" s="105"/>
      <c r="L348" s="105"/>
      <c r="M348" s="106"/>
    </row>
    <row r="349" spans="2:13" hidden="1">
      <c r="B349" s="102"/>
      <c r="C349" s="102"/>
      <c r="D349" s="102"/>
      <c r="E349" s="102"/>
      <c r="F349" s="104"/>
      <c r="G349" s="104"/>
      <c r="H349" s="102"/>
      <c r="I349" s="102"/>
      <c r="J349" s="102"/>
      <c r="K349" s="105"/>
      <c r="L349" s="105"/>
      <c r="M349" s="106"/>
    </row>
    <row r="350" spans="2:13" hidden="1">
      <c r="B350" s="102"/>
      <c r="C350" s="102"/>
      <c r="D350" s="102"/>
      <c r="E350" s="102"/>
      <c r="F350" s="104"/>
      <c r="G350" s="104"/>
      <c r="H350" s="102"/>
      <c r="I350" s="102"/>
      <c r="J350" s="102"/>
      <c r="K350" s="105"/>
      <c r="L350" s="105"/>
      <c r="M350" s="106"/>
    </row>
    <row r="351" spans="2:13" hidden="1">
      <c r="B351" s="102"/>
      <c r="C351" s="102"/>
      <c r="D351" s="102"/>
      <c r="E351" s="102"/>
      <c r="F351" s="104"/>
      <c r="G351" s="104"/>
      <c r="H351" s="102"/>
      <c r="I351" s="102"/>
      <c r="J351" s="102"/>
      <c r="K351" s="105"/>
      <c r="L351" s="105"/>
      <c r="M351" s="106"/>
    </row>
    <row r="352" spans="2:13" hidden="1">
      <c r="B352" s="102"/>
      <c r="C352" s="102"/>
      <c r="D352" s="102"/>
      <c r="E352" s="102"/>
      <c r="F352" s="104"/>
      <c r="G352" s="104"/>
      <c r="H352" s="102"/>
      <c r="I352" s="102"/>
      <c r="J352" s="102"/>
      <c r="K352" s="105"/>
      <c r="L352" s="105"/>
      <c r="M352" s="106"/>
    </row>
    <row r="353" spans="2:13" hidden="1">
      <c r="B353" s="102"/>
      <c r="C353" s="102"/>
      <c r="D353" s="102"/>
      <c r="E353" s="102"/>
      <c r="F353" s="104"/>
      <c r="G353" s="104"/>
      <c r="H353" s="102"/>
      <c r="I353" s="102"/>
      <c r="J353" s="102"/>
      <c r="K353" s="105"/>
      <c r="L353" s="105"/>
      <c r="M353" s="106"/>
    </row>
    <row r="354" spans="2:13" hidden="1">
      <c r="B354" s="102"/>
      <c r="C354" s="102"/>
      <c r="D354" s="102"/>
      <c r="E354" s="102"/>
      <c r="F354" s="104"/>
      <c r="G354" s="104"/>
      <c r="H354" s="102"/>
      <c r="I354" s="102"/>
      <c r="J354" s="102"/>
      <c r="K354" s="105"/>
      <c r="L354" s="105"/>
      <c r="M354" s="106"/>
    </row>
    <row r="355" spans="2:13" hidden="1">
      <c r="B355" s="102"/>
      <c r="C355" s="102"/>
      <c r="D355" s="102"/>
      <c r="E355" s="102"/>
      <c r="F355" s="104"/>
      <c r="G355" s="104"/>
      <c r="H355" s="102"/>
      <c r="I355" s="102"/>
      <c r="J355" s="102"/>
      <c r="K355" s="105"/>
      <c r="L355" s="105"/>
      <c r="M355" s="106"/>
    </row>
    <row r="356" spans="2:13" hidden="1">
      <c r="B356" s="102"/>
      <c r="C356" s="102"/>
      <c r="D356" s="102"/>
      <c r="E356" s="102"/>
      <c r="F356" s="104"/>
      <c r="G356" s="104"/>
      <c r="H356" s="102"/>
      <c r="I356" s="102"/>
      <c r="J356" s="102"/>
      <c r="K356" s="105"/>
      <c r="L356" s="105"/>
      <c r="M356" s="106"/>
    </row>
    <row r="357" spans="2:13" hidden="1">
      <c r="B357" s="102"/>
      <c r="C357" s="102"/>
      <c r="D357" s="102"/>
      <c r="E357" s="102"/>
      <c r="F357" s="104"/>
      <c r="G357" s="104"/>
      <c r="H357" s="102"/>
      <c r="I357" s="102"/>
      <c r="J357" s="102"/>
      <c r="K357" s="105"/>
      <c r="L357" s="105"/>
      <c r="M357" s="106"/>
    </row>
    <row r="358" spans="2:13" hidden="1">
      <c r="B358" s="102"/>
      <c r="C358" s="102"/>
      <c r="D358" s="102"/>
      <c r="E358" s="102"/>
      <c r="F358" s="104"/>
      <c r="G358" s="104"/>
      <c r="H358" s="102"/>
      <c r="I358" s="102"/>
      <c r="J358" s="102"/>
      <c r="K358" s="105"/>
      <c r="L358" s="105"/>
      <c r="M358" s="106"/>
    </row>
    <row r="359" spans="2:13" hidden="1">
      <c r="B359" s="102"/>
      <c r="C359" s="102"/>
      <c r="D359" s="102"/>
      <c r="E359" s="102"/>
      <c r="F359" s="104"/>
      <c r="G359" s="104"/>
      <c r="H359" s="102"/>
      <c r="I359" s="102"/>
      <c r="J359" s="102"/>
      <c r="K359" s="105"/>
      <c r="L359" s="105"/>
      <c r="M359" s="106"/>
    </row>
    <row r="360" spans="2:13" hidden="1">
      <c r="B360" s="102"/>
      <c r="C360" s="102"/>
      <c r="D360" s="102"/>
      <c r="E360" s="102"/>
      <c r="F360" s="104"/>
      <c r="G360" s="104"/>
      <c r="H360" s="102"/>
      <c r="I360" s="102"/>
      <c r="J360" s="102"/>
      <c r="K360" s="105"/>
      <c r="L360" s="105"/>
      <c r="M360" s="106"/>
    </row>
    <row r="361" spans="2:13" hidden="1">
      <c r="B361" s="102"/>
      <c r="C361" s="102"/>
      <c r="D361" s="102"/>
      <c r="E361" s="102"/>
      <c r="F361" s="104"/>
      <c r="G361" s="104"/>
      <c r="H361" s="102"/>
      <c r="I361" s="102"/>
      <c r="J361" s="102"/>
      <c r="K361" s="105"/>
      <c r="L361" s="105"/>
      <c r="M361" s="106"/>
    </row>
    <row r="362" spans="2:13" hidden="1">
      <c r="B362" s="102"/>
      <c r="C362" s="102"/>
      <c r="D362" s="102"/>
      <c r="E362" s="102"/>
      <c r="F362" s="104"/>
      <c r="G362" s="104"/>
      <c r="H362" s="102"/>
      <c r="I362" s="102"/>
      <c r="J362" s="102"/>
      <c r="K362" s="105"/>
      <c r="L362" s="105"/>
      <c r="M362" s="106"/>
    </row>
    <row r="363" spans="2:13" hidden="1">
      <c r="B363" s="102"/>
      <c r="C363" s="102"/>
      <c r="D363" s="102"/>
      <c r="E363" s="102"/>
      <c r="F363" s="104"/>
      <c r="G363" s="104"/>
      <c r="H363" s="102"/>
      <c r="I363" s="102"/>
      <c r="J363" s="102"/>
      <c r="K363" s="105"/>
      <c r="L363" s="105"/>
      <c r="M363" s="106"/>
    </row>
    <row r="364" spans="2:13" hidden="1">
      <c r="B364" s="102"/>
      <c r="C364" s="102"/>
      <c r="D364" s="102"/>
      <c r="E364" s="102"/>
      <c r="F364" s="104"/>
      <c r="G364" s="104"/>
      <c r="H364" s="102"/>
      <c r="I364" s="102"/>
      <c r="J364" s="102"/>
      <c r="K364" s="105"/>
      <c r="L364" s="105"/>
      <c r="M364" s="106"/>
    </row>
    <row r="365" spans="2:13" hidden="1">
      <c r="B365" s="102"/>
      <c r="C365" s="102"/>
      <c r="D365" s="102"/>
      <c r="E365" s="102"/>
      <c r="F365" s="104"/>
      <c r="G365" s="104"/>
      <c r="H365" s="102"/>
      <c r="I365" s="102"/>
      <c r="J365" s="102"/>
      <c r="K365" s="105"/>
      <c r="L365" s="105"/>
      <c r="M365" s="106"/>
    </row>
    <row r="366" spans="2:13" hidden="1">
      <c r="B366" s="102"/>
      <c r="C366" s="102"/>
      <c r="D366" s="102"/>
      <c r="E366" s="102"/>
      <c r="F366" s="104"/>
      <c r="G366" s="104"/>
      <c r="H366" s="102"/>
      <c r="I366" s="102"/>
      <c r="J366" s="102"/>
      <c r="K366" s="105"/>
      <c r="L366" s="105"/>
      <c r="M366" s="106"/>
    </row>
    <row r="367" spans="2:13" hidden="1">
      <c r="B367" s="102"/>
      <c r="C367" s="102"/>
      <c r="D367" s="102"/>
      <c r="E367" s="102"/>
      <c r="F367" s="104"/>
      <c r="G367" s="104"/>
      <c r="H367" s="102"/>
      <c r="I367" s="102"/>
      <c r="J367" s="102"/>
      <c r="K367" s="105"/>
      <c r="L367" s="105"/>
      <c r="M367" s="106"/>
    </row>
    <row r="368" spans="2:13" hidden="1">
      <c r="B368" s="102"/>
      <c r="C368" s="102"/>
      <c r="D368" s="102"/>
      <c r="E368" s="102"/>
      <c r="F368" s="104"/>
      <c r="G368" s="104"/>
      <c r="H368" s="102"/>
      <c r="I368" s="102"/>
      <c r="J368" s="102"/>
      <c r="K368" s="105"/>
      <c r="L368" s="105"/>
      <c r="M368" s="106"/>
    </row>
    <row r="369" spans="2:13" hidden="1">
      <c r="B369" s="102"/>
      <c r="C369" s="102"/>
      <c r="D369" s="102"/>
      <c r="E369" s="102"/>
      <c r="F369" s="104"/>
      <c r="G369" s="104"/>
      <c r="H369" s="102"/>
      <c r="I369" s="102"/>
      <c r="J369" s="102"/>
      <c r="K369" s="105"/>
      <c r="L369" s="105"/>
      <c r="M369" s="106"/>
    </row>
    <row r="370" spans="2:13" hidden="1">
      <c r="B370" s="102"/>
      <c r="C370" s="102"/>
      <c r="D370" s="102"/>
      <c r="E370" s="102"/>
      <c r="F370" s="104"/>
      <c r="G370" s="104"/>
      <c r="H370" s="102"/>
      <c r="I370" s="102"/>
      <c r="J370" s="102"/>
      <c r="K370" s="105"/>
      <c r="L370" s="105"/>
      <c r="M370" s="106"/>
    </row>
    <row r="371" spans="2:13" hidden="1">
      <c r="B371" s="102"/>
      <c r="C371" s="102"/>
      <c r="D371" s="102"/>
      <c r="E371" s="102"/>
      <c r="F371" s="104"/>
      <c r="G371" s="104"/>
      <c r="H371" s="102"/>
      <c r="I371" s="102"/>
      <c r="J371" s="102"/>
      <c r="K371" s="105"/>
      <c r="L371" s="105"/>
      <c r="M371" s="106"/>
    </row>
    <row r="372" spans="2:13" hidden="1">
      <c r="B372" s="102"/>
      <c r="C372" s="102"/>
      <c r="D372" s="102"/>
      <c r="E372" s="102"/>
      <c r="F372" s="104"/>
      <c r="G372" s="104"/>
      <c r="H372" s="102"/>
      <c r="I372" s="102"/>
      <c r="J372" s="102"/>
      <c r="K372" s="105"/>
      <c r="L372" s="105"/>
      <c r="M372" s="106"/>
    </row>
    <row r="373" spans="2:13" hidden="1">
      <c r="B373" s="102"/>
      <c r="C373" s="102"/>
      <c r="D373" s="102"/>
      <c r="E373" s="102"/>
      <c r="F373" s="104"/>
      <c r="G373" s="104"/>
      <c r="H373" s="102"/>
      <c r="I373" s="102"/>
      <c r="J373" s="102"/>
      <c r="K373" s="105"/>
      <c r="L373" s="105"/>
      <c r="M373" s="106"/>
    </row>
    <row r="374" spans="2:13" hidden="1">
      <c r="B374" s="102"/>
      <c r="C374" s="102"/>
      <c r="D374" s="102"/>
      <c r="E374" s="102"/>
      <c r="F374" s="104"/>
      <c r="G374" s="104"/>
      <c r="H374" s="102"/>
      <c r="I374" s="102"/>
      <c r="J374" s="102"/>
      <c r="K374" s="105"/>
      <c r="L374" s="105"/>
      <c r="M374" s="106"/>
    </row>
    <row r="375" spans="2:13" hidden="1">
      <c r="B375" s="102"/>
      <c r="C375" s="102"/>
      <c r="D375" s="102"/>
      <c r="E375" s="102"/>
      <c r="F375" s="104"/>
      <c r="G375" s="104"/>
      <c r="H375" s="102"/>
      <c r="I375" s="102"/>
      <c r="J375" s="102"/>
      <c r="K375" s="105"/>
      <c r="L375" s="105"/>
      <c r="M375" s="106"/>
    </row>
    <row r="376" spans="2:13" hidden="1">
      <c r="B376" s="102"/>
      <c r="C376" s="102"/>
      <c r="D376" s="102"/>
      <c r="E376" s="102"/>
      <c r="F376" s="104"/>
      <c r="G376" s="104"/>
      <c r="H376" s="102"/>
      <c r="I376" s="102"/>
      <c r="J376" s="102"/>
      <c r="K376" s="105"/>
      <c r="L376" s="105"/>
      <c r="M376" s="106"/>
    </row>
    <row r="377" spans="2:13" hidden="1">
      <c r="B377" s="102"/>
      <c r="C377" s="102"/>
      <c r="D377" s="102"/>
      <c r="E377" s="102"/>
      <c r="F377" s="104"/>
      <c r="G377" s="104"/>
      <c r="H377" s="102"/>
      <c r="I377" s="102"/>
      <c r="J377" s="102"/>
      <c r="K377" s="105"/>
      <c r="L377" s="105"/>
      <c r="M377" s="106"/>
    </row>
    <row r="378" spans="2:13" hidden="1">
      <c r="B378" s="102"/>
      <c r="C378" s="102"/>
      <c r="D378" s="102"/>
      <c r="E378" s="102"/>
      <c r="F378" s="104"/>
      <c r="G378" s="104"/>
      <c r="H378" s="102"/>
      <c r="I378" s="102"/>
      <c r="J378" s="102"/>
      <c r="K378" s="105"/>
      <c r="L378" s="105"/>
      <c r="M378" s="106"/>
    </row>
    <row r="379" spans="2:13" hidden="1">
      <c r="B379" s="102"/>
      <c r="C379" s="102"/>
      <c r="D379" s="102"/>
      <c r="E379" s="102"/>
      <c r="F379" s="104"/>
      <c r="G379" s="104"/>
      <c r="H379" s="102"/>
      <c r="I379" s="102"/>
      <c r="J379" s="102"/>
      <c r="K379" s="105"/>
      <c r="L379" s="105"/>
      <c r="M379" s="106"/>
    </row>
    <row r="380" spans="2:13" hidden="1">
      <c r="B380" s="102"/>
      <c r="C380" s="102"/>
      <c r="D380" s="102"/>
      <c r="E380" s="102"/>
      <c r="F380" s="104"/>
      <c r="G380" s="104"/>
      <c r="H380" s="102"/>
      <c r="I380" s="102"/>
      <c r="J380" s="102"/>
      <c r="K380" s="105"/>
      <c r="L380" s="105"/>
      <c r="M380" s="106"/>
    </row>
    <row r="381" spans="2:13" hidden="1">
      <c r="B381" s="102"/>
      <c r="C381" s="102"/>
      <c r="D381" s="102"/>
      <c r="E381" s="102"/>
      <c r="F381" s="104"/>
      <c r="G381" s="104"/>
      <c r="H381" s="102"/>
      <c r="I381" s="102"/>
      <c r="J381" s="102"/>
      <c r="K381" s="105"/>
      <c r="L381" s="105"/>
      <c r="M381" s="106"/>
    </row>
    <row r="382" spans="2:13" hidden="1">
      <c r="B382" s="102"/>
      <c r="C382" s="102"/>
      <c r="D382" s="102"/>
      <c r="E382" s="102"/>
      <c r="F382" s="104"/>
      <c r="G382" s="104"/>
      <c r="H382" s="102"/>
      <c r="I382" s="102"/>
      <c r="J382" s="102"/>
      <c r="K382" s="105"/>
      <c r="L382" s="105"/>
      <c r="M382" s="106"/>
    </row>
    <row r="383" spans="2:13" hidden="1">
      <c r="B383" s="102"/>
      <c r="C383" s="102"/>
      <c r="D383" s="102"/>
      <c r="E383" s="102"/>
      <c r="F383" s="104"/>
      <c r="G383" s="104"/>
      <c r="H383" s="102"/>
      <c r="I383" s="102"/>
      <c r="J383" s="102"/>
      <c r="K383" s="105"/>
      <c r="L383" s="105"/>
      <c r="M383" s="106"/>
    </row>
    <row r="384" spans="2:13" hidden="1">
      <c r="B384" s="102"/>
      <c r="C384" s="102"/>
      <c r="D384" s="102"/>
      <c r="E384" s="102"/>
      <c r="F384" s="104"/>
      <c r="G384" s="104"/>
      <c r="H384" s="102"/>
      <c r="I384" s="102"/>
      <c r="J384" s="102"/>
      <c r="K384" s="105"/>
      <c r="L384" s="105"/>
      <c r="M384" s="106"/>
    </row>
    <row r="385" spans="2:13" hidden="1">
      <c r="B385" s="102"/>
      <c r="C385" s="102"/>
      <c r="D385" s="102"/>
      <c r="E385" s="102"/>
      <c r="F385" s="104"/>
      <c r="G385" s="104"/>
      <c r="H385" s="102"/>
      <c r="I385" s="102"/>
      <c r="J385" s="102"/>
      <c r="K385" s="105"/>
      <c r="L385" s="105"/>
      <c r="M385" s="106"/>
    </row>
    <row r="386" spans="2:13" hidden="1">
      <c r="B386" s="102"/>
      <c r="C386" s="102"/>
      <c r="D386" s="102"/>
      <c r="E386" s="102"/>
      <c r="F386" s="104"/>
      <c r="G386" s="104"/>
      <c r="H386" s="102"/>
      <c r="I386" s="102"/>
      <c r="J386" s="102"/>
      <c r="K386" s="105"/>
      <c r="L386" s="105"/>
      <c r="M386" s="106"/>
    </row>
    <row r="387" spans="2:13" hidden="1">
      <c r="B387" s="102"/>
      <c r="C387" s="102"/>
      <c r="D387" s="102"/>
      <c r="E387" s="102"/>
      <c r="F387" s="104"/>
      <c r="G387" s="104"/>
      <c r="H387" s="102"/>
      <c r="I387" s="102"/>
      <c r="J387" s="102"/>
      <c r="K387" s="105"/>
      <c r="L387" s="105"/>
      <c r="M387" s="106"/>
    </row>
    <row r="388" spans="2:13" hidden="1">
      <c r="B388" s="102"/>
      <c r="C388" s="102"/>
      <c r="D388" s="102"/>
      <c r="E388" s="102"/>
      <c r="F388" s="104"/>
      <c r="G388" s="104"/>
      <c r="H388" s="102"/>
      <c r="I388" s="102"/>
      <c r="J388" s="102"/>
      <c r="K388" s="105"/>
      <c r="L388" s="105"/>
      <c r="M388" s="106"/>
    </row>
    <row r="389" spans="2:13" hidden="1">
      <c r="B389" s="102"/>
      <c r="C389" s="102"/>
      <c r="D389" s="102"/>
      <c r="E389" s="102"/>
      <c r="F389" s="104"/>
      <c r="G389" s="104"/>
      <c r="H389" s="102"/>
      <c r="I389" s="102"/>
      <c r="J389" s="102"/>
      <c r="K389" s="105"/>
      <c r="L389" s="105"/>
      <c r="M389" s="106"/>
    </row>
    <row r="390" spans="2:13" hidden="1">
      <c r="B390" s="102"/>
      <c r="C390" s="102"/>
      <c r="D390" s="102"/>
      <c r="E390" s="102"/>
      <c r="F390" s="104"/>
      <c r="G390" s="104"/>
      <c r="H390" s="102"/>
      <c r="I390" s="102"/>
      <c r="J390" s="102"/>
      <c r="K390" s="105"/>
      <c r="L390" s="105"/>
      <c r="M390" s="106"/>
    </row>
    <row r="391" spans="2:13" hidden="1">
      <c r="B391" s="102"/>
      <c r="C391" s="102"/>
      <c r="D391" s="102"/>
      <c r="E391" s="102"/>
      <c r="F391" s="104"/>
      <c r="G391" s="104"/>
      <c r="H391" s="102"/>
      <c r="I391" s="102"/>
      <c r="J391" s="102"/>
      <c r="K391" s="105"/>
      <c r="L391" s="105"/>
      <c r="M391" s="106"/>
    </row>
    <row r="392" spans="2:13" hidden="1">
      <c r="B392" s="102"/>
      <c r="C392" s="102"/>
      <c r="D392" s="102"/>
      <c r="E392" s="102"/>
      <c r="F392" s="104"/>
      <c r="G392" s="104"/>
      <c r="H392" s="102"/>
      <c r="I392" s="102"/>
      <c r="J392" s="102"/>
      <c r="K392" s="105"/>
      <c r="L392" s="105"/>
      <c r="M392" s="106"/>
    </row>
    <row r="393" spans="2:13" hidden="1">
      <c r="B393" s="102"/>
      <c r="C393" s="102"/>
      <c r="D393" s="102"/>
      <c r="E393" s="102"/>
      <c r="F393" s="104"/>
      <c r="G393" s="104"/>
      <c r="H393" s="102"/>
      <c r="I393" s="102"/>
      <c r="J393" s="102"/>
      <c r="K393" s="105"/>
      <c r="L393" s="105"/>
      <c r="M393" s="106"/>
    </row>
    <row r="394" spans="2:13" hidden="1">
      <c r="B394" s="102"/>
      <c r="C394" s="102"/>
      <c r="D394" s="102"/>
      <c r="E394" s="102"/>
      <c r="F394" s="104"/>
      <c r="G394" s="104"/>
      <c r="H394" s="102"/>
      <c r="I394" s="102"/>
      <c r="J394" s="102"/>
      <c r="K394" s="105"/>
      <c r="L394" s="105"/>
      <c r="M394" s="106"/>
    </row>
    <row r="395" spans="2:13" hidden="1">
      <c r="B395" s="102"/>
      <c r="C395" s="102"/>
      <c r="D395" s="102"/>
      <c r="E395" s="102"/>
      <c r="F395" s="104"/>
      <c r="G395" s="104"/>
      <c r="H395" s="102"/>
      <c r="I395" s="102"/>
      <c r="J395" s="102"/>
      <c r="K395" s="105"/>
      <c r="L395" s="105"/>
      <c r="M395" s="106"/>
    </row>
    <row r="396" spans="2:13" hidden="1">
      <c r="B396" s="102"/>
      <c r="C396" s="102"/>
      <c r="D396" s="102"/>
      <c r="E396" s="102"/>
      <c r="F396" s="104"/>
      <c r="G396" s="104"/>
      <c r="H396" s="102"/>
      <c r="I396" s="102"/>
      <c r="J396" s="102"/>
      <c r="K396" s="105"/>
      <c r="L396" s="105"/>
      <c r="M396" s="106"/>
    </row>
    <row r="397" spans="2:13" hidden="1">
      <c r="B397" s="102"/>
      <c r="C397" s="102"/>
      <c r="D397" s="102"/>
      <c r="E397" s="102"/>
      <c r="F397" s="104"/>
      <c r="G397" s="104"/>
      <c r="H397" s="102"/>
      <c r="I397" s="102"/>
      <c r="J397" s="102"/>
      <c r="K397" s="105"/>
      <c r="L397" s="105"/>
      <c r="M397" s="106"/>
    </row>
    <row r="398" spans="2:13" hidden="1">
      <c r="B398" s="102"/>
      <c r="C398" s="102"/>
      <c r="D398" s="102"/>
      <c r="E398" s="102"/>
      <c r="F398" s="104"/>
      <c r="G398" s="104"/>
      <c r="H398" s="102"/>
      <c r="I398" s="102"/>
      <c r="J398" s="102"/>
      <c r="K398" s="105"/>
      <c r="L398" s="105"/>
      <c r="M398" s="106"/>
    </row>
    <row r="399" spans="2:13" hidden="1">
      <c r="B399" s="102"/>
      <c r="C399" s="102"/>
      <c r="D399" s="102"/>
      <c r="E399" s="102"/>
      <c r="F399" s="104"/>
      <c r="G399" s="104"/>
      <c r="H399" s="102"/>
      <c r="I399" s="102"/>
      <c r="J399" s="102"/>
      <c r="K399" s="105"/>
      <c r="L399" s="105"/>
      <c r="M399" s="106"/>
    </row>
    <row r="400" spans="2:13" hidden="1">
      <c r="B400" s="102"/>
      <c r="C400" s="102"/>
      <c r="D400" s="102"/>
      <c r="E400" s="102"/>
      <c r="F400" s="104"/>
      <c r="G400" s="104"/>
      <c r="H400" s="102"/>
      <c r="I400" s="102"/>
      <c r="J400" s="102"/>
      <c r="K400" s="105"/>
      <c r="L400" s="105"/>
      <c r="M400" s="106"/>
    </row>
    <row r="401" spans="2:13" hidden="1">
      <c r="B401" s="102"/>
      <c r="C401" s="102"/>
      <c r="D401" s="102"/>
      <c r="E401" s="102"/>
      <c r="F401" s="104"/>
      <c r="G401" s="104"/>
      <c r="H401" s="102"/>
      <c r="I401" s="102"/>
      <c r="J401" s="102"/>
      <c r="K401" s="105"/>
      <c r="L401" s="105"/>
      <c r="M401" s="106"/>
    </row>
    <row r="402" spans="2:13" hidden="1">
      <c r="B402" s="102"/>
      <c r="C402" s="102"/>
      <c r="D402" s="102"/>
      <c r="E402" s="102"/>
      <c r="F402" s="104"/>
      <c r="G402" s="104"/>
      <c r="H402" s="102"/>
      <c r="I402" s="102"/>
      <c r="J402" s="102"/>
      <c r="K402" s="105"/>
      <c r="L402" s="105"/>
      <c r="M402" s="106"/>
    </row>
    <row r="403" spans="2:13" hidden="1">
      <c r="B403" s="102"/>
      <c r="C403" s="102"/>
      <c r="D403" s="102"/>
      <c r="E403" s="102"/>
      <c r="F403" s="104"/>
      <c r="G403" s="104"/>
      <c r="H403" s="102"/>
      <c r="I403" s="102"/>
      <c r="J403" s="102"/>
      <c r="K403" s="105"/>
      <c r="L403" s="105"/>
      <c r="M403" s="106"/>
    </row>
    <row r="404" spans="2:13" hidden="1">
      <c r="B404" s="102"/>
      <c r="C404" s="102"/>
      <c r="D404" s="102"/>
      <c r="E404" s="102"/>
      <c r="F404" s="104"/>
      <c r="G404" s="104"/>
      <c r="H404" s="102"/>
      <c r="I404" s="102"/>
      <c r="J404" s="102"/>
      <c r="K404" s="105"/>
      <c r="L404" s="105"/>
      <c r="M404" s="106"/>
    </row>
    <row r="405" spans="2:13" hidden="1">
      <c r="B405" s="102"/>
      <c r="C405" s="102"/>
      <c r="D405" s="102"/>
      <c r="E405" s="102"/>
      <c r="F405" s="104"/>
      <c r="G405" s="104"/>
      <c r="H405" s="102"/>
      <c r="I405" s="102"/>
      <c r="J405" s="102"/>
      <c r="K405" s="105"/>
      <c r="L405" s="105"/>
      <c r="M405" s="106"/>
    </row>
    <row r="406" spans="2:13" hidden="1">
      <c r="B406" s="102"/>
      <c r="C406" s="102"/>
      <c r="D406" s="102"/>
      <c r="E406" s="102"/>
      <c r="F406" s="104"/>
      <c r="G406" s="104"/>
      <c r="H406" s="102"/>
      <c r="I406" s="102"/>
      <c r="J406" s="102"/>
      <c r="K406" s="105"/>
      <c r="L406" s="105"/>
      <c r="M406" s="106"/>
    </row>
    <row r="407" spans="2:13" hidden="1">
      <c r="B407" s="102"/>
      <c r="C407" s="102"/>
      <c r="D407" s="102"/>
      <c r="E407" s="102"/>
      <c r="F407" s="104"/>
      <c r="G407" s="104"/>
      <c r="H407" s="102"/>
      <c r="I407" s="102"/>
      <c r="J407" s="102"/>
      <c r="K407" s="105"/>
      <c r="L407" s="105"/>
      <c r="M407" s="106"/>
    </row>
    <row r="408" spans="2:13" hidden="1">
      <c r="B408" s="102"/>
      <c r="C408" s="102"/>
      <c r="D408" s="102"/>
      <c r="E408" s="102"/>
      <c r="F408" s="104"/>
      <c r="G408" s="104"/>
      <c r="H408" s="102"/>
      <c r="I408" s="102"/>
      <c r="J408" s="102"/>
      <c r="K408" s="105"/>
      <c r="L408" s="105"/>
      <c r="M408" s="106"/>
    </row>
    <row r="409" spans="2:13" hidden="1">
      <c r="B409" s="102"/>
      <c r="C409" s="102"/>
      <c r="D409" s="102"/>
      <c r="E409" s="102"/>
      <c r="F409" s="104"/>
      <c r="G409" s="104"/>
      <c r="H409" s="102"/>
      <c r="I409" s="102"/>
      <c r="J409" s="102"/>
      <c r="K409" s="105"/>
      <c r="L409" s="105"/>
      <c r="M409" s="106"/>
    </row>
    <row r="410" spans="2:13" hidden="1">
      <c r="B410" s="102"/>
      <c r="C410" s="102"/>
      <c r="D410" s="102"/>
      <c r="E410" s="102"/>
      <c r="F410" s="104"/>
      <c r="G410" s="104"/>
      <c r="H410" s="102"/>
      <c r="I410" s="102"/>
      <c r="J410" s="102"/>
      <c r="K410" s="105"/>
      <c r="L410" s="105"/>
      <c r="M410" s="106"/>
    </row>
    <row r="411" spans="2:13" hidden="1">
      <c r="B411" s="102"/>
      <c r="C411" s="102"/>
      <c r="D411" s="102"/>
      <c r="E411" s="102"/>
      <c r="F411" s="104"/>
      <c r="G411" s="104"/>
      <c r="H411" s="102"/>
      <c r="I411" s="102"/>
      <c r="J411" s="102"/>
      <c r="K411" s="105"/>
      <c r="L411" s="105"/>
      <c r="M411" s="106"/>
    </row>
    <row r="412" spans="2:13" hidden="1">
      <c r="B412" s="102"/>
      <c r="C412" s="102"/>
      <c r="D412" s="102"/>
      <c r="E412" s="102"/>
      <c r="F412" s="104"/>
      <c r="G412" s="104"/>
      <c r="H412" s="102"/>
      <c r="I412" s="102"/>
      <c r="J412" s="102"/>
      <c r="K412" s="105"/>
      <c r="L412" s="105"/>
      <c r="M412" s="106"/>
    </row>
    <row r="413" spans="2:13" hidden="1">
      <c r="B413" s="102"/>
      <c r="C413" s="102"/>
      <c r="D413" s="102"/>
      <c r="E413" s="102"/>
      <c r="F413" s="104"/>
      <c r="G413" s="104"/>
      <c r="H413" s="102"/>
      <c r="I413" s="102"/>
      <c r="J413" s="102"/>
      <c r="K413" s="105"/>
      <c r="L413" s="105"/>
      <c r="M413" s="106"/>
    </row>
    <row r="414" spans="2:13" hidden="1">
      <c r="B414" s="102"/>
      <c r="C414" s="102"/>
      <c r="D414" s="102"/>
      <c r="E414" s="102"/>
      <c r="F414" s="104"/>
      <c r="G414" s="104"/>
      <c r="H414" s="102"/>
      <c r="I414" s="102"/>
      <c r="J414" s="102"/>
      <c r="K414" s="105"/>
      <c r="L414" s="105"/>
      <c r="M414" s="106"/>
    </row>
    <row r="415" spans="2:13" hidden="1">
      <c r="B415" s="102"/>
      <c r="C415" s="102"/>
      <c r="D415" s="102"/>
      <c r="E415" s="102"/>
      <c r="F415" s="104"/>
      <c r="G415" s="104"/>
      <c r="H415" s="102"/>
      <c r="I415" s="102"/>
      <c r="J415" s="102"/>
      <c r="K415" s="105"/>
      <c r="L415" s="105"/>
      <c r="M415" s="106"/>
    </row>
    <row r="416" spans="2:13" hidden="1">
      <c r="B416" s="102"/>
      <c r="C416" s="102"/>
      <c r="D416" s="102"/>
      <c r="E416" s="102"/>
      <c r="F416" s="104"/>
      <c r="G416" s="104"/>
      <c r="H416" s="102"/>
      <c r="I416" s="102"/>
      <c r="J416" s="102"/>
      <c r="K416" s="105"/>
      <c r="L416" s="105"/>
      <c r="M416" s="106"/>
    </row>
    <row r="417" spans="2:13" hidden="1">
      <c r="B417" s="102"/>
      <c r="C417" s="102"/>
      <c r="D417" s="102"/>
      <c r="E417" s="102"/>
      <c r="F417" s="104"/>
      <c r="G417" s="104"/>
      <c r="H417" s="102"/>
      <c r="I417" s="102"/>
      <c r="J417" s="102"/>
      <c r="K417" s="105"/>
      <c r="L417" s="105"/>
      <c r="M417" s="106"/>
    </row>
    <row r="418" spans="2:13" hidden="1">
      <c r="B418" s="102"/>
      <c r="C418" s="102"/>
      <c r="D418" s="102"/>
      <c r="E418" s="102"/>
      <c r="F418" s="104"/>
      <c r="G418" s="104"/>
      <c r="H418" s="102"/>
      <c r="I418" s="102"/>
      <c r="J418" s="102"/>
      <c r="K418" s="105"/>
      <c r="L418" s="105"/>
      <c r="M418" s="106"/>
    </row>
    <row r="419" spans="2:13" hidden="1">
      <c r="B419" s="102"/>
      <c r="C419" s="102"/>
      <c r="D419" s="102"/>
      <c r="E419" s="102"/>
      <c r="F419" s="104"/>
      <c r="G419" s="104"/>
      <c r="H419" s="102"/>
      <c r="I419" s="102"/>
      <c r="J419" s="102"/>
      <c r="K419" s="105"/>
      <c r="L419" s="105"/>
      <c r="M419" s="106"/>
    </row>
    <row r="420" spans="2:13" hidden="1">
      <c r="B420" s="102"/>
      <c r="C420" s="102"/>
      <c r="D420" s="102"/>
      <c r="E420" s="102"/>
      <c r="F420" s="104"/>
      <c r="G420" s="104"/>
      <c r="H420" s="102"/>
      <c r="I420" s="102"/>
      <c r="J420" s="102"/>
      <c r="K420" s="105"/>
      <c r="L420" s="105"/>
      <c r="M420" s="106"/>
    </row>
    <row r="421" spans="2:13" hidden="1">
      <c r="B421" s="102"/>
      <c r="C421" s="102"/>
      <c r="D421" s="102"/>
      <c r="E421" s="102"/>
      <c r="F421" s="104"/>
      <c r="G421" s="104"/>
      <c r="H421" s="102"/>
      <c r="I421" s="102"/>
      <c r="J421" s="102"/>
      <c r="K421" s="105"/>
      <c r="L421" s="105"/>
      <c r="M421" s="106"/>
    </row>
    <row r="422" spans="2:13" hidden="1">
      <c r="B422" s="102"/>
      <c r="C422" s="102"/>
      <c r="D422" s="102"/>
      <c r="E422" s="102"/>
      <c r="F422" s="104"/>
      <c r="G422" s="104"/>
      <c r="H422" s="102"/>
      <c r="I422" s="102"/>
      <c r="J422" s="102"/>
      <c r="K422" s="105"/>
      <c r="L422" s="105"/>
      <c r="M422" s="106"/>
    </row>
    <row r="423" spans="2:13" hidden="1">
      <c r="B423" s="102"/>
      <c r="C423" s="102"/>
      <c r="D423" s="102"/>
      <c r="E423" s="102"/>
      <c r="F423" s="104"/>
      <c r="G423" s="104"/>
      <c r="H423" s="102"/>
      <c r="I423" s="102"/>
      <c r="J423" s="102"/>
      <c r="K423" s="105"/>
      <c r="L423" s="105"/>
      <c r="M423" s="106"/>
    </row>
    <row r="424" spans="2:13" hidden="1">
      <c r="B424" s="102"/>
      <c r="C424" s="102"/>
      <c r="D424" s="102"/>
      <c r="E424" s="102"/>
      <c r="F424" s="104"/>
      <c r="G424" s="104"/>
      <c r="H424" s="102"/>
      <c r="I424" s="102"/>
      <c r="J424" s="102"/>
      <c r="K424" s="105"/>
      <c r="L424" s="105"/>
      <c r="M424" s="106"/>
    </row>
    <row r="425" spans="2:13" hidden="1">
      <c r="B425" s="102"/>
      <c r="C425" s="102"/>
      <c r="D425" s="102"/>
      <c r="E425" s="102"/>
      <c r="F425" s="104"/>
      <c r="G425" s="104"/>
      <c r="H425" s="102"/>
      <c r="I425" s="102"/>
      <c r="J425" s="102"/>
      <c r="K425" s="105"/>
      <c r="L425" s="105"/>
      <c r="M425" s="106"/>
    </row>
    <row r="426" spans="2:13" hidden="1">
      <c r="B426" s="102"/>
      <c r="C426" s="102"/>
      <c r="D426" s="102"/>
      <c r="E426" s="102"/>
      <c r="F426" s="104"/>
      <c r="G426" s="104"/>
      <c r="H426" s="102"/>
      <c r="I426" s="102"/>
      <c r="J426" s="102"/>
      <c r="K426" s="105"/>
      <c r="L426" s="105"/>
      <c r="M426" s="106"/>
    </row>
    <row r="427" spans="2:13" hidden="1">
      <c r="B427" s="102"/>
      <c r="C427" s="102"/>
      <c r="D427" s="102"/>
      <c r="E427" s="102"/>
      <c r="F427" s="104"/>
      <c r="G427" s="104"/>
      <c r="H427" s="102"/>
      <c r="I427" s="102"/>
      <c r="J427" s="102"/>
      <c r="K427" s="105"/>
      <c r="L427" s="105"/>
      <c r="M427" s="106"/>
    </row>
    <row r="428" spans="2:13" hidden="1">
      <c r="B428" s="102"/>
      <c r="C428" s="102"/>
      <c r="D428" s="102"/>
      <c r="E428" s="102"/>
      <c r="F428" s="104"/>
      <c r="G428" s="104"/>
      <c r="H428" s="102"/>
      <c r="I428" s="102"/>
      <c r="J428" s="102"/>
      <c r="K428" s="105"/>
      <c r="L428" s="105"/>
      <c r="M428" s="106"/>
    </row>
    <row r="429" spans="2:13" hidden="1">
      <c r="B429" s="102"/>
      <c r="C429" s="102"/>
      <c r="D429" s="102"/>
      <c r="E429" s="102"/>
      <c r="F429" s="104"/>
      <c r="G429" s="104"/>
      <c r="H429" s="102"/>
      <c r="I429" s="102"/>
      <c r="J429" s="102"/>
      <c r="K429" s="105"/>
      <c r="L429" s="105"/>
      <c r="M429" s="106"/>
    </row>
    <row r="430" spans="2:13" hidden="1">
      <c r="B430" s="102"/>
      <c r="C430" s="102"/>
      <c r="D430" s="102"/>
      <c r="E430" s="102"/>
      <c r="F430" s="104"/>
      <c r="G430" s="104"/>
      <c r="H430" s="102"/>
      <c r="I430" s="102"/>
      <c r="J430" s="102"/>
      <c r="K430" s="105"/>
      <c r="L430" s="105"/>
      <c r="M430" s="106"/>
    </row>
    <row r="431" spans="2:13" hidden="1">
      <c r="B431" s="102"/>
      <c r="C431" s="102"/>
      <c r="D431" s="102"/>
      <c r="E431" s="102"/>
      <c r="F431" s="104"/>
      <c r="G431" s="104"/>
      <c r="H431" s="102"/>
      <c r="I431" s="102"/>
      <c r="J431" s="102"/>
      <c r="K431" s="105"/>
      <c r="L431" s="105"/>
      <c r="M431" s="106"/>
    </row>
    <row r="432" spans="2:13" hidden="1">
      <c r="B432" s="102"/>
      <c r="C432" s="102"/>
      <c r="D432" s="102"/>
      <c r="E432" s="102"/>
      <c r="F432" s="104"/>
      <c r="G432" s="104"/>
      <c r="H432" s="102"/>
      <c r="I432" s="102"/>
      <c r="J432" s="102"/>
      <c r="K432" s="105"/>
      <c r="L432" s="105"/>
      <c r="M432" s="106"/>
    </row>
    <row r="433" spans="2:13" hidden="1">
      <c r="B433" s="102"/>
      <c r="C433" s="102"/>
      <c r="D433" s="102"/>
      <c r="E433" s="102"/>
      <c r="F433" s="104"/>
      <c r="G433" s="104"/>
      <c r="H433" s="102"/>
      <c r="I433" s="102"/>
      <c r="J433" s="102"/>
      <c r="K433" s="105"/>
      <c r="L433" s="105"/>
      <c r="M433" s="106"/>
    </row>
    <row r="434" spans="2:13" hidden="1">
      <c r="B434" s="102"/>
      <c r="C434" s="102"/>
      <c r="D434" s="102"/>
      <c r="E434" s="102"/>
      <c r="F434" s="104"/>
      <c r="G434" s="104"/>
      <c r="H434" s="102"/>
      <c r="I434" s="102"/>
      <c r="J434" s="102"/>
      <c r="K434" s="105"/>
      <c r="L434" s="105"/>
      <c r="M434" s="106"/>
    </row>
    <row r="435" spans="2:13" hidden="1">
      <c r="B435" s="102"/>
      <c r="C435" s="102"/>
      <c r="D435" s="102"/>
      <c r="E435" s="102"/>
      <c r="F435" s="104"/>
      <c r="G435" s="104"/>
      <c r="H435" s="102"/>
      <c r="I435" s="102"/>
      <c r="J435" s="102"/>
      <c r="K435" s="105"/>
      <c r="L435" s="105"/>
      <c r="M435" s="106"/>
    </row>
    <row r="436" spans="2:13" hidden="1">
      <c r="B436" s="102"/>
      <c r="C436" s="102"/>
      <c r="D436" s="102"/>
      <c r="E436" s="102"/>
      <c r="F436" s="104"/>
      <c r="G436" s="104"/>
      <c r="H436" s="102"/>
      <c r="I436" s="102"/>
      <c r="J436" s="102"/>
      <c r="K436" s="105"/>
      <c r="L436" s="105"/>
      <c r="M436" s="106"/>
    </row>
    <row r="437" spans="2:13" hidden="1">
      <c r="B437" s="102"/>
      <c r="C437" s="102"/>
      <c r="D437" s="102"/>
      <c r="E437" s="102"/>
      <c r="F437" s="104"/>
      <c r="G437" s="104"/>
      <c r="H437" s="102"/>
      <c r="I437" s="102"/>
      <c r="J437" s="102"/>
      <c r="K437" s="105"/>
      <c r="L437" s="105"/>
      <c r="M437" s="106"/>
    </row>
    <row r="438" spans="2:13" hidden="1">
      <c r="B438" s="102"/>
      <c r="C438" s="102"/>
      <c r="D438" s="102"/>
      <c r="E438" s="102"/>
      <c r="F438" s="104"/>
      <c r="G438" s="104"/>
      <c r="H438" s="102"/>
      <c r="I438" s="102"/>
      <c r="J438" s="102"/>
      <c r="K438" s="105"/>
      <c r="L438" s="105"/>
      <c r="M438" s="106"/>
    </row>
    <row r="439" spans="2:13" hidden="1">
      <c r="B439" s="102"/>
      <c r="C439" s="102"/>
      <c r="D439" s="102"/>
      <c r="E439" s="102"/>
      <c r="F439" s="104"/>
      <c r="G439" s="104"/>
      <c r="H439" s="102"/>
      <c r="I439" s="102"/>
      <c r="J439" s="102"/>
      <c r="K439" s="105"/>
      <c r="L439" s="105"/>
      <c r="M439" s="106"/>
    </row>
    <row r="440" spans="2:13" hidden="1">
      <c r="B440" s="102"/>
      <c r="C440" s="102"/>
      <c r="D440" s="102"/>
      <c r="E440" s="102"/>
      <c r="F440" s="104"/>
      <c r="G440" s="104"/>
      <c r="H440" s="102"/>
      <c r="I440" s="102"/>
      <c r="J440" s="102"/>
      <c r="K440" s="105"/>
      <c r="L440" s="105"/>
      <c r="M440" s="106"/>
    </row>
    <row r="441" spans="2:13" hidden="1">
      <c r="B441" s="102"/>
      <c r="C441" s="102"/>
      <c r="D441" s="102"/>
      <c r="E441" s="102"/>
      <c r="F441" s="104"/>
      <c r="G441" s="104"/>
      <c r="H441" s="102"/>
      <c r="I441" s="102"/>
      <c r="J441" s="102"/>
      <c r="K441" s="105"/>
      <c r="L441" s="105"/>
      <c r="M441" s="106"/>
    </row>
    <row r="442" spans="2:13" hidden="1">
      <c r="B442" s="102"/>
      <c r="C442" s="102"/>
      <c r="D442" s="102"/>
      <c r="E442" s="102"/>
      <c r="F442" s="104"/>
      <c r="G442" s="104"/>
      <c r="H442" s="102"/>
      <c r="I442" s="102"/>
      <c r="J442" s="102"/>
      <c r="K442" s="105"/>
      <c r="L442" s="105"/>
      <c r="M442" s="106"/>
    </row>
    <row r="443" spans="2:13" hidden="1">
      <c r="B443" s="102"/>
      <c r="C443" s="102"/>
      <c r="D443" s="102"/>
      <c r="E443" s="102"/>
      <c r="F443" s="104"/>
      <c r="G443" s="104"/>
      <c r="H443" s="102"/>
      <c r="I443" s="102"/>
      <c r="J443" s="102"/>
      <c r="K443" s="105"/>
      <c r="L443" s="105"/>
      <c r="M443" s="106"/>
    </row>
    <row r="444" spans="2:13" hidden="1">
      <c r="B444" s="102"/>
      <c r="C444" s="102"/>
      <c r="D444" s="102"/>
      <c r="E444" s="102"/>
      <c r="F444" s="104"/>
      <c r="G444" s="104"/>
      <c r="H444" s="102"/>
      <c r="I444" s="102"/>
      <c r="J444" s="102"/>
      <c r="K444" s="105"/>
      <c r="L444" s="105"/>
      <c r="M444" s="106"/>
    </row>
    <row r="445" spans="2:13" hidden="1">
      <c r="B445" s="102"/>
      <c r="C445" s="102"/>
      <c r="D445" s="102"/>
      <c r="E445" s="102"/>
      <c r="F445" s="104"/>
      <c r="G445" s="104"/>
      <c r="H445" s="102"/>
      <c r="I445" s="102"/>
      <c r="J445" s="102"/>
      <c r="K445" s="105"/>
      <c r="L445" s="105"/>
      <c r="M445" s="106"/>
    </row>
    <row r="446" spans="2:13" hidden="1">
      <c r="B446" s="102"/>
      <c r="C446" s="102"/>
      <c r="D446" s="102"/>
      <c r="E446" s="102"/>
      <c r="F446" s="104"/>
      <c r="G446" s="104"/>
      <c r="H446" s="102"/>
      <c r="I446" s="102"/>
      <c r="J446" s="102"/>
      <c r="K446" s="105"/>
      <c r="L446" s="105"/>
      <c r="M446" s="106"/>
    </row>
    <row r="447" spans="2:13" hidden="1">
      <c r="B447" s="102"/>
      <c r="C447" s="102"/>
      <c r="D447" s="102"/>
      <c r="E447" s="102"/>
      <c r="F447" s="104"/>
      <c r="G447" s="104"/>
      <c r="H447" s="102"/>
      <c r="I447" s="102"/>
      <c r="J447" s="102"/>
      <c r="K447" s="105"/>
      <c r="L447" s="105"/>
      <c r="M447" s="106"/>
    </row>
    <row r="448" spans="2:13" hidden="1">
      <c r="B448" s="102"/>
      <c r="C448" s="102"/>
      <c r="D448" s="102"/>
      <c r="E448" s="102"/>
      <c r="F448" s="104"/>
      <c r="G448" s="104"/>
      <c r="H448" s="102"/>
      <c r="I448" s="102"/>
      <c r="J448" s="102"/>
      <c r="K448" s="105"/>
      <c r="L448" s="105"/>
      <c r="M448" s="106"/>
    </row>
    <row r="449" spans="2:13" hidden="1">
      <c r="B449" s="102"/>
      <c r="C449" s="102"/>
      <c r="D449" s="102"/>
      <c r="E449" s="102"/>
      <c r="F449" s="104"/>
      <c r="G449" s="104"/>
      <c r="H449" s="102"/>
      <c r="I449" s="102"/>
      <c r="J449" s="102"/>
      <c r="K449" s="105"/>
      <c r="L449" s="105"/>
      <c r="M449" s="106"/>
    </row>
    <row r="450" spans="2:13" hidden="1">
      <c r="B450" s="102"/>
      <c r="C450" s="102"/>
      <c r="D450" s="102"/>
      <c r="E450" s="102"/>
      <c r="F450" s="104"/>
      <c r="G450" s="104"/>
      <c r="H450" s="102"/>
      <c r="I450" s="102"/>
      <c r="J450" s="102"/>
      <c r="K450" s="105"/>
      <c r="L450" s="105"/>
      <c r="M450" s="106"/>
    </row>
    <row r="451" spans="2:13" hidden="1">
      <c r="B451" s="102"/>
      <c r="C451" s="102"/>
      <c r="D451" s="102"/>
      <c r="E451" s="102"/>
      <c r="F451" s="104"/>
      <c r="G451" s="104"/>
      <c r="H451" s="102"/>
      <c r="I451" s="102"/>
      <c r="J451" s="102"/>
      <c r="K451" s="105"/>
      <c r="L451" s="105"/>
      <c r="M451" s="106"/>
    </row>
    <row r="452" spans="2:13" hidden="1">
      <c r="B452" s="102"/>
      <c r="C452" s="102"/>
      <c r="D452" s="102"/>
      <c r="E452" s="102"/>
      <c r="F452" s="104"/>
      <c r="G452" s="104"/>
      <c r="H452" s="102"/>
      <c r="I452" s="102"/>
      <c r="J452" s="102"/>
      <c r="K452" s="105"/>
      <c r="L452" s="105"/>
      <c r="M452" s="106"/>
    </row>
    <row r="453" spans="2:13" hidden="1">
      <c r="B453" s="102"/>
      <c r="C453" s="102"/>
      <c r="D453" s="102"/>
      <c r="E453" s="102"/>
      <c r="F453" s="104"/>
      <c r="G453" s="104"/>
      <c r="H453" s="102"/>
      <c r="I453" s="102"/>
      <c r="J453" s="102"/>
      <c r="K453" s="105"/>
      <c r="L453" s="105"/>
      <c r="M453" s="106"/>
    </row>
    <row r="454" spans="2:13" hidden="1">
      <c r="B454" s="102"/>
      <c r="C454" s="102"/>
      <c r="D454" s="102"/>
      <c r="E454" s="102"/>
      <c r="F454" s="104"/>
      <c r="G454" s="104"/>
      <c r="H454" s="102"/>
      <c r="I454" s="102"/>
      <c r="J454" s="102"/>
      <c r="K454" s="105"/>
      <c r="L454" s="105"/>
      <c r="M454" s="106"/>
    </row>
    <row r="455" spans="2:13" hidden="1">
      <c r="B455" s="102"/>
      <c r="C455" s="102"/>
      <c r="D455" s="102"/>
      <c r="E455" s="102"/>
      <c r="F455" s="104"/>
      <c r="G455" s="104"/>
      <c r="H455" s="102"/>
      <c r="I455" s="102"/>
      <c r="J455" s="102"/>
      <c r="K455" s="105"/>
      <c r="L455" s="105"/>
      <c r="M455" s="106"/>
    </row>
    <row r="456" spans="2:13" hidden="1">
      <c r="B456" s="102"/>
      <c r="C456" s="102"/>
      <c r="D456" s="102"/>
      <c r="E456" s="102"/>
      <c r="F456" s="104"/>
      <c r="G456" s="104"/>
      <c r="H456" s="102"/>
      <c r="I456" s="102"/>
      <c r="J456" s="102"/>
      <c r="K456" s="105"/>
      <c r="L456" s="105"/>
      <c r="M456" s="106"/>
    </row>
    <row r="457" spans="2:13" hidden="1">
      <c r="B457" s="102"/>
      <c r="C457" s="102"/>
      <c r="D457" s="102"/>
      <c r="E457" s="102"/>
      <c r="F457" s="104"/>
      <c r="G457" s="104"/>
      <c r="H457" s="102"/>
      <c r="I457" s="102"/>
      <c r="J457" s="102"/>
      <c r="K457" s="105"/>
      <c r="L457" s="105"/>
      <c r="M457" s="106"/>
    </row>
    <row r="458" spans="2:13" hidden="1">
      <c r="B458" s="102"/>
      <c r="C458" s="102"/>
      <c r="D458" s="102"/>
      <c r="E458" s="102"/>
      <c r="F458" s="104"/>
      <c r="G458" s="104"/>
      <c r="H458" s="102"/>
      <c r="I458" s="102"/>
      <c r="J458" s="102"/>
      <c r="K458" s="105"/>
      <c r="L458" s="105"/>
      <c r="M458" s="106"/>
    </row>
    <row r="459" spans="2:13" hidden="1">
      <c r="B459" s="102"/>
      <c r="C459" s="102"/>
      <c r="D459" s="102"/>
      <c r="E459" s="102"/>
      <c r="F459" s="104"/>
      <c r="G459" s="104"/>
      <c r="H459" s="102"/>
      <c r="I459" s="102"/>
      <c r="J459" s="102"/>
      <c r="K459" s="105"/>
      <c r="L459" s="105"/>
      <c r="M459" s="106"/>
    </row>
    <row r="460" spans="2:13" hidden="1">
      <c r="B460" s="102"/>
      <c r="C460" s="102"/>
      <c r="D460" s="102"/>
      <c r="E460" s="102"/>
      <c r="F460" s="104"/>
      <c r="G460" s="104"/>
      <c r="H460" s="102"/>
      <c r="I460" s="102"/>
      <c r="J460" s="102"/>
      <c r="K460" s="105"/>
      <c r="L460" s="105"/>
      <c r="M460" s="106"/>
    </row>
    <row r="461" spans="2:13" hidden="1">
      <c r="B461" s="102"/>
      <c r="C461" s="102"/>
      <c r="D461" s="102"/>
      <c r="E461" s="102"/>
      <c r="F461" s="104"/>
      <c r="G461" s="104"/>
      <c r="H461" s="102"/>
      <c r="I461" s="102"/>
      <c r="J461" s="102"/>
      <c r="K461" s="105"/>
      <c r="L461" s="105"/>
      <c r="M461" s="106"/>
    </row>
    <row r="462" spans="2:13" hidden="1">
      <c r="B462" s="102"/>
      <c r="C462" s="102"/>
      <c r="D462" s="102"/>
      <c r="E462" s="102"/>
      <c r="F462" s="104"/>
      <c r="G462" s="104"/>
      <c r="H462" s="102"/>
      <c r="I462" s="102"/>
      <c r="J462" s="102"/>
      <c r="K462" s="105"/>
      <c r="L462" s="105"/>
      <c r="M462" s="106"/>
    </row>
    <row r="463" spans="2:13" hidden="1">
      <c r="B463" s="102"/>
      <c r="C463" s="102"/>
      <c r="D463" s="102"/>
      <c r="E463" s="102"/>
      <c r="F463" s="104"/>
      <c r="G463" s="104"/>
      <c r="H463" s="102"/>
      <c r="I463" s="102"/>
      <c r="J463" s="102"/>
      <c r="K463" s="105"/>
      <c r="L463" s="105"/>
      <c r="M463" s="106"/>
    </row>
    <row r="464" spans="2:13" hidden="1">
      <c r="B464" s="102"/>
      <c r="C464" s="102"/>
      <c r="D464" s="102"/>
      <c r="E464" s="102"/>
      <c r="F464" s="104"/>
      <c r="G464" s="104"/>
      <c r="H464" s="102"/>
      <c r="I464" s="102"/>
      <c r="J464" s="102"/>
      <c r="K464" s="105"/>
      <c r="L464" s="105"/>
      <c r="M464" s="106"/>
    </row>
    <row r="465" spans="2:13" hidden="1">
      <c r="B465" s="102"/>
      <c r="C465" s="102"/>
      <c r="D465" s="102"/>
      <c r="E465" s="102"/>
      <c r="F465" s="104"/>
      <c r="G465" s="104"/>
      <c r="H465" s="102"/>
      <c r="I465" s="102"/>
      <c r="J465" s="102"/>
      <c r="K465" s="105"/>
      <c r="L465" s="105"/>
      <c r="M465" s="106"/>
    </row>
    <row r="466" spans="2:13" hidden="1">
      <c r="B466" s="102"/>
      <c r="C466" s="102"/>
      <c r="D466" s="102"/>
      <c r="E466" s="102"/>
      <c r="F466" s="104"/>
      <c r="G466" s="104"/>
      <c r="H466" s="102"/>
      <c r="I466" s="102"/>
      <c r="J466" s="102"/>
      <c r="K466" s="105"/>
      <c r="L466" s="105"/>
      <c r="M466" s="106"/>
    </row>
    <row r="467" spans="2:13" hidden="1">
      <c r="B467" s="102"/>
      <c r="C467" s="102"/>
      <c r="D467" s="102"/>
      <c r="E467" s="102"/>
      <c r="F467" s="104"/>
      <c r="G467" s="104"/>
      <c r="H467" s="102"/>
      <c r="I467" s="102"/>
      <c r="J467" s="102"/>
      <c r="K467" s="105"/>
      <c r="L467" s="105"/>
      <c r="M467" s="106"/>
    </row>
    <row r="468" spans="2:13" hidden="1">
      <c r="B468" s="102"/>
      <c r="C468" s="102"/>
      <c r="D468" s="102"/>
      <c r="E468" s="102"/>
      <c r="F468" s="104"/>
      <c r="G468" s="104"/>
      <c r="H468" s="102"/>
      <c r="I468" s="102"/>
      <c r="J468" s="102"/>
      <c r="K468" s="105"/>
      <c r="L468" s="105"/>
      <c r="M468" s="106"/>
    </row>
    <row r="469" spans="2:13" hidden="1">
      <c r="B469" s="102"/>
      <c r="C469" s="102"/>
      <c r="D469" s="102"/>
      <c r="E469" s="102"/>
      <c r="F469" s="104"/>
      <c r="G469" s="104"/>
      <c r="H469" s="102"/>
      <c r="I469" s="102"/>
      <c r="J469" s="102"/>
      <c r="K469" s="105"/>
      <c r="L469" s="105"/>
      <c r="M469" s="106"/>
    </row>
    <row r="470" spans="2:13" hidden="1">
      <c r="B470" s="102"/>
      <c r="C470" s="102"/>
      <c r="D470" s="102"/>
      <c r="E470" s="102"/>
      <c r="F470" s="104"/>
      <c r="G470" s="104"/>
      <c r="H470" s="102"/>
      <c r="I470" s="102"/>
      <c r="J470" s="102"/>
      <c r="K470" s="105"/>
      <c r="L470" s="105"/>
      <c r="M470" s="106"/>
    </row>
    <row r="471" spans="2:13" hidden="1">
      <c r="B471" s="102"/>
      <c r="C471" s="102"/>
      <c r="D471" s="102"/>
      <c r="E471" s="102"/>
      <c r="F471" s="104"/>
      <c r="G471" s="104"/>
      <c r="H471" s="102"/>
      <c r="I471" s="102"/>
      <c r="J471" s="102"/>
      <c r="K471" s="105"/>
      <c r="L471" s="105"/>
      <c r="M471" s="106"/>
    </row>
    <row r="472" spans="2:13" hidden="1">
      <c r="B472" s="102"/>
      <c r="C472" s="102"/>
      <c r="D472" s="102"/>
      <c r="E472" s="102"/>
      <c r="F472" s="104"/>
      <c r="G472" s="104"/>
      <c r="H472" s="102"/>
      <c r="I472" s="102"/>
      <c r="J472" s="102"/>
      <c r="K472" s="105"/>
      <c r="L472" s="105"/>
      <c r="M472" s="106"/>
    </row>
    <row r="473" spans="2:13" hidden="1">
      <c r="B473" s="102"/>
      <c r="C473" s="102"/>
      <c r="D473" s="102"/>
      <c r="E473" s="102"/>
      <c r="F473" s="104"/>
      <c r="G473" s="104"/>
      <c r="H473" s="102"/>
      <c r="I473" s="102"/>
      <c r="J473" s="102"/>
      <c r="K473" s="105"/>
      <c r="L473" s="105"/>
      <c r="M473" s="106"/>
    </row>
    <row r="474" spans="2:13" hidden="1">
      <c r="B474" s="102"/>
      <c r="C474" s="102"/>
      <c r="D474" s="102"/>
      <c r="E474" s="102"/>
      <c r="F474" s="104"/>
      <c r="G474" s="104"/>
      <c r="H474" s="102"/>
      <c r="I474" s="102"/>
      <c r="J474" s="102"/>
      <c r="K474" s="105"/>
      <c r="L474" s="105"/>
      <c r="M474" s="106"/>
    </row>
    <row r="475" spans="2:13" hidden="1">
      <c r="B475" s="102"/>
      <c r="C475" s="102"/>
      <c r="D475" s="102"/>
      <c r="E475" s="102"/>
      <c r="F475" s="104"/>
      <c r="G475" s="104"/>
      <c r="H475" s="102"/>
      <c r="I475" s="102"/>
      <c r="J475" s="102"/>
      <c r="K475" s="105"/>
      <c r="L475" s="105"/>
      <c r="M475" s="106"/>
    </row>
    <row r="476" spans="2:13" hidden="1">
      <c r="B476" s="102"/>
      <c r="C476" s="102"/>
      <c r="D476" s="102"/>
      <c r="E476" s="102"/>
      <c r="F476" s="104"/>
      <c r="G476" s="104"/>
      <c r="H476" s="102"/>
      <c r="I476" s="102"/>
      <c r="J476" s="102"/>
      <c r="K476" s="105"/>
      <c r="L476" s="105"/>
      <c r="M476" s="106"/>
    </row>
    <row r="477" spans="2:13" hidden="1">
      <c r="B477" s="102"/>
      <c r="C477" s="102"/>
      <c r="D477" s="102"/>
      <c r="E477" s="102"/>
      <c r="F477" s="104"/>
      <c r="G477" s="104"/>
      <c r="H477" s="102"/>
      <c r="I477" s="102"/>
      <c r="J477" s="102"/>
      <c r="K477" s="105"/>
      <c r="L477" s="105"/>
      <c r="M477" s="106"/>
    </row>
    <row r="478" spans="2:13" hidden="1">
      <c r="B478" s="102"/>
      <c r="C478" s="102"/>
      <c r="D478" s="102"/>
      <c r="E478" s="102"/>
      <c r="F478" s="104"/>
      <c r="G478" s="104"/>
      <c r="H478" s="102"/>
      <c r="I478" s="102"/>
      <c r="J478" s="102"/>
      <c r="K478" s="105"/>
      <c r="L478" s="105"/>
      <c r="M478" s="106"/>
    </row>
    <row r="479" spans="2:13" hidden="1">
      <c r="B479" s="102"/>
      <c r="C479" s="102"/>
      <c r="D479" s="102"/>
      <c r="E479" s="102"/>
      <c r="F479" s="104"/>
      <c r="G479" s="104"/>
      <c r="H479" s="102"/>
      <c r="I479" s="102"/>
      <c r="J479" s="102"/>
      <c r="K479" s="105"/>
      <c r="L479" s="105"/>
      <c r="M479" s="106"/>
    </row>
    <row r="480" spans="2:13" hidden="1">
      <c r="B480" s="102"/>
      <c r="C480" s="102"/>
      <c r="D480" s="102"/>
      <c r="E480" s="102"/>
      <c r="F480" s="104"/>
      <c r="G480" s="104"/>
      <c r="H480" s="102"/>
      <c r="I480" s="102"/>
      <c r="J480" s="102"/>
      <c r="K480" s="105"/>
      <c r="L480" s="105"/>
      <c r="M480" s="106"/>
    </row>
    <row r="481" spans="2:13" hidden="1">
      <c r="B481" s="102"/>
      <c r="C481" s="102"/>
      <c r="D481" s="102"/>
      <c r="E481" s="102"/>
      <c r="F481" s="104"/>
      <c r="G481" s="104"/>
      <c r="H481" s="102"/>
      <c r="I481" s="102"/>
      <c r="J481" s="102"/>
      <c r="K481" s="105"/>
      <c r="L481" s="105"/>
      <c r="M481" s="106"/>
    </row>
    <row r="482" spans="2:13" hidden="1">
      <c r="B482" s="102"/>
      <c r="C482" s="102"/>
      <c r="D482" s="102"/>
      <c r="E482" s="102"/>
      <c r="F482" s="104"/>
      <c r="G482" s="104"/>
      <c r="H482" s="102"/>
      <c r="I482" s="102"/>
      <c r="J482" s="102"/>
      <c r="K482" s="105"/>
      <c r="L482" s="105"/>
      <c r="M482" s="106"/>
    </row>
    <row r="483" spans="2:13" hidden="1">
      <c r="B483" s="102"/>
      <c r="C483" s="102"/>
      <c r="D483" s="102"/>
      <c r="E483" s="102"/>
      <c r="F483" s="104"/>
      <c r="G483" s="104"/>
      <c r="H483" s="102"/>
      <c r="I483" s="102"/>
      <c r="J483" s="102"/>
      <c r="K483" s="105"/>
      <c r="L483" s="105"/>
      <c r="M483" s="106"/>
    </row>
    <row r="484" spans="2:13" hidden="1">
      <c r="B484" s="102"/>
      <c r="C484" s="102"/>
      <c r="D484" s="102"/>
      <c r="E484" s="102"/>
      <c r="F484" s="104"/>
      <c r="G484" s="104"/>
      <c r="H484" s="102"/>
      <c r="I484" s="102"/>
      <c r="J484" s="102"/>
      <c r="K484" s="105"/>
      <c r="L484" s="105"/>
      <c r="M484" s="106"/>
    </row>
    <row r="485" spans="2:13" hidden="1">
      <c r="B485" s="102"/>
      <c r="C485" s="102"/>
      <c r="D485" s="102"/>
      <c r="E485" s="102"/>
      <c r="F485" s="104"/>
      <c r="G485" s="104"/>
      <c r="H485" s="102"/>
      <c r="I485" s="102"/>
      <c r="J485" s="102"/>
      <c r="K485" s="105"/>
      <c r="L485" s="105"/>
      <c r="M485" s="106"/>
    </row>
    <row r="486" spans="2:13" hidden="1">
      <c r="B486" s="102"/>
      <c r="C486" s="102"/>
      <c r="D486" s="102"/>
      <c r="E486" s="102"/>
      <c r="F486" s="104"/>
      <c r="G486" s="104"/>
      <c r="H486" s="102"/>
      <c r="I486" s="102"/>
      <c r="J486" s="102"/>
      <c r="K486" s="105"/>
      <c r="L486" s="105"/>
      <c r="M486" s="106"/>
    </row>
    <row r="487" spans="2:13" hidden="1">
      <c r="B487" s="102"/>
      <c r="C487" s="102"/>
      <c r="D487" s="102"/>
      <c r="E487" s="102"/>
      <c r="F487" s="104"/>
      <c r="G487" s="104"/>
      <c r="H487" s="102"/>
      <c r="I487" s="102"/>
      <c r="J487" s="102"/>
      <c r="K487" s="105"/>
      <c r="L487" s="105"/>
      <c r="M487" s="106"/>
    </row>
    <row r="488" spans="2:13" hidden="1">
      <c r="B488" s="102"/>
      <c r="C488" s="102"/>
      <c r="D488" s="102"/>
      <c r="E488" s="102"/>
      <c r="F488" s="104"/>
      <c r="G488" s="104"/>
      <c r="H488" s="102"/>
      <c r="I488" s="102"/>
      <c r="J488" s="102"/>
      <c r="K488" s="105"/>
      <c r="L488" s="105"/>
      <c r="M488" s="106"/>
    </row>
    <row r="489" spans="2:13" hidden="1">
      <c r="B489" s="102"/>
      <c r="C489" s="102"/>
      <c r="D489" s="102"/>
      <c r="E489" s="102"/>
      <c r="F489" s="104"/>
      <c r="G489" s="104"/>
      <c r="H489" s="102"/>
      <c r="I489" s="102"/>
      <c r="J489" s="102"/>
      <c r="K489" s="105"/>
      <c r="L489" s="105"/>
      <c r="M489" s="106"/>
    </row>
    <row r="490" spans="2:13" hidden="1">
      <c r="B490" s="102"/>
      <c r="C490" s="102"/>
      <c r="D490" s="102"/>
      <c r="E490" s="102"/>
      <c r="F490" s="104"/>
      <c r="G490" s="104"/>
      <c r="H490" s="102"/>
      <c r="I490" s="102"/>
      <c r="J490" s="102"/>
      <c r="K490" s="105"/>
      <c r="L490" s="105"/>
      <c r="M490" s="106"/>
    </row>
    <row r="491" spans="2:13" hidden="1">
      <c r="B491" s="102"/>
      <c r="C491" s="102"/>
      <c r="D491" s="102"/>
      <c r="E491" s="102"/>
      <c r="F491" s="104"/>
      <c r="G491" s="104"/>
      <c r="H491" s="102"/>
      <c r="I491" s="102"/>
      <c r="J491" s="102"/>
      <c r="K491" s="105"/>
      <c r="L491" s="105"/>
      <c r="M491" s="106"/>
    </row>
    <row r="492" spans="2:13" hidden="1">
      <c r="B492" s="102"/>
      <c r="C492" s="102"/>
      <c r="D492" s="102"/>
      <c r="E492" s="102"/>
      <c r="F492" s="104"/>
      <c r="G492" s="104"/>
      <c r="H492" s="102"/>
      <c r="I492" s="102"/>
      <c r="J492" s="102"/>
      <c r="K492" s="105"/>
      <c r="L492" s="105"/>
      <c r="M492" s="106"/>
    </row>
    <row r="493" spans="2:13" hidden="1">
      <c r="B493" s="102"/>
      <c r="C493" s="102"/>
      <c r="D493" s="102"/>
      <c r="E493" s="102"/>
      <c r="F493" s="104"/>
      <c r="G493" s="104"/>
      <c r="H493" s="102"/>
      <c r="I493" s="102"/>
      <c r="J493" s="102"/>
      <c r="K493" s="105"/>
      <c r="L493" s="105"/>
      <c r="M493" s="106"/>
    </row>
    <row r="494" spans="2:13" hidden="1">
      <c r="B494" s="102"/>
      <c r="C494" s="102"/>
      <c r="D494" s="102"/>
      <c r="E494" s="102"/>
      <c r="F494" s="104"/>
      <c r="G494" s="104"/>
      <c r="H494" s="102"/>
      <c r="I494" s="102"/>
      <c r="J494" s="102"/>
      <c r="K494" s="105"/>
      <c r="L494" s="105"/>
      <c r="M494" s="106"/>
    </row>
    <row r="495" spans="2:13" hidden="1">
      <c r="B495" s="102"/>
      <c r="C495" s="102"/>
      <c r="D495" s="102"/>
      <c r="E495" s="102"/>
      <c r="F495" s="104"/>
      <c r="G495" s="104"/>
      <c r="H495" s="102"/>
      <c r="I495" s="102"/>
      <c r="J495" s="102"/>
      <c r="K495" s="105"/>
      <c r="L495" s="105"/>
      <c r="M495" s="106"/>
    </row>
    <row r="496" spans="2:13" hidden="1">
      <c r="B496" s="102"/>
      <c r="C496" s="102"/>
      <c r="D496" s="102"/>
      <c r="E496" s="102"/>
      <c r="F496" s="104"/>
      <c r="G496" s="104"/>
      <c r="H496" s="102"/>
      <c r="I496" s="102"/>
      <c r="J496" s="102"/>
      <c r="K496" s="105"/>
      <c r="L496" s="105"/>
      <c r="M496" s="106"/>
    </row>
    <row r="497" spans="2:13" hidden="1">
      <c r="B497" s="102"/>
      <c r="C497" s="102"/>
      <c r="D497" s="102"/>
      <c r="E497" s="102"/>
      <c r="F497" s="104"/>
      <c r="G497" s="104"/>
      <c r="H497" s="102"/>
      <c r="I497" s="102"/>
      <c r="J497" s="102"/>
      <c r="K497" s="105"/>
      <c r="L497" s="105"/>
      <c r="M497" s="106"/>
    </row>
    <row r="498" spans="2:13" hidden="1">
      <c r="B498" s="102"/>
      <c r="C498" s="102"/>
      <c r="D498" s="102"/>
      <c r="E498" s="102"/>
      <c r="F498" s="104"/>
      <c r="G498" s="104"/>
      <c r="H498" s="102"/>
      <c r="I498" s="102"/>
      <c r="J498" s="102"/>
      <c r="K498" s="105"/>
      <c r="L498" s="105"/>
      <c r="M498" s="106"/>
    </row>
    <row r="499" spans="2:13" hidden="1">
      <c r="B499" s="102"/>
      <c r="C499" s="102"/>
      <c r="D499" s="102"/>
      <c r="E499" s="102"/>
      <c r="F499" s="104"/>
      <c r="G499" s="104"/>
      <c r="H499" s="102"/>
      <c r="I499" s="102"/>
      <c r="J499" s="102"/>
      <c r="K499" s="105"/>
      <c r="L499" s="105"/>
      <c r="M499" s="106"/>
    </row>
    <row r="500" spans="2:13" hidden="1">
      <c r="B500" s="102"/>
      <c r="C500" s="102"/>
      <c r="D500" s="102"/>
      <c r="E500" s="102"/>
      <c r="F500" s="104"/>
      <c r="G500" s="104"/>
      <c r="H500" s="102"/>
      <c r="I500" s="102"/>
      <c r="J500" s="102"/>
      <c r="K500" s="105"/>
      <c r="L500" s="105"/>
      <c r="M500" s="106"/>
    </row>
    <row r="501" spans="2:13" hidden="1">
      <c r="B501" s="102"/>
      <c r="C501" s="102"/>
      <c r="D501" s="102"/>
      <c r="E501" s="102"/>
      <c r="F501" s="104"/>
      <c r="G501" s="104"/>
      <c r="H501" s="102"/>
      <c r="I501" s="102"/>
      <c r="J501" s="102"/>
      <c r="K501" s="105"/>
      <c r="L501" s="105"/>
      <c r="M501" s="106"/>
    </row>
    <row r="502" spans="2:13" hidden="1">
      <c r="B502" s="102"/>
      <c r="C502" s="102"/>
      <c r="D502" s="102"/>
      <c r="E502" s="102"/>
      <c r="F502" s="104"/>
      <c r="G502" s="104"/>
      <c r="H502" s="102"/>
      <c r="I502" s="102"/>
      <c r="J502" s="102"/>
      <c r="K502" s="105"/>
      <c r="L502" s="105"/>
      <c r="M502" s="106"/>
    </row>
    <row r="503" spans="2:13" hidden="1">
      <c r="B503" s="102"/>
      <c r="C503" s="102"/>
      <c r="D503" s="102"/>
      <c r="E503" s="102"/>
      <c r="F503" s="104"/>
      <c r="G503" s="104"/>
      <c r="H503" s="102"/>
      <c r="I503" s="102"/>
      <c r="J503" s="102"/>
      <c r="K503" s="105"/>
      <c r="L503" s="105"/>
      <c r="M503" s="106"/>
    </row>
    <row r="504" spans="2:13" hidden="1">
      <c r="B504" s="102"/>
      <c r="C504" s="102"/>
      <c r="D504" s="102"/>
      <c r="E504" s="102"/>
      <c r="F504" s="104"/>
      <c r="G504" s="104"/>
      <c r="H504" s="102"/>
      <c r="I504" s="102"/>
      <c r="J504" s="102"/>
      <c r="K504" s="105"/>
      <c r="L504" s="105"/>
      <c r="M504" s="106"/>
    </row>
    <row r="505" spans="2:13" hidden="1">
      <c r="B505" s="102"/>
      <c r="C505" s="102"/>
      <c r="D505" s="102"/>
      <c r="E505" s="102"/>
      <c r="F505" s="104"/>
      <c r="G505" s="104"/>
      <c r="H505" s="102"/>
      <c r="I505" s="102"/>
      <c r="J505" s="102"/>
      <c r="K505" s="105"/>
      <c r="L505" s="105"/>
      <c r="M505" s="106"/>
    </row>
    <row r="506" spans="2:13" hidden="1">
      <c r="B506" s="102"/>
      <c r="C506" s="102"/>
      <c r="D506" s="102"/>
      <c r="E506" s="102"/>
      <c r="F506" s="104"/>
      <c r="G506" s="104"/>
      <c r="H506" s="102"/>
      <c r="I506" s="102"/>
      <c r="J506" s="102"/>
      <c r="K506" s="105"/>
      <c r="L506" s="105"/>
      <c r="M506" s="106"/>
    </row>
    <row r="507" spans="2:13" hidden="1">
      <c r="B507" s="102"/>
      <c r="C507" s="102"/>
      <c r="D507" s="102"/>
      <c r="E507" s="102"/>
      <c r="F507" s="104"/>
      <c r="G507" s="104"/>
      <c r="H507" s="102"/>
      <c r="I507" s="102"/>
      <c r="J507" s="102"/>
      <c r="K507" s="105"/>
      <c r="L507" s="105"/>
      <c r="M507" s="106"/>
    </row>
    <row r="508" spans="2:13" hidden="1">
      <c r="B508" s="102"/>
      <c r="C508" s="102"/>
      <c r="D508" s="102"/>
      <c r="E508" s="102"/>
      <c r="F508" s="104"/>
      <c r="G508" s="104"/>
      <c r="H508" s="102"/>
      <c r="I508" s="102"/>
      <c r="J508" s="102"/>
      <c r="K508" s="105"/>
      <c r="L508" s="105"/>
      <c r="M508" s="106"/>
    </row>
    <row r="509" spans="2:13" hidden="1">
      <c r="B509" s="102"/>
      <c r="C509" s="102"/>
      <c r="D509" s="102"/>
      <c r="E509" s="102"/>
      <c r="F509" s="104"/>
      <c r="G509" s="104"/>
      <c r="H509" s="102"/>
      <c r="I509" s="102"/>
      <c r="J509" s="102"/>
      <c r="K509" s="105"/>
      <c r="L509" s="105"/>
      <c r="M509" s="106"/>
    </row>
    <row r="510" spans="2:13" hidden="1">
      <c r="B510" s="102"/>
      <c r="C510" s="102"/>
      <c r="D510" s="102"/>
      <c r="E510" s="102"/>
      <c r="F510" s="104"/>
      <c r="G510" s="104"/>
      <c r="H510" s="102"/>
      <c r="I510" s="102"/>
      <c r="J510" s="102"/>
      <c r="K510" s="105"/>
      <c r="L510" s="105"/>
      <c r="M510" s="106"/>
    </row>
    <row r="511" spans="2:13" hidden="1">
      <c r="B511" s="102"/>
      <c r="C511" s="102"/>
      <c r="D511" s="102"/>
      <c r="E511" s="102"/>
      <c r="F511" s="104"/>
      <c r="G511" s="104"/>
      <c r="H511" s="102"/>
      <c r="I511" s="102"/>
      <c r="J511" s="102"/>
      <c r="K511" s="105"/>
      <c r="L511" s="105"/>
      <c r="M511" s="106"/>
    </row>
    <row r="512" spans="2:13" hidden="1">
      <c r="B512" s="102"/>
      <c r="C512" s="102"/>
      <c r="D512" s="102"/>
      <c r="E512" s="102"/>
      <c r="F512" s="104"/>
      <c r="G512" s="104"/>
      <c r="H512" s="102"/>
      <c r="I512" s="102"/>
      <c r="J512" s="102"/>
      <c r="K512" s="105"/>
      <c r="L512" s="105"/>
      <c r="M512" s="106"/>
    </row>
    <row r="513" spans="2:13" hidden="1">
      <c r="B513" s="102"/>
      <c r="C513" s="102"/>
      <c r="D513" s="102"/>
      <c r="E513" s="102"/>
      <c r="F513" s="104"/>
      <c r="G513" s="104"/>
      <c r="H513" s="102"/>
      <c r="I513" s="102"/>
      <c r="J513" s="102"/>
      <c r="K513" s="105"/>
      <c r="L513" s="105"/>
      <c r="M513" s="106"/>
    </row>
    <row r="514" spans="2:13" hidden="1">
      <c r="B514" s="102"/>
      <c r="C514" s="102"/>
      <c r="D514" s="102"/>
      <c r="E514" s="102"/>
      <c r="F514" s="104"/>
      <c r="G514" s="104"/>
      <c r="H514" s="102"/>
      <c r="I514" s="102"/>
      <c r="J514" s="102"/>
      <c r="K514" s="105"/>
      <c r="L514" s="105"/>
      <c r="M514" s="106"/>
    </row>
    <row r="515" spans="2:13" hidden="1">
      <c r="B515" s="102"/>
      <c r="C515" s="102"/>
      <c r="D515" s="102"/>
      <c r="E515" s="102"/>
      <c r="F515" s="104"/>
      <c r="G515" s="104"/>
      <c r="H515" s="102"/>
      <c r="I515" s="102"/>
      <c r="J515" s="102"/>
      <c r="K515" s="105"/>
      <c r="L515" s="105"/>
      <c r="M515" s="106"/>
    </row>
    <row r="516" spans="2:13" hidden="1">
      <c r="B516" s="102"/>
      <c r="C516" s="102"/>
      <c r="D516" s="102"/>
      <c r="E516" s="102"/>
      <c r="F516" s="104"/>
      <c r="G516" s="104"/>
      <c r="H516" s="102"/>
      <c r="I516" s="102"/>
      <c r="J516" s="102"/>
      <c r="K516" s="105"/>
      <c r="L516" s="105"/>
      <c r="M516" s="106"/>
    </row>
    <row r="517" spans="2:13" hidden="1">
      <c r="B517" s="102"/>
      <c r="C517" s="102"/>
      <c r="D517" s="102"/>
      <c r="E517" s="102"/>
      <c r="F517" s="104"/>
      <c r="G517" s="104"/>
      <c r="H517" s="102"/>
      <c r="I517" s="102"/>
      <c r="J517" s="102"/>
      <c r="K517" s="105"/>
      <c r="L517" s="105"/>
      <c r="M517" s="106"/>
    </row>
    <row r="518" spans="2:13" hidden="1">
      <c r="B518" s="102"/>
      <c r="C518" s="102"/>
      <c r="D518" s="102"/>
      <c r="E518" s="102"/>
      <c r="F518" s="104"/>
      <c r="G518" s="104"/>
      <c r="H518" s="102"/>
      <c r="I518" s="102"/>
      <c r="J518" s="102"/>
      <c r="K518" s="105"/>
      <c r="L518" s="105"/>
      <c r="M518" s="106"/>
    </row>
    <row r="519" spans="2:13" hidden="1">
      <c r="B519" s="102"/>
      <c r="C519" s="102"/>
      <c r="D519" s="102"/>
      <c r="E519" s="102"/>
      <c r="F519" s="104"/>
      <c r="G519" s="104"/>
      <c r="H519" s="102"/>
      <c r="I519" s="102"/>
      <c r="J519" s="102"/>
      <c r="K519" s="105"/>
      <c r="L519" s="105"/>
      <c r="M519" s="106"/>
    </row>
    <row r="520" spans="2:13" hidden="1">
      <c r="B520" s="102"/>
      <c r="C520" s="102"/>
      <c r="D520" s="102"/>
      <c r="E520" s="102"/>
      <c r="F520" s="104"/>
      <c r="G520" s="104"/>
      <c r="H520" s="102"/>
      <c r="I520" s="102"/>
      <c r="J520" s="102"/>
      <c r="K520" s="105"/>
      <c r="L520" s="105"/>
      <c r="M520" s="106"/>
    </row>
    <row r="521" spans="2:13" hidden="1">
      <c r="B521" s="102"/>
      <c r="C521" s="102"/>
      <c r="D521" s="102"/>
      <c r="E521" s="102"/>
      <c r="F521" s="104"/>
      <c r="G521" s="104"/>
      <c r="H521" s="102"/>
      <c r="I521" s="102"/>
      <c r="J521" s="102"/>
      <c r="K521" s="105"/>
      <c r="L521" s="105"/>
      <c r="M521" s="106"/>
    </row>
    <row r="522" spans="2:13" hidden="1">
      <c r="B522" s="102"/>
      <c r="C522" s="102"/>
      <c r="D522" s="102"/>
      <c r="E522" s="102"/>
      <c r="F522" s="104"/>
      <c r="G522" s="104"/>
      <c r="H522" s="102"/>
      <c r="I522" s="102"/>
      <c r="J522" s="102"/>
      <c r="K522" s="105"/>
      <c r="L522" s="105"/>
      <c r="M522" s="106"/>
    </row>
    <row r="523" spans="2:13" hidden="1">
      <c r="B523" s="102"/>
      <c r="C523" s="102"/>
      <c r="D523" s="102"/>
      <c r="E523" s="102"/>
      <c r="F523" s="104"/>
      <c r="G523" s="104"/>
      <c r="H523" s="102"/>
      <c r="I523" s="102"/>
      <c r="J523" s="102"/>
      <c r="K523" s="105"/>
      <c r="L523" s="105"/>
      <c r="M523" s="106"/>
    </row>
    <row r="524" spans="2:13" hidden="1">
      <c r="B524" s="102"/>
      <c r="C524" s="102"/>
      <c r="D524" s="102"/>
      <c r="E524" s="102"/>
      <c r="F524" s="104"/>
      <c r="G524" s="104"/>
      <c r="H524" s="102"/>
      <c r="I524" s="102"/>
      <c r="J524" s="102"/>
      <c r="K524" s="105"/>
      <c r="L524" s="105"/>
      <c r="M524" s="106"/>
    </row>
    <row r="525" spans="2:13" hidden="1">
      <c r="B525" s="102"/>
      <c r="C525" s="102"/>
      <c r="D525" s="102"/>
      <c r="E525" s="102"/>
      <c r="F525" s="104"/>
      <c r="G525" s="104"/>
      <c r="H525" s="102"/>
      <c r="I525" s="102"/>
      <c r="J525" s="102"/>
      <c r="K525" s="105"/>
      <c r="L525" s="105"/>
      <c r="M525" s="106"/>
    </row>
    <row r="526" spans="2:13" hidden="1">
      <c r="B526" s="102"/>
      <c r="C526" s="102"/>
      <c r="D526" s="102"/>
      <c r="E526" s="102"/>
      <c r="F526" s="104"/>
      <c r="G526" s="104"/>
      <c r="H526" s="102"/>
      <c r="I526" s="102"/>
      <c r="J526" s="102"/>
      <c r="K526" s="105"/>
      <c r="L526" s="105"/>
      <c r="M526" s="106"/>
    </row>
    <row r="527" spans="2:13" hidden="1">
      <c r="B527" s="102"/>
      <c r="C527" s="102"/>
      <c r="D527" s="102"/>
      <c r="E527" s="102"/>
      <c r="F527" s="104"/>
      <c r="G527" s="104"/>
      <c r="H527" s="102"/>
      <c r="I527" s="102"/>
      <c r="J527" s="102"/>
      <c r="K527" s="105"/>
      <c r="L527" s="105"/>
      <c r="M527" s="106"/>
    </row>
    <row r="528" spans="2:13" hidden="1">
      <c r="B528" s="102"/>
      <c r="C528" s="102"/>
      <c r="D528" s="102"/>
      <c r="E528" s="102"/>
      <c r="F528" s="104"/>
      <c r="G528" s="104"/>
      <c r="H528" s="102"/>
      <c r="I528" s="102"/>
      <c r="J528" s="102"/>
      <c r="K528" s="105"/>
      <c r="L528" s="105"/>
      <c r="M528" s="106"/>
    </row>
    <row r="529" spans="2:13" hidden="1">
      <c r="B529" s="102"/>
      <c r="C529" s="102"/>
      <c r="D529" s="102"/>
      <c r="E529" s="102"/>
      <c r="F529" s="104"/>
      <c r="G529" s="104"/>
      <c r="H529" s="102"/>
      <c r="I529" s="102"/>
      <c r="J529" s="102"/>
      <c r="K529" s="105"/>
      <c r="L529" s="105"/>
      <c r="M529" s="106"/>
    </row>
    <row r="530" spans="2:13" hidden="1">
      <c r="B530" s="102"/>
      <c r="C530" s="102"/>
      <c r="D530" s="102"/>
      <c r="E530" s="102"/>
      <c r="F530" s="104"/>
      <c r="G530" s="104"/>
      <c r="H530" s="102"/>
      <c r="I530" s="102"/>
      <c r="J530" s="102"/>
      <c r="K530" s="105"/>
      <c r="L530" s="105"/>
      <c r="M530" s="106"/>
    </row>
    <row r="531" spans="2:13" hidden="1">
      <c r="B531" s="102"/>
      <c r="C531" s="102"/>
      <c r="D531" s="102"/>
      <c r="E531" s="102"/>
      <c r="F531" s="104"/>
      <c r="G531" s="104"/>
      <c r="H531" s="102"/>
      <c r="I531" s="102"/>
      <c r="J531" s="102"/>
      <c r="K531" s="105"/>
      <c r="L531" s="105"/>
      <c r="M531" s="106"/>
    </row>
    <row r="532" spans="2:13" hidden="1">
      <c r="B532" s="102"/>
      <c r="C532" s="102"/>
      <c r="D532" s="102"/>
      <c r="E532" s="102"/>
      <c r="F532" s="104"/>
      <c r="G532" s="104"/>
      <c r="H532" s="102"/>
      <c r="I532" s="102"/>
      <c r="J532" s="102"/>
      <c r="K532" s="105"/>
      <c r="L532" s="105"/>
      <c r="M532" s="106"/>
    </row>
    <row r="533" spans="2:13" hidden="1">
      <c r="B533" s="102"/>
      <c r="C533" s="102"/>
      <c r="D533" s="102"/>
      <c r="E533" s="102"/>
      <c r="F533" s="104"/>
      <c r="G533" s="104"/>
      <c r="H533" s="102"/>
      <c r="I533" s="102"/>
      <c r="J533" s="102"/>
      <c r="K533" s="105"/>
      <c r="L533" s="105"/>
      <c r="M533" s="106"/>
    </row>
    <row r="534" spans="2:13" hidden="1">
      <c r="B534" s="102"/>
      <c r="C534" s="102"/>
      <c r="D534" s="102"/>
      <c r="E534" s="102"/>
      <c r="F534" s="104"/>
      <c r="G534" s="104"/>
      <c r="H534" s="102"/>
      <c r="I534" s="102"/>
      <c r="J534" s="102"/>
      <c r="K534" s="105"/>
      <c r="L534" s="105"/>
      <c r="M534" s="106"/>
    </row>
    <row r="535" spans="2:13" hidden="1">
      <c r="B535" s="102"/>
      <c r="C535" s="102"/>
      <c r="D535" s="102"/>
      <c r="E535" s="102"/>
      <c r="F535" s="104"/>
      <c r="G535" s="104"/>
      <c r="H535" s="102"/>
      <c r="I535" s="102"/>
      <c r="J535" s="102"/>
      <c r="K535" s="105"/>
      <c r="L535" s="105"/>
      <c r="M535" s="106"/>
    </row>
    <row r="536" spans="2:13" hidden="1">
      <c r="B536" s="102"/>
      <c r="C536" s="102"/>
      <c r="D536" s="102"/>
      <c r="E536" s="102"/>
      <c r="F536" s="104"/>
      <c r="G536" s="104"/>
      <c r="H536" s="102"/>
      <c r="I536" s="102"/>
      <c r="J536" s="102"/>
      <c r="K536" s="105"/>
      <c r="L536" s="105"/>
      <c r="M536" s="106"/>
    </row>
    <row r="537" spans="2:13" hidden="1">
      <c r="B537" s="102"/>
      <c r="C537" s="102"/>
      <c r="D537" s="102"/>
      <c r="E537" s="102"/>
      <c r="F537" s="104"/>
      <c r="G537" s="104"/>
      <c r="H537" s="102"/>
      <c r="I537" s="102"/>
      <c r="J537" s="102"/>
      <c r="K537" s="105"/>
      <c r="L537" s="105"/>
      <c r="M537" s="106"/>
    </row>
    <row r="538" spans="2:13" hidden="1">
      <c r="B538" s="102"/>
      <c r="C538" s="102"/>
      <c r="D538" s="102"/>
      <c r="E538" s="102"/>
      <c r="F538" s="104"/>
      <c r="G538" s="104"/>
      <c r="H538" s="102"/>
      <c r="I538" s="102"/>
      <c r="J538" s="102"/>
      <c r="K538" s="105"/>
      <c r="L538" s="105"/>
      <c r="M538" s="106"/>
    </row>
    <row r="539" spans="2:13" hidden="1">
      <c r="B539" s="102"/>
      <c r="C539" s="102"/>
      <c r="D539" s="102"/>
      <c r="E539" s="102"/>
      <c r="F539" s="104"/>
      <c r="G539" s="104"/>
      <c r="H539" s="102"/>
      <c r="I539" s="102"/>
      <c r="J539" s="102"/>
      <c r="K539" s="105"/>
      <c r="L539" s="105"/>
      <c r="M539" s="106"/>
    </row>
    <row r="540" spans="2:13" hidden="1">
      <c r="B540" s="102"/>
      <c r="C540" s="102"/>
      <c r="D540" s="102"/>
      <c r="E540" s="102"/>
      <c r="F540" s="104"/>
      <c r="G540" s="104"/>
      <c r="H540" s="102"/>
      <c r="I540" s="102"/>
      <c r="J540" s="102"/>
      <c r="K540" s="105"/>
      <c r="L540" s="105"/>
      <c r="M540" s="106"/>
    </row>
    <row r="541" spans="2:13" hidden="1">
      <c r="B541" s="102"/>
      <c r="C541" s="102"/>
      <c r="D541" s="102"/>
      <c r="E541" s="102"/>
      <c r="F541" s="104"/>
      <c r="G541" s="104"/>
      <c r="H541" s="102"/>
      <c r="I541" s="102"/>
      <c r="J541" s="102"/>
      <c r="K541" s="105"/>
      <c r="L541" s="105"/>
      <c r="M541" s="106"/>
    </row>
    <row r="542" spans="2:13" hidden="1">
      <c r="B542" s="102"/>
      <c r="C542" s="102"/>
      <c r="D542" s="102"/>
      <c r="E542" s="102"/>
      <c r="F542" s="104"/>
      <c r="G542" s="104"/>
      <c r="H542" s="102"/>
      <c r="I542" s="102"/>
      <c r="J542" s="102"/>
      <c r="K542" s="105"/>
      <c r="L542" s="105"/>
      <c r="M542" s="106"/>
    </row>
    <row r="543" spans="2:13" hidden="1">
      <c r="B543" s="102"/>
      <c r="C543" s="102"/>
      <c r="D543" s="102"/>
      <c r="E543" s="102"/>
      <c r="F543" s="104"/>
      <c r="G543" s="104"/>
      <c r="H543" s="102"/>
      <c r="I543" s="102"/>
      <c r="J543" s="102"/>
      <c r="K543" s="105"/>
      <c r="L543" s="105"/>
      <c r="M543" s="106"/>
    </row>
    <row r="544" spans="2:13" hidden="1">
      <c r="B544" s="102"/>
      <c r="C544" s="102"/>
      <c r="D544" s="102"/>
      <c r="E544" s="102"/>
      <c r="F544" s="104"/>
      <c r="G544" s="104"/>
      <c r="H544" s="102"/>
      <c r="I544" s="102"/>
      <c r="J544" s="102"/>
      <c r="K544" s="105"/>
      <c r="L544" s="105"/>
      <c r="M544" s="106"/>
    </row>
    <row r="545" spans="2:13" hidden="1">
      <c r="B545" s="102"/>
      <c r="C545" s="102"/>
      <c r="D545" s="102"/>
      <c r="E545" s="102"/>
      <c r="F545" s="104"/>
      <c r="G545" s="104"/>
      <c r="H545" s="102"/>
      <c r="I545" s="102"/>
      <c r="J545" s="102"/>
      <c r="K545" s="105"/>
      <c r="L545" s="105"/>
      <c r="M545" s="106"/>
    </row>
    <row r="546" spans="2:13" hidden="1">
      <c r="B546" s="102"/>
      <c r="C546" s="102"/>
      <c r="D546" s="102"/>
      <c r="E546" s="102"/>
      <c r="F546" s="104"/>
      <c r="G546" s="104"/>
      <c r="H546" s="102"/>
      <c r="I546" s="102"/>
      <c r="J546" s="102"/>
      <c r="K546" s="105"/>
      <c r="L546" s="105"/>
      <c r="M546" s="106"/>
    </row>
    <row r="547" spans="2:13" hidden="1">
      <c r="B547" s="102"/>
      <c r="C547" s="102"/>
      <c r="D547" s="102"/>
      <c r="E547" s="102"/>
      <c r="F547" s="104"/>
      <c r="G547" s="104"/>
      <c r="H547" s="102"/>
      <c r="I547" s="102"/>
      <c r="J547" s="102"/>
      <c r="K547" s="105"/>
      <c r="L547" s="105"/>
      <c r="M547" s="106"/>
    </row>
    <row r="548" spans="2:13" hidden="1">
      <c r="B548" s="102"/>
      <c r="C548" s="102"/>
      <c r="D548" s="102"/>
      <c r="E548" s="102"/>
      <c r="F548" s="104"/>
      <c r="G548" s="104"/>
      <c r="H548" s="102"/>
      <c r="I548" s="102"/>
      <c r="J548" s="102"/>
      <c r="K548" s="105"/>
      <c r="L548" s="105"/>
      <c r="M548" s="106"/>
    </row>
    <row r="549" spans="2:13" hidden="1">
      <c r="B549" s="102"/>
      <c r="C549" s="102"/>
      <c r="D549" s="102"/>
      <c r="E549" s="102"/>
      <c r="F549" s="104"/>
      <c r="G549" s="104"/>
      <c r="H549" s="102"/>
      <c r="I549" s="102"/>
      <c r="J549" s="102"/>
      <c r="K549" s="105"/>
      <c r="L549" s="105"/>
      <c r="M549" s="106"/>
    </row>
    <row r="550" spans="2:13" hidden="1">
      <c r="B550" s="102"/>
      <c r="C550" s="102"/>
      <c r="D550" s="102"/>
      <c r="E550" s="102"/>
      <c r="F550" s="104"/>
      <c r="G550" s="104"/>
      <c r="H550" s="102"/>
      <c r="I550" s="102"/>
      <c r="J550" s="102"/>
      <c r="K550" s="105"/>
      <c r="L550" s="105"/>
      <c r="M550" s="106"/>
    </row>
    <row r="551" spans="2:13" hidden="1">
      <c r="B551" s="102"/>
      <c r="C551" s="102"/>
      <c r="D551" s="102"/>
      <c r="E551" s="102"/>
      <c r="F551" s="104"/>
      <c r="G551" s="104"/>
      <c r="H551" s="102"/>
      <c r="I551" s="102"/>
      <c r="J551" s="102"/>
      <c r="K551" s="105"/>
      <c r="L551" s="105"/>
      <c r="M551" s="106"/>
    </row>
    <row r="552" spans="2:13" hidden="1">
      <c r="B552" s="102"/>
      <c r="C552" s="102"/>
      <c r="D552" s="102"/>
      <c r="E552" s="102"/>
      <c r="F552" s="104"/>
      <c r="G552" s="104"/>
      <c r="H552" s="102"/>
      <c r="I552" s="102"/>
      <c r="J552" s="102"/>
      <c r="K552" s="105"/>
      <c r="L552" s="105"/>
      <c r="M552" s="106"/>
    </row>
    <row r="553" spans="2:13" hidden="1">
      <c r="B553" s="102"/>
      <c r="C553" s="102"/>
      <c r="D553" s="102"/>
      <c r="E553" s="102"/>
      <c r="F553" s="104"/>
      <c r="G553" s="104"/>
      <c r="H553" s="102"/>
      <c r="I553" s="102"/>
      <c r="J553" s="102"/>
      <c r="K553" s="105"/>
      <c r="L553" s="105"/>
      <c r="M553" s="106"/>
    </row>
    <row r="554" spans="2:13" hidden="1">
      <c r="B554" s="102"/>
      <c r="C554" s="102"/>
      <c r="D554" s="102"/>
      <c r="E554" s="102"/>
      <c r="F554" s="104"/>
      <c r="G554" s="104"/>
      <c r="H554" s="102"/>
      <c r="I554" s="102"/>
      <c r="J554" s="102"/>
      <c r="K554" s="105"/>
      <c r="L554" s="105"/>
      <c r="M554" s="106"/>
    </row>
    <row r="555" spans="2:13" hidden="1">
      <c r="B555" s="102"/>
      <c r="C555" s="102"/>
      <c r="D555" s="102"/>
      <c r="E555" s="102"/>
      <c r="F555" s="104"/>
      <c r="G555" s="104"/>
      <c r="H555" s="102"/>
      <c r="I555" s="102"/>
      <c r="J555" s="102"/>
      <c r="K555" s="105"/>
      <c r="L555" s="105"/>
      <c r="M555" s="106"/>
    </row>
    <row r="556" spans="2:13" hidden="1">
      <c r="B556" s="102"/>
      <c r="C556" s="102"/>
      <c r="D556" s="102"/>
      <c r="E556" s="102"/>
      <c r="F556" s="104"/>
      <c r="G556" s="104"/>
      <c r="H556" s="102"/>
      <c r="I556" s="102"/>
      <c r="J556" s="102"/>
      <c r="K556" s="105"/>
      <c r="L556" s="105"/>
      <c r="M556" s="106"/>
    </row>
    <row r="557" spans="2:13" hidden="1">
      <c r="B557" s="102"/>
      <c r="C557" s="102"/>
      <c r="D557" s="102"/>
      <c r="E557" s="102"/>
      <c r="F557" s="104"/>
      <c r="G557" s="104"/>
      <c r="H557" s="102"/>
      <c r="I557" s="102"/>
      <c r="J557" s="102"/>
      <c r="K557" s="105"/>
      <c r="L557" s="105"/>
      <c r="M557" s="106"/>
    </row>
    <row r="558" spans="2:13" hidden="1">
      <c r="B558" s="102"/>
      <c r="C558" s="102"/>
      <c r="D558" s="102"/>
      <c r="E558" s="102"/>
      <c r="F558" s="104"/>
      <c r="G558" s="104"/>
      <c r="H558" s="102"/>
      <c r="I558" s="102"/>
      <c r="J558" s="102"/>
      <c r="K558" s="105"/>
      <c r="L558" s="105"/>
      <c r="M558" s="106"/>
    </row>
    <row r="559" spans="2:13" hidden="1">
      <c r="B559" s="102"/>
      <c r="C559" s="102"/>
      <c r="D559" s="102"/>
      <c r="E559" s="102"/>
      <c r="F559" s="104"/>
      <c r="G559" s="104"/>
      <c r="H559" s="102"/>
      <c r="I559" s="102"/>
      <c r="J559" s="102"/>
      <c r="K559" s="105"/>
      <c r="L559" s="105"/>
      <c r="M559" s="106"/>
    </row>
    <row r="560" spans="2:13" hidden="1">
      <c r="B560" s="102"/>
      <c r="C560" s="102"/>
      <c r="D560" s="102"/>
      <c r="E560" s="102"/>
      <c r="F560" s="104"/>
      <c r="G560" s="104"/>
      <c r="H560" s="102"/>
      <c r="I560" s="102"/>
      <c r="J560" s="102"/>
      <c r="K560" s="105"/>
      <c r="L560" s="105"/>
      <c r="M560" s="106"/>
    </row>
    <row r="561" spans="2:13" hidden="1">
      <c r="B561" s="102"/>
      <c r="C561" s="102"/>
      <c r="D561" s="102"/>
      <c r="E561" s="102"/>
      <c r="F561" s="104"/>
      <c r="G561" s="104"/>
      <c r="H561" s="102"/>
      <c r="I561" s="102"/>
      <c r="J561" s="102"/>
      <c r="K561" s="105"/>
      <c r="L561" s="105"/>
      <c r="M561" s="106"/>
    </row>
    <row r="562" spans="2:13" hidden="1">
      <c r="B562" s="102"/>
      <c r="C562" s="102"/>
      <c r="D562" s="102"/>
      <c r="E562" s="102"/>
      <c r="F562" s="104"/>
      <c r="G562" s="104"/>
      <c r="H562" s="102"/>
      <c r="I562" s="102"/>
      <c r="J562" s="102"/>
      <c r="K562" s="105"/>
      <c r="L562" s="105"/>
      <c r="M562" s="106"/>
    </row>
    <row r="563" spans="2:13" hidden="1">
      <c r="B563" s="102"/>
      <c r="C563" s="102"/>
      <c r="D563" s="102"/>
      <c r="E563" s="102"/>
      <c r="F563" s="104"/>
      <c r="G563" s="104"/>
      <c r="H563" s="102"/>
      <c r="I563" s="102"/>
      <c r="J563" s="102"/>
      <c r="K563" s="105"/>
      <c r="L563" s="105"/>
      <c r="M563" s="106"/>
    </row>
    <row r="564" spans="2:13" hidden="1">
      <c r="B564" s="102"/>
      <c r="C564" s="102"/>
      <c r="D564" s="102"/>
      <c r="E564" s="102"/>
      <c r="F564" s="104"/>
      <c r="G564" s="104"/>
      <c r="H564" s="102"/>
      <c r="I564" s="102"/>
      <c r="J564" s="102"/>
      <c r="K564" s="105"/>
      <c r="L564" s="105"/>
      <c r="M564" s="106"/>
    </row>
    <row r="565" spans="2:13" hidden="1">
      <c r="B565" s="102"/>
      <c r="C565" s="102"/>
      <c r="D565" s="102"/>
      <c r="E565" s="102"/>
      <c r="F565" s="104"/>
      <c r="G565" s="104"/>
      <c r="H565" s="102"/>
      <c r="I565" s="102"/>
      <c r="J565" s="102"/>
      <c r="K565" s="105"/>
      <c r="L565" s="105"/>
      <c r="M565" s="106"/>
    </row>
    <row r="566" spans="2:13" hidden="1">
      <c r="B566" s="102"/>
      <c r="C566" s="102"/>
      <c r="D566" s="102"/>
      <c r="E566" s="102"/>
      <c r="F566" s="104"/>
      <c r="G566" s="104"/>
      <c r="H566" s="102"/>
      <c r="I566" s="102"/>
      <c r="J566" s="102"/>
      <c r="K566" s="105"/>
      <c r="L566" s="105"/>
      <c r="M566" s="106"/>
    </row>
    <row r="567" spans="2:13" hidden="1">
      <c r="B567" s="102"/>
      <c r="C567" s="102"/>
      <c r="D567" s="102"/>
      <c r="E567" s="102"/>
      <c r="F567" s="104"/>
      <c r="G567" s="104"/>
      <c r="H567" s="102"/>
      <c r="I567" s="102"/>
      <c r="J567" s="102"/>
      <c r="K567" s="105"/>
      <c r="L567" s="105"/>
      <c r="M567" s="106"/>
    </row>
    <row r="568" spans="2:13" hidden="1">
      <c r="B568" s="102"/>
      <c r="C568" s="102"/>
      <c r="D568" s="102"/>
      <c r="E568" s="102"/>
      <c r="F568" s="104"/>
      <c r="G568" s="104"/>
      <c r="H568" s="102"/>
      <c r="I568" s="102"/>
      <c r="J568" s="102"/>
      <c r="K568" s="105"/>
      <c r="L568" s="105"/>
      <c r="M568" s="106"/>
    </row>
    <row r="569" spans="2:13" hidden="1">
      <c r="B569" s="102"/>
      <c r="C569" s="102"/>
      <c r="D569" s="102"/>
      <c r="E569" s="102"/>
      <c r="F569" s="104"/>
      <c r="G569" s="104"/>
      <c r="H569" s="102"/>
      <c r="I569" s="102"/>
      <c r="J569" s="102"/>
      <c r="K569" s="105"/>
      <c r="L569" s="105"/>
      <c r="M569" s="106"/>
    </row>
    <row r="570" spans="2:13" hidden="1">
      <c r="B570" s="102"/>
      <c r="C570" s="102"/>
      <c r="D570" s="102"/>
      <c r="E570" s="102"/>
      <c r="F570" s="104"/>
      <c r="G570" s="104"/>
      <c r="H570" s="102"/>
      <c r="I570" s="102"/>
      <c r="J570" s="102"/>
      <c r="K570" s="105"/>
      <c r="L570" s="105"/>
      <c r="M570" s="106"/>
    </row>
    <row r="571" spans="2:13" hidden="1">
      <c r="B571" s="102"/>
      <c r="C571" s="102"/>
      <c r="D571" s="102"/>
      <c r="E571" s="102"/>
      <c r="F571" s="104"/>
      <c r="G571" s="104"/>
      <c r="H571" s="102"/>
      <c r="I571" s="102"/>
      <c r="J571" s="102"/>
      <c r="K571" s="105"/>
      <c r="L571" s="105"/>
      <c r="M571" s="106"/>
    </row>
    <row r="572" spans="2:13" hidden="1">
      <c r="B572" s="102"/>
      <c r="C572" s="102"/>
      <c r="D572" s="102"/>
      <c r="E572" s="102"/>
      <c r="F572" s="104"/>
      <c r="G572" s="104"/>
      <c r="H572" s="102"/>
      <c r="I572" s="102"/>
      <c r="J572" s="102"/>
      <c r="K572" s="105"/>
      <c r="L572" s="105"/>
      <c r="M572" s="106"/>
    </row>
    <row r="573" spans="2:13" hidden="1">
      <c r="B573" s="102"/>
      <c r="C573" s="102"/>
      <c r="D573" s="102"/>
      <c r="E573" s="102"/>
      <c r="F573" s="104"/>
      <c r="G573" s="104"/>
      <c r="H573" s="102"/>
      <c r="I573" s="102"/>
      <c r="J573" s="102"/>
      <c r="K573" s="105"/>
      <c r="L573" s="105"/>
      <c r="M573" s="106"/>
    </row>
    <row r="574" spans="2:13" hidden="1">
      <c r="B574" s="102"/>
      <c r="C574" s="102"/>
      <c r="D574" s="102"/>
      <c r="E574" s="102"/>
      <c r="F574" s="104"/>
      <c r="G574" s="104"/>
      <c r="H574" s="102"/>
      <c r="I574" s="102"/>
      <c r="J574" s="102"/>
      <c r="K574" s="105"/>
      <c r="L574" s="105"/>
      <c r="M574" s="106"/>
    </row>
    <row r="575" spans="2:13" hidden="1">
      <c r="B575" s="102"/>
      <c r="C575" s="102"/>
      <c r="D575" s="102"/>
      <c r="E575" s="102"/>
      <c r="F575" s="104"/>
      <c r="G575" s="104"/>
      <c r="H575" s="102"/>
      <c r="I575" s="102"/>
      <c r="J575" s="102"/>
      <c r="K575" s="105"/>
      <c r="L575" s="105"/>
      <c r="M575" s="106"/>
    </row>
    <row r="576" spans="2:13" hidden="1">
      <c r="B576" s="102"/>
      <c r="C576" s="102"/>
      <c r="D576" s="102"/>
      <c r="E576" s="102"/>
      <c r="F576" s="104"/>
      <c r="G576" s="104"/>
      <c r="H576" s="102"/>
      <c r="I576" s="102"/>
      <c r="J576" s="102"/>
      <c r="K576" s="105"/>
      <c r="L576" s="105"/>
      <c r="M576" s="106"/>
    </row>
    <row r="577" spans="2:13" hidden="1">
      <c r="B577" s="102"/>
      <c r="C577" s="102"/>
      <c r="D577" s="102"/>
      <c r="E577" s="102"/>
      <c r="F577" s="104"/>
      <c r="G577" s="104"/>
      <c r="H577" s="102"/>
      <c r="I577" s="102"/>
      <c r="J577" s="102"/>
      <c r="K577" s="105"/>
      <c r="L577" s="105"/>
      <c r="M577" s="106"/>
    </row>
    <row r="578" spans="2:13" hidden="1">
      <c r="B578" s="102"/>
      <c r="C578" s="102"/>
      <c r="D578" s="102"/>
      <c r="E578" s="102"/>
      <c r="F578" s="104"/>
      <c r="G578" s="104"/>
      <c r="H578" s="102"/>
      <c r="I578" s="102"/>
      <c r="J578" s="102"/>
      <c r="K578" s="105"/>
      <c r="L578" s="105"/>
      <c r="M578" s="106"/>
    </row>
    <row r="579" spans="2:13" hidden="1">
      <c r="B579" s="102"/>
      <c r="C579" s="102"/>
      <c r="D579" s="102"/>
      <c r="E579" s="102"/>
      <c r="F579" s="104"/>
      <c r="G579" s="104"/>
      <c r="H579" s="102"/>
      <c r="I579" s="102"/>
      <c r="J579" s="102"/>
      <c r="K579" s="105"/>
      <c r="L579" s="105"/>
      <c r="M579" s="106"/>
    </row>
    <row r="580" spans="2:13" hidden="1">
      <c r="B580" s="102"/>
      <c r="C580" s="102"/>
      <c r="D580" s="102"/>
      <c r="E580" s="102"/>
      <c r="F580" s="104"/>
      <c r="G580" s="104"/>
      <c r="H580" s="102"/>
      <c r="I580" s="102"/>
      <c r="J580" s="102"/>
      <c r="K580" s="105"/>
      <c r="L580" s="105"/>
      <c r="M580" s="106"/>
    </row>
    <row r="581" spans="2:13" hidden="1">
      <c r="B581" s="102"/>
      <c r="C581" s="102"/>
      <c r="D581" s="102"/>
      <c r="E581" s="102"/>
      <c r="F581" s="104"/>
      <c r="G581" s="104"/>
      <c r="H581" s="102"/>
      <c r="I581" s="102"/>
      <c r="J581" s="102"/>
      <c r="K581" s="105"/>
      <c r="L581" s="105"/>
      <c r="M581" s="106"/>
    </row>
    <row r="582" spans="2:13" hidden="1">
      <c r="B582" s="102"/>
      <c r="C582" s="102"/>
      <c r="D582" s="102"/>
      <c r="E582" s="102"/>
      <c r="F582" s="104"/>
      <c r="G582" s="104"/>
      <c r="H582" s="102"/>
      <c r="I582" s="102"/>
      <c r="J582" s="102"/>
      <c r="K582" s="105"/>
      <c r="L582" s="105"/>
      <c r="M582" s="106"/>
    </row>
    <row r="583" spans="2:13" hidden="1">
      <c r="B583" s="102"/>
      <c r="C583" s="102"/>
      <c r="D583" s="102"/>
      <c r="E583" s="102"/>
      <c r="F583" s="104"/>
      <c r="G583" s="104"/>
      <c r="H583" s="102"/>
      <c r="I583" s="102"/>
      <c r="J583" s="102"/>
      <c r="K583" s="105"/>
      <c r="L583" s="105"/>
      <c r="M583" s="106"/>
    </row>
    <row r="584" spans="2:13" hidden="1">
      <c r="B584" s="102"/>
      <c r="C584" s="102"/>
      <c r="D584" s="102"/>
      <c r="E584" s="102"/>
      <c r="F584" s="104"/>
      <c r="G584" s="104"/>
      <c r="H584" s="102"/>
      <c r="I584" s="102"/>
      <c r="J584" s="102"/>
      <c r="K584" s="105"/>
      <c r="L584" s="105"/>
      <c r="M584" s="106"/>
    </row>
    <row r="585" spans="2:13" hidden="1">
      <c r="B585" s="102"/>
      <c r="C585" s="102"/>
      <c r="D585" s="102"/>
      <c r="E585" s="102"/>
      <c r="F585" s="104"/>
      <c r="G585" s="104"/>
      <c r="H585" s="102"/>
      <c r="I585" s="102"/>
      <c r="J585" s="102"/>
      <c r="K585" s="105"/>
      <c r="L585" s="105"/>
      <c r="M585" s="106"/>
    </row>
    <row r="586" spans="2:13" hidden="1">
      <c r="B586" s="102"/>
      <c r="C586" s="102"/>
      <c r="D586" s="102"/>
      <c r="E586" s="102"/>
      <c r="F586" s="104"/>
      <c r="G586" s="104"/>
      <c r="H586" s="102"/>
      <c r="I586" s="102"/>
      <c r="J586" s="102"/>
      <c r="K586" s="105"/>
      <c r="L586" s="105"/>
      <c r="M586" s="106"/>
    </row>
    <row r="587" spans="2:13" hidden="1">
      <c r="B587" s="102"/>
      <c r="C587" s="102"/>
      <c r="D587" s="102"/>
      <c r="E587" s="102"/>
      <c r="F587" s="104"/>
      <c r="G587" s="104"/>
      <c r="H587" s="102"/>
      <c r="I587" s="102"/>
      <c r="J587" s="102"/>
      <c r="K587" s="105"/>
      <c r="L587" s="105"/>
      <c r="M587" s="106"/>
    </row>
    <row r="588" spans="2:13" hidden="1">
      <c r="B588" s="102"/>
      <c r="C588" s="102"/>
      <c r="D588" s="102"/>
      <c r="E588" s="102"/>
      <c r="F588" s="104"/>
      <c r="G588" s="104"/>
      <c r="H588" s="102"/>
      <c r="I588" s="102"/>
      <c r="J588" s="102"/>
      <c r="K588" s="105"/>
      <c r="L588" s="105"/>
      <c r="M588" s="106"/>
    </row>
    <row r="589" spans="2:13" hidden="1">
      <c r="B589" s="102"/>
      <c r="C589" s="102"/>
      <c r="D589" s="102"/>
      <c r="E589" s="102"/>
      <c r="F589" s="104"/>
      <c r="G589" s="104"/>
      <c r="H589" s="102"/>
      <c r="I589" s="102"/>
      <c r="J589" s="102"/>
      <c r="K589" s="105"/>
      <c r="L589" s="105"/>
      <c r="M589" s="106"/>
    </row>
    <row r="590" spans="2:13" hidden="1">
      <c r="B590" s="102"/>
      <c r="C590" s="102"/>
      <c r="D590" s="102"/>
      <c r="E590" s="102"/>
      <c r="F590" s="104"/>
      <c r="G590" s="104"/>
      <c r="H590" s="102"/>
      <c r="I590" s="102"/>
      <c r="J590" s="102"/>
      <c r="K590" s="105"/>
      <c r="L590" s="105"/>
      <c r="M590" s="106"/>
    </row>
    <row r="591" spans="2:13" hidden="1">
      <c r="B591" s="102"/>
      <c r="C591" s="102"/>
      <c r="D591" s="102"/>
      <c r="E591" s="102"/>
      <c r="F591" s="104"/>
      <c r="G591" s="104"/>
      <c r="H591" s="102"/>
      <c r="I591" s="102"/>
      <c r="J591" s="102"/>
      <c r="K591" s="105"/>
      <c r="L591" s="105"/>
      <c r="M591" s="106"/>
    </row>
    <row r="592" spans="2:13" hidden="1">
      <c r="B592" s="102"/>
      <c r="C592" s="102"/>
      <c r="D592" s="102"/>
      <c r="E592" s="102"/>
      <c r="F592" s="104"/>
      <c r="G592" s="104"/>
      <c r="H592" s="102"/>
      <c r="I592" s="102"/>
      <c r="J592" s="102"/>
      <c r="K592" s="105"/>
      <c r="L592" s="105"/>
      <c r="M592" s="106"/>
    </row>
    <row r="593" spans="2:13" hidden="1">
      <c r="B593" s="102"/>
      <c r="C593" s="102"/>
      <c r="D593" s="102"/>
      <c r="E593" s="102"/>
      <c r="F593" s="104"/>
      <c r="G593" s="104"/>
      <c r="H593" s="102"/>
      <c r="I593" s="102"/>
      <c r="J593" s="102"/>
      <c r="K593" s="105"/>
      <c r="L593" s="105"/>
      <c r="M593" s="106"/>
    </row>
    <row r="594" spans="2:13" hidden="1">
      <c r="B594" s="102"/>
      <c r="C594" s="102"/>
      <c r="D594" s="102"/>
      <c r="E594" s="102"/>
      <c r="F594" s="104"/>
      <c r="G594" s="104"/>
      <c r="H594" s="102"/>
      <c r="I594" s="102"/>
      <c r="J594" s="102"/>
      <c r="K594" s="105"/>
      <c r="L594" s="105"/>
      <c r="M594" s="106"/>
    </row>
    <row r="595" spans="2:13" hidden="1">
      <c r="B595" s="102"/>
      <c r="C595" s="102"/>
      <c r="D595" s="102"/>
      <c r="E595" s="102"/>
      <c r="F595" s="104"/>
      <c r="G595" s="104"/>
      <c r="H595" s="102"/>
      <c r="I595" s="102"/>
      <c r="J595" s="102"/>
      <c r="K595" s="105"/>
      <c r="L595" s="105"/>
      <c r="M595" s="106"/>
    </row>
    <row r="596" spans="2:13" hidden="1">
      <c r="B596" s="102"/>
      <c r="C596" s="102"/>
      <c r="D596" s="102"/>
      <c r="E596" s="102"/>
      <c r="F596" s="104"/>
      <c r="G596" s="104"/>
      <c r="H596" s="102"/>
      <c r="I596" s="102"/>
      <c r="J596" s="102"/>
      <c r="K596" s="105"/>
      <c r="L596" s="105"/>
      <c r="M596" s="106"/>
    </row>
    <row r="597" spans="2:13" hidden="1">
      <c r="B597" s="102"/>
      <c r="C597" s="102"/>
      <c r="D597" s="102"/>
      <c r="E597" s="102"/>
      <c r="F597" s="104"/>
      <c r="G597" s="104"/>
      <c r="H597" s="102"/>
      <c r="I597" s="102"/>
      <c r="J597" s="102"/>
      <c r="K597" s="105"/>
      <c r="L597" s="105"/>
      <c r="M597" s="106"/>
    </row>
    <row r="598" spans="2:13" hidden="1">
      <c r="B598" s="102"/>
      <c r="C598" s="102"/>
      <c r="D598" s="102"/>
      <c r="E598" s="102"/>
      <c r="F598" s="104"/>
      <c r="G598" s="104"/>
      <c r="H598" s="102"/>
      <c r="I598" s="102"/>
      <c r="J598" s="102"/>
      <c r="K598" s="105"/>
      <c r="L598" s="105"/>
      <c r="M598" s="106"/>
    </row>
    <row r="599" spans="2:13" hidden="1">
      <c r="B599" s="102"/>
      <c r="C599" s="102"/>
      <c r="D599" s="102"/>
      <c r="E599" s="102"/>
      <c r="F599" s="104"/>
      <c r="G599" s="104"/>
      <c r="H599" s="102"/>
      <c r="I599" s="102"/>
      <c r="J599" s="102"/>
      <c r="K599" s="105"/>
      <c r="L599" s="105"/>
      <c r="M599" s="106"/>
    </row>
    <row r="600" spans="2:13" hidden="1">
      <c r="B600" s="102"/>
      <c r="C600" s="102"/>
      <c r="D600" s="102"/>
      <c r="E600" s="102"/>
      <c r="F600" s="104"/>
      <c r="G600" s="104"/>
      <c r="H600" s="102"/>
      <c r="I600" s="102"/>
      <c r="J600" s="102"/>
      <c r="K600" s="105"/>
      <c r="L600" s="105"/>
      <c r="M600" s="106"/>
    </row>
    <row r="601" spans="2:13" hidden="1">
      <c r="B601" s="102"/>
      <c r="C601" s="102"/>
      <c r="D601" s="102"/>
      <c r="E601" s="102"/>
      <c r="F601" s="104"/>
      <c r="G601" s="104"/>
      <c r="H601" s="102"/>
      <c r="I601" s="102"/>
      <c r="J601" s="102"/>
      <c r="K601" s="105"/>
      <c r="L601" s="105"/>
      <c r="M601" s="106"/>
    </row>
    <row r="602" spans="2:13" hidden="1">
      <c r="B602" s="102"/>
      <c r="C602" s="102"/>
      <c r="D602" s="102"/>
      <c r="E602" s="102"/>
      <c r="F602" s="104"/>
      <c r="G602" s="104"/>
      <c r="H602" s="102"/>
      <c r="I602" s="102"/>
      <c r="J602" s="102"/>
      <c r="K602" s="105"/>
      <c r="L602" s="105"/>
      <c r="M602" s="106"/>
    </row>
    <row r="603" spans="2:13" hidden="1">
      <c r="B603" s="102"/>
      <c r="C603" s="102"/>
      <c r="D603" s="102"/>
      <c r="E603" s="102"/>
      <c r="F603" s="104"/>
      <c r="G603" s="104"/>
      <c r="H603" s="102"/>
      <c r="I603" s="102"/>
      <c r="J603" s="102"/>
      <c r="K603" s="105"/>
      <c r="L603" s="105"/>
      <c r="M603" s="106"/>
    </row>
    <row r="604" spans="2:13" hidden="1">
      <c r="B604" s="102"/>
      <c r="C604" s="102"/>
      <c r="D604" s="102"/>
      <c r="E604" s="102"/>
      <c r="F604" s="104"/>
      <c r="G604" s="104"/>
      <c r="H604" s="102"/>
      <c r="I604" s="102"/>
      <c r="J604" s="102"/>
      <c r="K604" s="105"/>
      <c r="L604" s="105"/>
      <c r="M604" s="106"/>
    </row>
    <row r="605" spans="2:13" hidden="1">
      <c r="B605" s="102"/>
      <c r="C605" s="102"/>
      <c r="D605" s="102"/>
      <c r="E605" s="102"/>
      <c r="F605" s="104"/>
      <c r="G605" s="104"/>
      <c r="H605" s="102"/>
      <c r="I605" s="102"/>
      <c r="J605" s="102"/>
      <c r="K605" s="105"/>
      <c r="L605" s="105"/>
      <c r="M605" s="106"/>
    </row>
    <row r="606" spans="2:13" hidden="1">
      <c r="B606" s="102"/>
      <c r="C606" s="102"/>
      <c r="D606" s="102"/>
      <c r="E606" s="102"/>
      <c r="F606" s="104"/>
      <c r="G606" s="104"/>
      <c r="H606" s="102"/>
      <c r="I606" s="102"/>
      <c r="J606" s="102"/>
      <c r="K606" s="105"/>
      <c r="L606" s="105"/>
      <c r="M606" s="106"/>
    </row>
    <row r="607" spans="2:13" hidden="1">
      <c r="B607" s="102"/>
      <c r="C607" s="102"/>
      <c r="D607" s="102"/>
      <c r="E607" s="102"/>
      <c r="F607" s="104"/>
      <c r="G607" s="104"/>
      <c r="H607" s="102"/>
      <c r="I607" s="102"/>
      <c r="J607" s="102"/>
      <c r="K607" s="105"/>
      <c r="L607" s="105"/>
      <c r="M607" s="106"/>
    </row>
    <row r="608" spans="2:13" hidden="1">
      <c r="B608" s="102"/>
      <c r="C608" s="102"/>
      <c r="D608" s="102"/>
      <c r="E608" s="102"/>
      <c r="F608" s="104"/>
      <c r="G608" s="104"/>
      <c r="H608" s="102"/>
      <c r="I608" s="102"/>
      <c r="J608" s="102"/>
      <c r="K608" s="105"/>
      <c r="L608" s="105"/>
      <c r="M608" s="106"/>
    </row>
    <row r="609" spans="2:13" hidden="1">
      <c r="B609" s="102"/>
      <c r="C609" s="102"/>
      <c r="D609" s="102"/>
      <c r="E609" s="102"/>
      <c r="F609" s="104"/>
      <c r="G609" s="104"/>
      <c r="H609" s="102"/>
      <c r="I609" s="102"/>
      <c r="J609" s="102"/>
      <c r="K609" s="105"/>
      <c r="L609" s="105"/>
      <c r="M609" s="106"/>
    </row>
    <row r="610" spans="2:13" hidden="1">
      <c r="B610" s="102"/>
      <c r="C610" s="102"/>
      <c r="D610" s="102"/>
      <c r="E610" s="102"/>
      <c r="F610" s="104"/>
      <c r="G610" s="104"/>
      <c r="H610" s="102"/>
      <c r="I610" s="102"/>
      <c r="J610" s="102"/>
      <c r="K610" s="105"/>
      <c r="L610" s="105"/>
      <c r="M610" s="106"/>
    </row>
    <row r="611" spans="2:13" hidden="1">
      <c r="B611" s="102"/>
      <c r="C611" s="102"/>
      <c r="D611" s="102"/>
      <c r="E611" s="102"/>
      <c r="F611" s="104"/>
      <c r="G611" s="104"/>
      <c r="H611" s="102"/>
      <c r="I611" s="102"/>
      <c r="J611" s="102"/>
      <c r="K611" s="105"/>
      <c r="L611" s="105"/>
      <c r="M611" s="106"/>
    </row>
    <row r="612" spans="2:13" hidden="1">
      <c r="B612" s="102"/>
      <c r="C612" s="102"/>
      <c r="D612" s="102"/>
      <c r="E612" s="102"/>
      <c r="F612" s="104"/>
      <c r="G612" s="104"/>
      <c r="H612" s="102"/>
      <c r="I612" s="102"/>
      <c r="J612" s="102"/>
      <c r="K612" s="105"/>
      <c r="L612" s="105"/>
      <c r="M612" s="106"/>
    </row>
    <row r="613" spans="2:13" hidden="1">
      <c r="B613" s="102"/>
      <c r="C613" s="102"/>
      <c r="D613" s="102"/>
      <c r="E613" s="102"/>
      <c r="F613" s="104"/>
      <c r="G613" s="104"/>
      <c r="H613" s="102"/>
      <c r="I613" s="102"/>
      <c r="J613" s="102"/>
      <c r="K613" s="105"/>
      <c r="L613" s="105"/>
      <c r="M613" s="106"/>
    </row>
    <row r="614" spans="2:13" hidden="1">
      <c r="B614" s="102"/>
      <c r="C614" s="102"/>
      <c r="D614" s="102"/>
      <c r="E614" s="102"/>
      <c r="F614" s="104"/>
      <c r="G614" s="104"/>
      <c r="H614" s="102"/>
      <c r="I614" s="102"/>
      <c r="J614" s="102"/>
      <c r="K614" s="105"/>
      <c r="L614" s="105"/>
      <c r="M614" s="106"/>
    </row>
    <row r="615" spans="2:13" hidden="1">
      <c r="B615" s="102"/>
      <c r="C615" s="102"/>
      <c r="D615" s="102"/>
      <c r="E615" s="102"/>
      <c r="F615" s="104"/>
      <c r="G615" s="104"/>
      <c r="H615" s="102"/>
      <c r="I615" s="102"/>
      <c r="J615" s="102"/>
      <c r="K615" s="105"/>
      <c r="L615" s="105"/>
      <c r="M615" s="106"/>
    </row>
    <row r="616" spans="2:13" hidden="1">
      <c r="B616" s="102"/>
      <c r="C616" s="102"/>
      <c r="D616" s="102"/>
      <c r="E616" s="102"/>
      <c r="F616" s="104"/>
      <c r="G616" s="104"/>
      <c r="H616" s="102"/>
      <c r="I616" s="102"/>
      <c r="J616" s="102"/>
      <c r="K616" s="105"/>
      <c r="L616" s="105"/>
      <c r="M616" s="106"/>
    </row>
    <row r="617" spans="2:13" hidden="1">
      <c r="B617" s="102"/>
      <c r="C617" s="102"/>
      <c r="D617" s="102"/>
      <c r="E617" s="102"/>
      <c r="F617" s="104"/>
      <c r="G617" s="104"/>
      <c r="H617" s="102"/>
      <c r="I617" s="102"/>
      <c r="J617" s="102"/>
      <c r="K617" s="105"/>
      <c r="L617" s="105"/>
      <c r="M617" s="106"/>
    </row>
    <row r="618" spans="2:13" hidden="1">
      <c r="B618" s="102"/>
      <c r="C618" s="102"/>
      <c r="D618" s="102"/>
      <c r="E618" s="102"/>
      <c r="F618" s="104"/>
      <c r="G618" s="104"/>
      <c r="H618" s="102"/>
      <c r="I618" s="102"/>
      <c r="J618" s="102"/>
      <c r="K618" s="105"/>
      <c r="L618" s="105"/>
      <c r="M618" s="106"/>
    </row>
    <row r="619" spans="2:13" hidden="1">
      <c r="B619" s="102"/>
      <c r="C619" s="102"/>
      <c r="D619" s="102"/>
      <c r="E619" s="102"/>
      <c r="F619" s="104"/>
      <c r="G619" s="104"/>
      <c r="H619" s="102"/>
      <c r="I619" s="102"/>
      <c r="J619" s="102"/>
      <c r="K619" s="105"/>
      <c r="L619" s="105"/>
      <c r="M619" s="106"/>
    </row>
    <row r="620" spans="2:13" hidden="1">
      <c r="B620" s="102"/>
      <c r="C620" s="102"/>
      <c r="D620" s="102"/>
      <c r="E620" s="102"/>
      <c r="F620" s="104"/>
      <c r="G620" s="104"/>
      <c r="H620" s="102"/>
      <c r="I620" s="102"/>
      <c r="J620" s="102"/>
      <c r="K620" s="105"/>
      <c r="L620" s="105"/>
      <c r="M620" s="106"/>
    </row>
    <row r="621" spans="2:13" hidden="1">
      <c r="B621" s="102"/>
      <c r="C621" s="102"/>
      <c r="D621" s="102"/>
      <c r="E621" s="102"/>
      <c r="F621" s="104"/>
      <c r="G621" s="104"/>
      <c r="H621" s="102"/>
      <c r="I621" s="102"/>
      <c r="J621" s="102"/>
      <c r="K621" s="105"/>
      <c r="L621" s="105"/>
      <c r="M621" s="106"/>
    </row>
    <row r="622" spans="2:13" hidden="1">
      <c r="B622" s="102"/>
      <c r="C622" s="102"/>
      <c r="D622" s="102"/>
      <c r="E622" s="102"/>
      <c r="F622" s="104"/>
      <c r="G622" s="104"/>
      <c r="H622" s="102"/>
      <c r="I622" s="102"/>
      <c r="J622" s="102"/>
      <c r="K622" s="105"/>
      <c r="L622" s="105"/>
      <c r="M622" s="106"/>
    </row>
    <row r="623" spans="2:13" hidden="1"/>
    <row r="624" spans="2:13"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sheetData>
  <autoFilter ref="A10:O10"/>
  <mergeCells count="141">
    <mergeCell ref="Q91:Q94"/>
    <mergeCell ref="Q74:Q78"/>
    <mergeCell ref="Q79:Q80"/>
    <mergeCell ref="Q81:Q85"/>
    <mergeCell ref="Q86:Q88"/>
    <mergeCell ref="Q89:Q90"/>
    <mergeCell ref="Q48:Q51"/>
    <mergeCell ref="Q52:Q57"/>
    <mergeCell ref="Q59:Q63"/>
    <mergeCell ref="Q64:Q66"/>
    <mergeCell ref="Q67:Q73"/>
    <mergeCell ref="Q29:Q34"/>
    <mergeCell ref="Q37:Q39"/>
    <mergeCell ref="Q40:Q42"/>
    <mergeCell ref="Q43:Q45"/>
    <mergeCell ref="Q46:Q47"/>
    <mergeCell ref="Q11:Q15"/>
    <mergeCell ref="Q16:Q19"/>
    <mergeCell ref="Q21:Q22"/>
    <mergeCell ref="Q23:Q25"/>
    <mergeCell ref="Q26:Q28"/>
    <mergeCell ref="P79:P80"/>
    <mergeCell ref="P81:P85"/>
    <mergeCell ref="P86:P88"/>
    <mergeCell ref="P89:P90"/>
    <mergeCell ref="P91:P94"/>
    <mergeCell ref="P52:P57"/>
    <mergeCell ref="P59:P63"/>
    <mergeCell ref="P64:P66"/>
    <mergeCell ref="P67:P73"/>
    <mergeCell ref="P74:P78"/>
    <mergeCell ref="P37:P39"/>
    <mergeCell ref="P40:P42"/>
    <mergeCell ref="P43:P45"/>
    <mergeCell ref="P46:P47"/>
    <mergeCell ref="P48:P51"/>
    <mergeCell ref="P16:P19"/>
    <mergeCell ref="P21:P22"/>
    <mergeCell ref="P23:P25"/>
    <mergeCell ref="P26:P28"/>
    <mergeCell ref="P29:P34"/>
    <mergeCell ref="B1:F1"/>
    <mergeCell ref="H1:I1"/>
    <mergeCell ref="B2:F2"/>
    <mergeCell ref="H2:I2"/>
    <mergeCell ref="B3:F3"/>
    <mergeCell ref="H3:I3"/>
    <mergeCell ref="B4:F4"/>
    <mergeCell ref="H4:I4"/>
    <mergeCell ref="B5:F5"/>
    <mergeCell ref="H5:I5"/>
    <mergeCell ref="B6:F6"/>
    <mergeCell ref="H6:I6"/>
    <mergeCell ref="B7:F7"/>
    <mergeCell ref="H7:I7"/>
    <mergeCell ref="B8:F8"/>
    <mergeCell ref="H8:I8"/>
    <mergeCell ref="B11:B15"/>
    <mergeCell ref="D11:D15"/>
    <mergeCell ref="E11:E15"/>
    <mergeCell ref="M11:M15"/>
    <mergeCell ref="B16:B19"/>
    <mergeCell ref="D16:D19"/>
    <mergeCell ref="E16:E19"/>
    <mergeCell ref="M16:M19"/>
    <mergeCell ref="B21:B22"/>
    <mergeCell ref="D21:D22"/>
    <mergeCell ref="E21:E22"/>
    <mergeCell ref="M21:M22"/>
    <mergeCell ref="B23:B25"/>
    <mergeCell ref="D23:D25"/>
    <mergeCell ref="E23:E25"/>
    <mergeCell ref="M23:M25"/>
    <mergeCell ref="B26:B28"/>
    <mergeCell ref="D26:D28"/>
    <mergeCell ref="E26:E28"/>
    <mergeCell ref="M26:M28"/>
    <mergeCell ref="B29:B34"/>
    <mergeCell ref="D29:D34"/>
    <mergeCell ref="E29:E34"/>
    <mergeCell ref="M29:M34"/>
    <mergeCell ref="B37:B39"/>
    <mergeCell ref="D37:D39"/>
    <mergeCell ref="E37:E39"/>
    <mergeCell ref="M37:M39"/>
    <mergeCell ref="B40:B42"/>
    <mergeCell ref="D40:D42"/>
    <mergeCell ref="E40:E42"/>
    <mergeCell ref="M40:M42"/>
    <mergeCell ref="B43:B45"/>
    <mergeCell ref="D43:D45"/>
    <mergeCell ref="E43:E45"/>
    <mergeCell ref="M43:M45"/>
    <mergeCell ref="B46:B47"/>
    <mergeCell ref="D46:D47"/>
    <mergeCell ref="E46:E47"/>
    <mergeCell ref="M46:M47"/>
    <mergeCell ref="B48:B51"/>
    <mergeCell ref="D48:D51"/>
    <mergeCell ref="E48:E51"/>
    <mergeCell ref="M48:M51"/>
    <mergeCell ref="B52:B57"/>
    <mergeCell ref="D52:D57"/>
    <mergeCell ref="E52:E57"/>
    <mergeCell ref="M52:M57"/>
    <mergeCell ref="B59:B63"/>
    <mergeCell ref="D59:D63"/>
    <mergeCell ref="E59:E63"/>
    <mergeCell ref="M59:M63"/>
    <mergeCell ref="B64:B66"/>
    <mergeCell ref="D64:D66"/>
    <mergeCell ref="E64:E66"/>
    <mergeCell ref="M64:M66"/>
    <mergeCell ref="B67:B73"/>
    <mergeCell ref="D67:D73"/>
    <mergeCell ref="E67:E73"/>
    <mergeCell ref="M67:M73"/>
    <mergeCell ref="B74:B78"/>
    <mergeCell ref="D74:D78"/>
    <mergeCell ref="E74:E78"/>
    <mergeCell ref="M74:M78"/>
    <mergeCell ref="B79:B80"/>
    <mergeCell ref="D79:D80"/>
    <mergeCell ref="E79:E80"/>
    <mergeCell ref="M79:M80"/>
    <mergeCell ref="B81:B85"/>
    <mergeCell ref="D81:D85"/>
    <mergeCell ref="E81:E85"/>
    <mergeCell ref="M81:M85"/>
    <mergeCell ref="B91:B94"/>
    <mergeCell ref="D91:D94"/>
    <mergeCell ref="E91:E94"/>
    <mergeCell ref="M91:M94"/>
    <mergeCell ref="B86:B88"/>
    <mergeCell ref="D86:D88"/>
    <mergeCell ref="E86:E88"/>
    <mergeCell ref="M86:M88"/>
    <mergeCell ref="B89:B90"/>
    <mergeCell ref="D89:D90"/>
    <mergeCell ref="E89:E90"/>
    <mergeCell ref="M89:M90"/>
  </mergeCells>
  <pageMargins left="0.25" right="0.25" top="0.75" bottom="0.75" header="0.51180555555555496" footer="0.51180555555555496"/>
  <pageSetup paperSize="9" scale="94" firstPageNumber="0" fitToHeight="0" orientation="landscape" verticalDpi="300" r:id="rId1"/>
  <drawing r:id="rId2"/>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Instruções</vt:lpstr>
      <vt:lpstr>Cargo1-Leve22h</vt:lpstr>
      <vt:lpstr>Cargo2-Exec22h</vt:lpstr>
      <vt:lpstr>Cargo3-Exec24h</vt:lpstr>
      <vt:lpstr>Cargo4-Pesado22h</vt:lpstr>
      <vt:lpstr>Cargo5-Pesado24h</vt:lpstr>
      <vt:lpstr>Insumos</vt:lpstr>
      <vt:lpstr>Diárias</vt:lpstr>
      <vt:lpstr>Geral</vt:lpstr>
      <vt:lpstr>Proposta</vt:lpstr>
      <vt:lpstr>'Cargo1-Leve22h'!Area_de_impressao</vt:lpstr>
      <vt:lpstr>'Cargo2-Exec22h'!Area_de_impressao</vt:lpstr>
      <vt:lpstr>'Cargo3-Exec24h'!Area_de_impressao</vt:lpstr>
      <vt:lpstr>'Cargo4-Pesado22h'!Area_de_impressao</vt:lpstr>
      <vt:lpstr>'Cargo5-Pesado24h'!Area_de_impressao</vt:lpstr>
      <vt:lpstr>Diárias!Area_de_impressao</vt:lpstr>
      <vt:lpstr>Geral!Area_de_impressao</vt:lpstr>
      <vt:lpstr>Insumos!Area_de_impressao</vt:lpstr>
      <vt:lpstr>Proposta!Area_de_impressao</vt:lpstr>
      <vt:lpstr>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REMOTO</dc:creator>
  <dc:description/>
  <cp:lastModifiedBy>USUARIO</cp:lastModifiedBy>
  <cp:revision>2</cp:revision>
  <cp:lastPrinted>2021-10-21T15:33:46Z</cp:lastPrinted>
  <dcterms:created xsi:type="dcterms:W3CDTF">2021-05-05T15:16:04Z</dcterms:created>
  <dcterms:modified xsi:type="dcterms:W3CDTF">2021-10-21T15:33:52Z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