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egooliveira/Desktop/Diego/Fortaleza /LICITAÇÃO/ANDAMENTO/APOIO/PROPOSTA/ACEITAS/G17/"/>
    </mc:Choice>
  </mc:AlternateContent>
  <xr:revisionPtr revIDLastSave="0" documentId="13_ncr:1_{DA70E9C6-3839-EB4B-A3CF-D01044F0CEA7}" xr6:coauthVersionLast="46" xr6:coauthVersionMax="46" xr10:uidLastSave="{00000000-0000-0000-0000-000000000000}"/>
  <bookViews>
    <workbookView xWindow="0" yWindow="500" windowWidth="28800" windowHeight="15760" activeTab="2" xr2:uid="{00000000-000D-0000-FFFF-FFFF00000000}"/>
  </bookViews>
  <sheets>
    <sheet name="Precificação Total" sheetId="1" r:id="rId1"/>
    <sheet name="Resumo" sheetId="10" r:id="rId2"/>
    <sheet name="QUADRO 7" sheetId="11" r:id="rId3"/>
  </sheets>
  <definedNames>
    <definedName name="_xlnm.Print_Area" localSheetId="0">'Precificação Total'!$A$1:$W$80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1" l="1"/>
  <c r="P8" i="11" s="1"/>
  <c r="Q8" i="11" s="1"/>
  <c r="M7" i="11"/>
  <c r="J7" i="11"/>
  <c r="J8" i="11" s="1"/>
  <c r="K8" i="11" s="1"/>
  <c r="G7" i="11"/>
  <c r="H7" i="11" s="1"/>
  <c r="D7" i="11"/>
  <c r="D8" i="11" s="1"/>
  <c r="E8" i="11" s="1"/>
  <c r="O9" i="11"/>
  <c r="L9" i="11"/>
  <c r="I9" i="11"/>
  <c r="F9" i="11"/>
  <c r="C9" i="11"/>
  <c r="N7" i="11"/>
  <c r="N9" i="11" l="1"/>
  <c r="G8" i="11"/>
  <c r="H8" i="11" s="1"/>
  <c r="M8" i="11"/>
  <c r="N8" i="11" s="1"/>
  <c r="E7" i="11"/>
  <c r="K7" i="11"/>
  <c r="K9" i="11" s="1"/>
  <c r="Q7" i="11"/>
  <c r="Q9" i="11" s="1"/>
  <c r="R7" i="11" l="1"/>
  <c r="R8" i="11"/>
  <c r="S8" i="11" s="1"/>
  <c r="E9" i="11"/>
  <c r="H9" i="11"/>
  <c r="R9" i="11" l="1"/>
  <c r="S7" i="11"/>
  <c r="S9" i="11" s="1"/>
  <c r="H8" i="10" l="1"/>
  <c r="H7" i="10"/>
  <c r="S77" i="1"/>
  <c r="P77" i="1"/>
  <c r="M77" i="1"/>
  <c r="J77" i="1"/>
  <c r="G77" i="1"/>
  <c r="S4" i="1"/>
  <c r="P4" i="1"/>
  <c r="M4" i="1"/>
  <c r="J4" i="1"/>
  <c r="G4" i="1"/>
  <c r="V4" i="1" l="1"/>
  <c r="S42" i="1"/>
  <c r="P42" i="1"/>
  <c r="M42" i="1"/>
  <c r="J42" i="1"/>
  <c r="G42" i="1"/>
  <c r="S55" i="1" l="1"/>
  <c r="P55" i="1"/>
  <c r="M55" i="1"/>
  <c r="J55" i="1"/>
  <c r="G55" i="1"/>
  <c r="Z77" i="1" l="1"/>
  <c r="S20" i="1" l="1"/>
  <c r="P20" i="1"/>
  <c r="Q20" i="1" s="1"/>
  <c r="R20" i="1" s="1"/>
  <c r="M20" i="1"/>
  <c r="J20" i="1"/>
  <c r="K20" i="1" s="1"/>
  <c r="L20" i="1" s="1"/>
  <c r="G20" i="1"/>
  <c r="H20" i="1" s="1"/>
  <c r="S17" i="1"/>
  <c r="P17" i="1"/>
  <c r="Q17" i="1" s="1"/>
  <c r="R17" i="1" s="1"/>
  <c r="M17" i="1"/>
  <c r="J17" i="1"/>
  <c r="G17" i="1"/>
  <c r="H17" i="1" s="1"/>
  <c r="S68" i="1"/>
  <c r="T68" i="1" s="1"/>
  <c r="U68" i="1" s="1"/>
  <c r="P68" i="1"/>
  <c r="M68" i="1"/>
  <c r="N68" i="1" s="1"/>
  <c r="O68" i="1" s="1"/>
  <c r="J68" i="1"/>
  <c r="G68" i="1"/>
  <c r="S6" i="1"/>
  <c r="S14" i="1" s="1"/>
  <c r="T14" i="1" s="1"/>
  <c r="U14" i="1" s="1"/>
  <c r="S22" i="1"/>
  <c r="S30" i="1" s="1"/>
  <c r="S32" i="1"/>
  <c r="S40" i="1" s="1"/>
  <c r="S44" i="1"/>
  <c r="S45" i="1"/>
  <c r="S49" i="1" s="1"/>
  <c r="S57" i="1"/>
  <c r="P6" i="1"/>
  <c r="P14" i="1" s="1"/>
  <c r="P22" i="1"/>
  <c r="P30" i="1" s="1"/>
  <c r="P32" i="1"/>
  <c r="P40" i="1" s="1"/>
  <c r="P44" i="1"/>
  <c r="P45" i="1"/>
  <c r="P49" i="1" s="1"/>
  <c r="Q49" i="1" s="1"/>
  <c r="R49" i="1" s="1"/>
  <c r="P57" i="1"/>
  <c r="M6" i="1"/>
  <c r="M14" i="1" s="1"/>
  <c r="N14" i="1" s="1"/>
  <c r="O14" i="1" s="1"/>
  <c r="M22" i="1"/>
  <c r="M30" i="1" s="1"/>
  <c r="M32" i="1"/>
  <c r="M40" i="1" s="1"/>
  <c r="M44" i="1"/>
  <c r="M45" i="1"/>
  <c r="N45" i="1" s="1"/>
  <c r="O45" i="1" s="1"/>
  <c r="M57" i="1"/>
  <c r="J6" i="1"/>
  <c r="J14" i="1" s="1"/>
  <c r="K14" i="1" s="1"/>
  <c r="L14" i="1" s="1"/>
  <c r="J22" i="1"/>
  <c r="J30" i="1" s="1"/>
  <c r="J32" i="1"/>
  <c r="J36" i="1" s="1"/>
  <c r="K36" i="1" s="1"/>
  <c r="L36" i="1" s="1"/>
  <c r="J44" i="1"/>
  <c r="K44" i="1" s="1"/>
  <c r="L44" i="1" s="1"/>
  <c r="J45" i="1"/>
  <c r="J57" i="1"/>
  <c r="G6" i="1"/>
  <c r="G14" i="1" s="1"/>
  <c r="H14" i="1" s="1"/>
  <c r="G22" i="1"/>
  <c r="G30" i="1" s="1"/>
  <c r="G32" i="1"/>
  <c r="G40" i="1" s="1"/>
  <c r="G44" i="1"/>
  <c r="G45" i="1"/>
  <c r="G50" i="1" s="1"/>
  <c r="G57" i="1"/>
  <c r="M16" i="1"/>
  <c r="N16" i="1" s="1"/>
  <c r="O16" i="1" s="1"/>
  <c r="M18" i="1"/>
  <c r="M19" i="1"/>
  <c r="M56" i="1"/>
  <c r="N56" i="1" s="1"/>
  <c r="O56" i="1" s="1"/>
  <c r="M59" i="1"/>
  <c r="N59" i="1" s="1"/>
  <c r="O59" i="1" s="1"/>
  <c r="G56" i="1"/>
  <c r="J56" i="1"/>
  <c r="K56" i="1" s="1"/>
  <c r="L56" i="1" s="1"/>
  <c r="J63" i="1"/>
  <c r="K63" i="1" s="1"/>
  <c r="L63" i="1" s="1"/>
  <c r="J64" i="1"/>
  <c r="K64" i="1" s="1"/>
  <c r="L64" i="1" s="1"/>
  <c r="P56" i="1"/>
  <c r="S56" i="1"/>
  <c r="T56" i="1" s="1"/>
  <c r="U56" i="1" s="1"/>
  <c r="G16" i="1"/>
  <c r="H16" i="1" s="1"/>
  <c r="G18" i="1"/>
  <c r="H18" i="1" s="1"/>
  <c r="G19" i="1"/>
  <c r="H19" i="1" s="1"/>
  <c r="J16" i="1"/>
  <c r="K16" i="1" s="1"/>
  <c r="L16" i="1" s="1"/>
  <c r="J18" i="1"/>
  <c r="K18" i="1" s="1"/>
  <c r="L18" i="1" s="1"/>
  <c r="J19" i="1"/>
  <c r="K19" i="1" s="1"/>
  <c r="L19" i="1" s="1"/>
  <c r="P16" i="1"/>
  <c r="Q16" i="1" s="1"/>
  <c r="R16" i="1" s="1"/>
  <c r="P18" i="1"/>
  <c r="Q18" i="1" s="1"/>
  <c r="R18" i="1" s="1"/>
  <c r="P19" i="1"/>
  <c r="Q19" i="1" s="1"/>
  <c r="R19" i="1" s="1"/>
  <c r="P50" i="1"/>
  <c r="Q50" i="1" s="1"/>
  <c r="R50" i="1" s="1"/>
  <c r="S16" i="1"/>
  <c r="T16" i="1" s="1"/>
  <c r="U16" i="1" s="1"/>
  <c r="S18" i="1"/>
  <c r="T18" i="1" s="1"/>
  <c r="U18" i="1" s="1"/>
  <c r="S19" i="1"/>
  <c r="T19" i="1" s="1"/>
  <c r="U19" i="1" s="1"/>
  <c r="G69" i="1"/>
  <c r="J69" i="1"/>
  <c r="P69" i="1"/>
  <c r="G35" i="1"/>
  <c r="H35" i="1" s="1"/>
  <c r="G37" i="1"/>
  <c r="H37" i="1" s="1"/>
  <c r="G39" i="1"/>
  <c r="H39" i="1" s="1"/>
  <c r="M34" i="1"/>
  <c r="N34" i="1" s="1"/>
  <c r="O34" i="1" s="1"/>
  <c r="M35" i="1"/>
  <c r="N35" i="1" s="1"/>
  <c r="O35" i="1" s="1"/>
  <c r="M36" i="1"/>
  <c r="N36" i="1" s="1"/>
  <c r="O36" i="1" s="1"/>
  <c r="M37" i="1"/>
  <c r="N37" i="1" s="1"/>
  <c r="O37" i="1" s="1"/>
  <c r="M38" i="1"/>
  <c r="N38" i="1" s="1"/>
  <c r="O38" i="1" s="1"/>
  <c r="M39" i="1"/>
  <c r="P34" i="1"/>
  <c r="Q34" i="1" s="1"/>
  <c r="R34" i="1" s="1"/>
  <c r="P35" i="1"/>
  <c r="Q35" i="1" s="1"/>
  <c r="R35" i="1" s="1"/>
  <c r="P36" i="1"/>
  <c r="Q36" i="1" s="1"/>
  <c r="R36" i="1" s="1"/>
  <c r="P37" i="1"/>
  <c r="Q37" i="1" s="1"/>
  <c r="R37" i="1" s="1"/>
  <c r="P38" i="1"/>
  <c r="Q38" i="1" s="1"/>
  <c r="R38" i="1" s="1"/>
  <c r="P39" i="1"/>
  <c r="Q39" i="1" s="1"/>
  <c r="R39" i="1" s="1"/>
  <c r="S34" i="1"/>
  <c r="S35" i="1"/>
  <c r="T35" i="1" s="1"/>
  <c r="U35" i="1" s="1"/>
  <c r="S36" i="1"/>
  <c r="T36" i="1" s="1"/>
  <c r="U36" i="1" s="1"/>
  <c r="S37" i="1"/>
  <c r="T37" i="1" s="1"/>
  <c r="U37" i="1" s="1"/>
  <c r="S38" i="1"/>
  <c r="T38" i="1" s="1"/>
  <c r="U38" i="1" s="1"/>
  <c r="S39" i="1"/>
  <c r="T39" i="1" s="1"/>
  <c r="U39" i="1" s="1"/>
  <c r="J26" i="1"/>
  <c r="K26" i="1" s="1"/>
  <c r="L26" i="1" s="1"/>
  <c r="J27" i="1"/>
  <c r="K27" i="1" s="1"/>
  <c r="L27" i="1" s="1"/>
  <c r="J10" i="1"/>
  <c r="K10" i="1" s="1"/>
  <c r="L10" i="1" s="1"/>
  <c r="S11" i="1"/>
  <c r="T11" i="1" s="1"/>
  <c r="U11" i="1" s="1"/>
  <c r="Q44" i="1"/>
  <c r="R44" i="1" s="1"/>
  <c r="T44" i="1"/>
  <c r="U44" i="1" s="1"/>
  <c r="Q45" i="1"/>
  <c r="R45" i="1" s="1"/>
  <c r="H42" i="1"/>
  <c r="H55" i="1"/>
  <c r="H56" i="1"/>
  <c r="H68" i="1"/>
  <c r="K68" i="1"/>
  <c r="L68" i="1" s="1"/>
  <c r="Q68" i="1"/>
  <c r="R68" i="1" s="1"/>
  <c r="K57" i="1"/>
  <c r="L57" i="1" s="1"/>
  <c r="Q56" i="1"/>
  <c r="R56" i="1" s="1"/>
  <c r="K55" i="1"/>
  <c r="L55" i="1" s="1"/>
  <c r="N55" i="1"/>
  <c r="O55" i="1" s="1"/>
  <c r="Q55" i="1"/>
  <c r="R55" i="1" s="1"/>
  <c r="T55" i="1"/>
  <c r="U55" i="1" s="1"/>
  <c r="K42" i="1"/>
  <c r="L42" i="1" s="1"/>
  <c r="N42" i="1"/>
  <c r="Q42" i="1"/>
  <c r="R42" i="1" s="1"/>
  <c r="T42" i="1"/>
  <c r="U42" i="1" s="1"/>
  <c r="N39" i="1"/>
  <c r="O39" i="1" s="1"/>
  <c r="T34" i="1"/>
  <c r="U34" i="1" s="1"/>
  <c r="N32" i="1"/>
  <c r="O32" i="1" s="1"/>
  <c r="Q32" i="1"/>
  <c r="R32" i="1" s="1"/>
  <c r="T32" i="1"/>
  <c r="U32" i="1" s="1"/>
  <c r="K22" i="1"/>
  <c r="L22" i="1" s="1"/>
  <c r="N20" i="1"/>
  <c r="O20" i="1" s="1"/>
  <c r="T20" i="1"/>
  <c r="U20" i="1" s="1"/>
  <c r="N19" i="1"/>
  <c r="O19" i="1" s="1"/>
  <c r="N18" i="1"/>
  <c r="O18" i="1" s="1"/>
  <c r="K17" i="1"/>
  <c r="L17" i="1" s="1"/>
  <c r="N17" i="1"/>
  <c r="O17" i="1" s="1"/>
  <c r="T17" i="1"/>
  <c r="U17" i="1" s="1"/>
  <c r="Q14" i="1"/>
  <c r="R14" i="1" s="1"/>
  <c r="V17" i="1" l="1"/>
  <c r="I39" i="1"/>
  <c r="I19" i="1"/>
  <c r="V19" i="1"/>
  <c r="W19" i="1" s="1"/>
  <c r="I56" i="1"/>
  <c r="V56" i="1"/>
  <c r="I55" i="1"/>
  <c r="V55" i="1"/>
  <c r="W55" i="1" s="1"/>
  <c r="I37" i="1"/>
  <c r="I18" i="1"/>
  <c r="V18" i="1"/>
  <c r="I42" i="1"/>
  <c r="V42" i="1"/>
  <c r="I16" i="1"/>
  <c r="V16" i="1"/>
  <c r="I20" i="1"/>
  <c r="V20" i="1"/>
  <c r="W20" i="1" s="1"/>
  <c r="I68" i="1"/>
  <c r="V68" i="1"/>
  <c r="I14" i="1"/>
  <c r="V14" i="1"/>
  <c r="W14" i="1" s="1"/>
  <c r="G36" i="1"/>
  <c r="H36" i="1" s="1"/>
  <c r="G60" i="1"/>
  <c r="H60" i="1" s="1"/>
  <c r="G65" i="1"/>
  <c r="M60" i="1"/>
  <c r="M65" i="1"/>
  <c r="H32" i="1"/>
  <c r="G10" i="1"/>
  <c r="H10" i="1" s="1"/>
  <c r="G38" i="1"/>
  <c r="H38" i="1" s="1"/>
  <c r="G34" i="1"/>
  <c r="H34" i="1" s="1"/>
  <c r="J59" i="1"/>
  <c r="K59" i="1" s="1"/>
  <c r="L59" i="1" s="1"/>
  <c r="J65" i="1"/>
  <c r="P61" i="1"/>
  <c r="P65" i="1"/>
  <c r="S60" i="1"/>
  <c r="T60" i="1" s="1"/>
  <c r="U60" i="1" s="1"/>
  <c r="S65" i="1"/>
  <c r="G47" i="1"/>
  <c r="H47" i="1" s="1"/>
  <c r="M52" i="1"/>
  <c r="N52" i="1" s="1"/>
  <c r="P11" i="1"/>
  <c r="Q11" i="1" s="1"/>
  <c r="R11" i="1" s="1"/>
  <c r="G51" i="1"/>
  <c r="H51" i="1" s="1"/>
  <c r="S50" i="1"/>
  <c r="M48" i="1"/>
  <c r="M11" i="1"/>
  <c r="N11" i="1" s="1"/>
  <c r="O11" i="1" s="1"/>
  <c r="J35" i="1"/>
  <c r="K35" i="1" s="1"/>
  <c r="L35" i="1" s="1"/>
  <c r="S59" i="1"/>
  <c r="T59" i="1" s="1"/>
  <c r="U59" i="1" s="1"/>
  <c r="P64" i="1"/>
  <c r="Q64" i="1" s="1"/>
  <c r="R64" i="1" s="1"/>
  <c r="G29" i="1"/>
  <c r="H29" i="1" s="1"/>
  <c r="S69" i="1"/>
  <c r="T69" i="1" s="1"/>
  <c r="U69" i="1" s="1"/>
  <c r="S28" i="1"/>
  <c r="T28" i="1" s="1"/>
  <c r="U28" i="1" s="1"/>
  <c r="M29" i="1"/>
  <c r="N29" i="1" s="1"/>
  <c r="O29" i="1" s="1"/>
  <c r="J47" i="1"/>
  <c r="K47" i="1" s="1"/>
  <c r="L47" i="1" s="1"/>
  <c r="G59" i="1"/>
  <c r="H59" i="1" s="1"/>
  <c r="G48" i="1"/>
  <c r="H48" i="1" s="1"/>
  <c r="M49" i="1"/>
  <c r="P47" i="1"/>
  <c r="Q47" i="1" s="1"/>
  <c r="R47" i="1" s="1"/>
  <c r="S47" i="1"/>
  <c r="T47" i="1" s="1"/>
  <c r="U47" i="1" s="1"/>
  <c r="M69" i="1"/>
  <c r="N69" i="1" s="1"/>
  <c r="O69" i="1" s="1"/>
  <c r="M10" i="1"/>
  <c r="N10" i="1" s="1"/>
  <c r="O10" i="1" s="1"/>
  <c r="G13" i="1"/>
  <c r="H13" i="1" s="1"/>
  <c r="G9" i="1"/>
  <c r="H9" i="1" s="1"/>
  <c r="M47" i="1"/>
  <c r="N47" i="1" s="1"/>
  <c r="O47" i="1" s="1"/>
  <c r="Q6" i="1"/>
  <c r="R6" i="1" s="1"/>
  <c r="K32" i="1"/>
  <c r="L32" i="1" s="1"/>
  <c r="T45" i="1"/>
  <c r="U45" i="1" s="1"/>
  <c r="H45" i="1"/>
  <c r="H44" i="1"/>
  <c r="S12" i="1"/>
  <c r="T12" i="1" s="1"/>
  <c r="U12" i="1" s="1"/>
  <c r="S8" i="1"/>
  <c r="T8" i="1" s="1"/>
  <c r="U8" i="1" s="1"/>
  <c r="P12" i="1"/>
  <c r="Q12" i="1" s="1"/>
  <c r="R12" i="1" s="1"/>
  <c r="P8" i="1"/>
  <c r="Q8" i="1" s="1"/>
  <c r="R8" i="1" s="1"/>
  <c r="M12" i="1"/>
  <c r="N12" i="1" s="1"/>
  <c r="O12" i="1" s="1"/>
  <c r="M8" i="1"/>
  <c r="N8" i="1" s="1"/>
  <c r="O8" i="1" s="1"/>
  <c r="G11" i="1"/>
  <c r="H11" i="1" s="1"/>
  <c r="J28" i="1"/>
  <c r="K28" i="1" s="1"/>
  <c r="L28" i="1" s="1"/>
  <c r="J24" i="1"/>
  <c r="K24" i="1" s="1"/>
  <c r="L24" i="1" s="1"/>
  <c r="J38" i="1"/>
  <c r="K38" i="1" s="1"/>
  <c r="L38" i="1" s="1"/>
  <c r="S51" i="1"/>
  <c r="T51" i="1" s="1"/>
  <c r="U51" i="1" s="1"/>
  <c r="P51" i="1"/>
  <c r="G52" i="1"/>
  <c r="H52" i="1" s="1"/>
  <c r="N6" i="1"/>
  <c r="O6" i="1" s="1"/>
  <c r="S10" i="1"/>
  <c r="T10" i="1" s="1"/>
  <c r="U10" i="1" s="1"/>
  <c r="P10" i="1"/>
  <c r="Q10" i="1" s="1"/>
  <c r="R10" i="1" s="1"/>
  <c r="M51" i="1"/>
  <c r="N51" i="1" s="1"/>
  <c r="O51" i="1" s="1"/>
  <c r="G53" i="1"/>
  <c r="M53" i="1"/>
  <c r="P53" i="1"/>
  <c r="S53" i="1"/>
  <c r="T6" i="1"/>
  <c r="U6" i="1" s="1"/>
  <c r="H6" i="1"/>
  <c r="N44" i="1"/>
  <c r="O44" i="1" s="1"/>
  <c r="S13" i="1"/>
  <c r="T13" i="1" s="1"/>
  <c r="U13" i="1" s="1"/>
  <c r="S9" i="1"/>
  <c r="T9" i="1" s="1"/>
  <c r="U9" i="1" s="1"/>
  <c r="P13" i="1"/>
  <c r="Q13" i="1" s="1"/>
  <c r="R13" i="1" s="1"/>
  <c r="P9" i="1"/>
  <c r="Q9" i="1" s="1"/>
  <c r="R9" i="1" s="1"/>
  <c r="M13" i="1"/>
  <c r="N13" i="1" s="1"/>
  <c r="O13" i="1" s="1"/>
  <c r="M9" i="1"/>
  <c r="N9" i="1" s="1"/>
  <c r="O9" i="1" s="1"/>
  <c r="G12" i="1"/>
  <c r="H12" i="1" s="1"/>
  <c r="G8" i="1"/>
  <c r="H8" i="1" s="1"/>
  <c r="J29" i="1"/>
  <c r="K29" i="1" s="1"/>
  <c r="L29" i="1" s="1"/>
  <c r="J25" i="1"/>
  <c r="K25" i="1" s="1"/>
  <c r="L25" i="1" s="1"/>
  <c r="S52" i="1"/>
  <c r="T52" i="1" s="1"/>
  <c r="U52" i="1" s="1"/>
  <c r="S48" i="1"/>
  <c r="T48" i="1" s="1"/>
  <c r="U48" i="1" s="1"/>
  <c r="P52" i="1"/>
  <c r="Q52" i="1" s="1"/>
  <c r="R52" i="1" s="1"/>
  <c r="P48" i="1"/>
  <c r="G49" i="1"/>
  <c r="H49" i="1" s="1"/>
  <c r="M50" i="1"/>
  <c r="N50" i="1" s="1"/>
  <c r="O50" i="1" s="1"/>
  <c r="J60" i="1"/>
  <c r="K60" i="1" s="1"/>
  <c r="L60" i="1" s="1"/>
  <c r="N22" i="1"/>
  <c r="O22" i="1" s="1"/>
  <c r="S24" i="1"/>
  <c r="T24" i="1" s="1"/>
  <c r="U24" i="1" s="1"/>
  <c r="M25" i="1"/>
  <c r="N25" i="1" s="1"/>
  <c r="O25" i="1" s="1"/>
  <c r="G25" i="1"/>
  <c r="H25" i="1" s="1"/>
  <c r="P60" i="1"/>
  <c r="P27" i="1"/>
  <c r="Q27" i="1" s="1"/>
  <c r="R27" i="1" s="1"/>
  <c r="S63" i="1"/>
  <c r="T63" i="1" s="1"/>
  <c r="U63" i="1" s="1"/>
  <c r="G63" i="1"/>
  <c r="H63" i="1" s="1"/>
  <c r="M63" i="1"/>
  <c r="N63" i="1" s="1"/>
  <c r="O63" i="1" s="1"/>
  <c r="T22" i="1"/>
  <c r="U22" i="1" s="1"/>
  <c r="T57" i="1"/>
  <c r="U57" i="1" s="1"/>
  <c r="N57" i="1"/>
  <c r="O57" i="1" s="1"/>
  <c r="H57" i="1"/>
  <c r="S27" i="1"/>
  <c r="T27" i="1" s="1"/>
  <c r="U27" i="1" s="1"/>
  <c r="P26" i="1"/>
  <c r="Q26" i="1" s="1"/>
  <c r="R26" i="1" s="1"/>
  <c r="M28" i="1"/>
  <c r="N28" i="1" s="1"/>
  <c r="O28" i="1" s="1"/>
  <c r="M24" i="1"/>
  <c r="N24" i="1" s="1"/>
  <c r="O24" i="1" s="1"/>
  <c r="G28" i="1"/>
  <c r="H28" i="1" s="1"/>
  <c r="G24" i="1"/>
  <c r="H24" i="1" s="1"/>
  <c r="S62" i="1"/>
  <c r="P63" i="1"/>
  <c r="Q63" i="1" s="1"/>
  <c r="R63" i="1" s="1"/>
  <c r="P59" i="1"/>
  <c r="Q59" i="1" s="1"/>
  <c r="R59" i="1" s="1"/>
  <c r="G62" i="1"/>
  <c r="H62" i="1" s="1"/>
  <c r="M62" i="1"/>
  <c r="N62" i="1" s="1"/>
  <c r="O62" i="1" s="1"/>
  <c r="Q22" i="1"/>
  <c r="R22" i="1" s="1"/>
  <c r="H22" i="1"/>
  <c r="S26" i="1"/>
  <c r="T26" i="1" s="1"/>
  <c r="U26" i="1" s="1"/>
  <c r="P29" i="1"/>
  <c r="Q29" i="1" s="1"/>
  <c r="R29" i="1" s="1"/>
  <c r="P25" i="1"/>
  <c r="Q25" i="1" s="1"/>
  <c r="R25" i="1" s="1"/>
  <c r="M27" i="1"/>
  <c r="N27" i="1" s="1"/>
  <c r="O27" i="1" s="1"/>
  <c r="G27" i="1"/>
  <c r="H27" i="1" s="1"/>
  <c r="S61" i="1"/>
  <c r="T61" i="1" s="1"/>
  <c r="U61" i="1" s="1"/>
  <c r="P62" i="1"/>
  <c r="Q62" i="1" s="1"/>
  <c r="R62" i="1" s="1"/>
  <c r="G61" i="1"/>
  <c r="H61" i="1" s="1"/>
  <c r="M61" i="1"/>
  <c r="N61" i="1" s="1"/>
  <c r="O61" i="1" s="1"/>
  <c r="Q57" i="1"/>
  <c r="R57" i="1" s="1"/>
  <c r="S29" i="1"/>
  <c r="T29" i="1" s="1"/>
  <c r="U29" i="1" s="1"/>
  <c r="S25" i="1"/>
  <c r="T25" i="1" s="1"/>
  <c r="U25" i="1" s="1"/>
  <c r="P28" i="1"/>
  <c r="Q28" i="1" s="1"/>
  <c r="R28" i="1" s="1"/>
  <c r="P24" i="1"/>
  <c r="Q24" i="1" s="1"/>
  <c r="R24" i="1" s="1"/>
  <c r="M26" i="1"/>
  <c r="N26" i="1" s="1"/>
  <c r="O26" i="1" s="1"/>
  <c r="G26" i="1"/>
  <c r="H26" i="1" s="1"/>
  <c r="S64" i="1"/>
  <c r="T64" i="1" s="1"/>
  <c r="U64" i="1" s="1"/>
  <c r="G64" i="1"/>
  <c r="H64" i="1" s="1"/>
  <c r="M64" i="1"/>
  <c r="N64" i="1" s="1"/>
  <c r="O64" i="1" s="1"/>
  <c r="J62" i="1"/>
  <c r="K62" i="1" s="1"/>
  <c r="L62" i="1" s="1"/>
  <c r="J61" i="1"/>
  <c r="K61" i="1" s="1"/>
  <c r="L61" i="1" s="1"/>
  <c r="J34" i="1"/>
  <c r="K34" i="1" s="1"/>
  <c r="L34" i="1" s="1"/>
  <c r="J39" i="1"/>
  <c r="K39" i="1" s="1"/>
  <c r="L39" i="1" s="1"/>
  <c r="J51" i="1"/>
  <c r="K51" i="1" s="1"/>
  <c r="L51" i="1" s="1"/>
  <c r="J37" i="1"/>
  <c r="K37" i="1" s="1"/>
  <c r="L37" i="1" s="1"/>
  <c r="J48" i="1"/>
  <c r="K48" i="1" s="1"/>
  <c r="L48" i="1" s="1"/>
  <c r="W17" i="1"/>
  <c r="W16" i="1"/>
  <c r="K45" i="1"/>
  <c r="L45" i="1" s="1"/>
  <c r="J13" i="1"/>
  <c r="K13" i="1" s="1"/>
  <c r="L13" i="1" s="1"/>
  <c r="J9" i="1"/>
  <c r="K9" i="1" s="1"/>
  <c r="L9" i="1" s="1"/>
  <c r="J50" i="1"/>
  <c r="K50" i="1" s="1"/>
  <c r="L50" i="1" s="1"/>
  <c r="J53" i="1"/>
  <c r="K6" i="1"/>
  <c r="L6" i="1" s="1"/>
  <c r="J12" i="1"/>
  <c r="K12" i="1" s="1"/>
  <c r="L12" i="1" s="1"/>
  <c r="J8" i="1"/>
  <c r="K8" i="1" s="1"/>
  <c r="L8" i="1" s="1"/>
  <c r="J49" i="1"/>
  <c r="K49" i="1" s="1"/>
  <c r="L49" i="1" s="1"/>
  <c r="J33" i="1"/>
  <c r="K33" i="1" s="1"/>
  <c r="L33" i="1" s="1"/>
  <c r="J40" i="1"/>
  <c r="J11" i="1"/>
  <c r="K11" i="1" s="1"/>
  <c r="L11" i="1" s="1"/>
  <c r="J52" i="1"/>
  <c r="K52" i="1" s="1"/>
  <c r="L52" i="1" s="1"/>
  <c r="W42" i="1"/>
  <c r="O52" i="1"/>
  <c r="O42" i="1"/>
  <c r="I35" i="1"/>
  <c r="J46" i="1"/>
  <c r="K46" i="1" s="1"/>
  <c r="L46" i="1" s="1"/>
  <c r="I17" i="1"/>
  <c r="W56" i="1"/>
  <c r="W18" i="1"/>
  <c r="G46" i="1"/>
  <c r="M46" i="1"/>
  <c r="G58" i="1"/>
  <c r="G7" i="1"/>
  <c r="M58" i="1"/>
  <c r="M7" i="1"/>
  <c r="P58" i="1"/>
  <c r="P7" i="1"/>
  <c r="S58" i="1"/>
  <c r="S7" i="1"/>
  <c r="T50" i="1"/>
  <c r="U50" i="1" s="1"/>
  <c r="P21" i="1"/>
  <c r="P43" i="1" s="1"/>
  <c r="H50" i="1"/>
  <c r="N49" i="1"/>
  <c r="O49" i="1" s="1"/>
  <c r="Q61" i="1"/>
  <c r="R61" i="1" s="1"/>
  <c r="G33" i="1"/>
  <c r="J23" i="1"/>
  <c r="M33" i="1"/>
  <c r="P33" i="1"/>
  <c r="S33" i="1"/>
  <c r="Q69" i="1"/>
  <c r="R69" i="1" s="1"/>
  <c r="T49" i="1"/>
  <c r="U49" i="1" s="1"/>
  <c r="J21" i="1"/>
  <c r="J43" i="1" s="1"/>
  <c r="N48" i="1"/>
  <c r="O48" i="1" s="1"/>
  <c r="N60" i="1"/>
  <c r="O60" i="1" s="1"/>
  <c r="G23" i="1"/>
  <c r="J58" i="1"/>
  <c r="J7" i="1"/>
  <c r="M23" i="1"/>
  <c r="P23" i="1"/>
  <c r="S23" i="1"/>
  <c r="K69" i="1"/>
  <c r="Q48" i="1"/>
  <c r="R48" i="1" s="1"/>
  <c r="H69" i="1"/>
  <c r="Q51" i="1"/>
  <c r="R51" i="1" s="1"/>
  <c r="T62" i="1"/>
  <c r="Q60" i="1"/>
  <c r="R60" i="1" s="1"/>
  <c r="S21" i="1"/>
  <c r="S43" i="1" s="1"/>
  <c r="G21" i="1"/>
  <c r="G43" i="1" s="1"/>
  <c r="M21" i="1"/>
  <c r="M43" i="1" s="1"/>
  <c r="P46" i="1"/>
  <c r="S46" i="1"/>
  <c r="V69" i="1" l="1"/>
  <c r="V37" i="1"/>
  <c r="V39" i="1"/>
  <c r="V35" i="1"/>
  <c r="W35" i="1" s="1"/>
  <c r="I64" i="1"/>
  <c r="V64" i="1"/>
  <c r="W64" i="1" s="1"/>
  <c r="I63" i="1"/>
  <c r="V63" i="1"/>
  <c r="W63" i="1" s="1"/>
  <c r="I25" i="1"/>
  <c r="V25" i="1"/>
  <c r="I52" i="1"/>
  <c r="V52" i="1"/>
  <c r="W52" i="1" s="1"/>
  <c r="I13" i="1"/>
  <c r="V13" i="1"/>
  <c r="I29" i="1"/>
  <c r="V29" i="1"/>
  <c r="W29" i="1" s="1"/>
  <c r="I32" i="1"/>
  <c r="V32" i="1"/>
  <c r="I60" i="1"/>
  <c r="V60" i="1"/>
  <c r="W60" i="1" s="1"/>
  <c r="I27" i="1"/>
  <c r="V27" i="1"/>
  <c r="W27" i="1" s="1"/>
  <c r="I62" i="1"/>
  <c r="V62" i="1"/>
  <c r="W62" i="1" s="1"/>
  <c r="I24" i="1"/>
  <c r="V24" i="1"/>
  <c r="I8" i="1"/>
  <c r="V8" i="1"/>
  <c r="W8" i="1" s="1"/>
  <c r="I44" i="1"/>
  <c r="V44" i="1"/>
  <c r="W44" i="1" s="1"/>
  <c r="I34" i="1"/>
  <c r="V34" i="1"/>
  <c r="W34" i="1" s="1"/>
  <c r="I36" i="1"/>
  <c r="V36" i="1"/>
  <c r="W36" i="1" s="1"/>
  <c r="I26" i="1"/>
  <c r="V26" i="1"/>
  <c r="W26" i="1" s="1"/>
  <c r="I61" i="1"/>
  <c r="V61" i="1"/>
  <c r="I22" i="1"/>
  <c r="V22" i="1"/>
  <c r="W22" i="1" s="1"/>
  <c r="I28" i="1"/>
  <c r="V28" i="1"/>
  <c r="W28" i="1" s="1"/>
  <c r="I49" i="1"/>
  <c r="V49" i="1"/>
  <c r="W49" i="1" s="1"/>
  <c r="I12" i="1"/>
  <c r="V12" i="1"/>
  <c r="W12" i="1" s="1"/>
  <c r="I6" i="1"/>
  <c r="V6" i="1"/>
  <c r="W6" i="1" s="1"/>
  <c r="I11" i="1"/>
  <c r="V11" i="1"/>
  <c r="W11" i="1" s="1"/>
  <c r="I45" i="1"/>
  <c r="V45" i="1"/>
  <c r="W45" i="1" s="1"/>
  <c r="I48" i="1"/>
  <c r="V48" i="1"/>
  <c r="I47" i="1"/>
  <c r="V47" i="1"/>
  <c r="W47" i="1" s="1"/>
  <c r="I38" i="1"/>
  <c r="V38" i="1"/>
  <c r="I50" i="1"/>
  <c r="V50" i="1"/>
  <c r="W50" i="1" s="1"/>
  <c r="I57" i="1"/>
  <c r="V57" i="1"/>
  <c r="I9" i="1"/>
  <c r="V9" i="1"/>
  <c r="W9" i="1" s="1"/>
  <c r="I59" i="1"/>
  <c r="V59" i="1"/>
  <c r="W59" i="1" s="1"/>
  <c r="I51" i="1"/>
  <c r="V51" i="1"/>
  <c r="W51" i="1" s="1"/>
  <c r="I10" i="1"/>
  <c r="V10" i="1"/>
  <c r="W10" i="1" s="1"/>
  <c r="P15" i="1"/>
  <c r="W32" i="1"/>
  <c r="G15" i="1"/>
  <c r="H15" i="1" s="1"/>
  <c r="W38" i="1"/>
  <c r="G66" i="1"/>
  <c r="G67" i="1" s="1"/>
  <c r="H67" i="1" s="1"/>
  <c r="S15" i="1"/>
  <c r="M15" i="1"/>
  <c r="N15" i="1" s="1"/>
  <c r="O15" i="1" s="1"/>
  <c r="W68" i="1"/>
  <c r="W39" i="1"/>
  <c r="W61" i="1"/>
  <c r="M66" i="1"/>
  <c r="M67" i="1" s="1"/>
  <c r="N67" i="1" s="1"/>
  <c r="W24" i="1"/>
  <c r="Q21" i="1"/>
  <c r="R21" i="1" s="1"/>
  <c r="W57" i="1"/>
  <c r="W25" i="1"/>
  <c r="W37" i="1"/>
  <c r="J15" i="1"/>
  <c r="K15" i="1" s="1"/>
  <c r="L15" i="1" s="1"/>
  <c r="J41" i="1"/>
  <c r="K41" i="1" s="1"/>
  <c r="L41" i="1" s="1"/>
  <c r="W13" i="1"/>
  <c r="J66" i="1"/>
  <c r="K66" i="1" s="1"/>
  <c r="L66" i="1" s="1"/>
  <c r="K21" i="1"/>
  <c r="L21" i="1" s="1"/>
  <c r="M41" i="1"/>
  <c r="P31" i="1"/>
  <c r="Q31" i="1" s="1"/>
  <c r="R31" i="1" s="1"/>
  <c r="Q33" i="1"/>
  <c r="R33" i="1" s="1"/>
  <c r="T7" i="1"/>
  <c r="U7" i="1" s="1"/>
  <c r="H58" i="1"/>
  <c r="S41" i="1"/>
  <c r="T41" i="1" s="1"/>
  <c r="U41" i="1" s="1"/>
  <c r="M31" i="1"/>
  <c r="N31" i="1" s="1"/>
  <c r="O31" i="1" s="1"/>
  <c r="T23" i="1"/>
  <c r="U23" i="1" s="1"/>
  <c r="N23" i="1"/>
  <c r="O23" i="1" s="1"/>
  <c r="T33" i="1"/>
  <c r="U33" i="1" s="1"/>
  <c r="N58" i="1"/>
  <c r="O58" i="1" s="1"/>
  <c r="H7" i="1"/>
  <c r="N46" i="1"/>
  <c r="O46" i="1" s="1"/>
  <c r="H46" i="1"/>
  <c r="S66" i="1"/>
  <c r="T66" i="1" s="1"/>
  <c r="U66" i="1" s="1"/>
  <c r="K58" i="1"/>
  <c r="L58" i="1" s="1"/>
  <c r="K23" i="1"/>
  <c r="L23" i="1" s="1"/>
  <c r="H33" i="1"/>
  <c r="Q58" i="1"/>
  <c r="R58" i="1" s="1"/>
  <c r="N7" i="1"/>
  <c r="O7" i="1" s="1"/>
  <c r="P41" i="1"/>
  <c r="Q41" i="1" s="1"/>
  <c r="R41" i="1" s="1"/>
  <c r="J54" i="1"/>
  <c r="K54" i="1" s="1"/>
  <c r="L54" i="1" s="1"/>
  <c r="G41" i="1"/>
  <c r="H41" i="1" s="1"/>
  <c r="P66" i="1"/>
  <c r="Q66" i="1" s="1"/>
  <c r="R66" i="1" s="1"/>
  <c r="S31" i="1"/>
  <c r="T31" i="1" s="1"/>
  <c r="U31" i="1" s="1"/>
  <c r="G31" i="1"/>
  <c r="H31" i="1" s="1"/>
  <c r="Q23" i="1"/>
  <c r="R23" i="1" s="1"/>
  <c r="K7" i="1"/>
  <c r="L7" i="1" s="1"/>
  <c r="H23" i="1"/>
  <c r="N33" i="1"/>
  <c r="O33" i="1" s="1"/>
  <c r="T58" i="1"/>
  <c r="U58" i="1" s="1"/>
  <c r="Q7" i="1"/>
  <c r="R7" i="1" s="1"/>
  <c r="N41" i="1"/>
  <c r="O41" i="1" s="1"/>
  <c r="P67" i="1"/>
  <c r="K30" i="1"/>
  <c r="L30" i="1" s="1"/>
  <c r="J31" i="1"/>
  <c r="K65" i="1"/>
  <c r="L65" i="1" s="1"/>
  <c r="Q53" i="1"/>
  <c r="R53" i="1" s="1"/>
  <c r="H53" i="1"/>
  <c r="N21" i="1"/>
  <c r="O21" i="1" s="1"/>
  <c r="U62" i="1"/>
  <c r="Q43" i="1"/>
  <c r="R43" i="1" s="1"/>
  <c r="T53" i="1"/>
  <c r="U53" i="1" s="1"/>
  <c r="P54" i="1"/>
  <c r="N53" i="1"/>
  <c r="O53" i="1" s="1"/>
  <c r="K40" i="1"/>
  <c r="L40" i="1" s="1"/>
  <c r="H21" i="1"/>
  <c r="K43" i="1"/>
  <c r="L43" i="1" s="1"/>
  <c r="I69" i="1"/>
  <c r="W69" i="1"/>
  <c r="L69" i="1"/>
  <c r="Q15" i="1"/>
  <c r="R15" i="1" s="1"/>
  <c r="W48" i="1"/>
  <c r="Q40" i="1"/>
  <c r="R40" i="1" s="1"/>
  <c r="K53" i="1"/>
  <c r="L53" i="1" s="1"/>
  <c r="H40" i="1"/>
  <c r="T46" i="1"/>
  <c r="U46" i="1" s="1"/>
  <c r="T30" i="1"/>
  <c r="U30" i="1" s="1"/>
  <c r="T65" i="1"/>
  <c r="U65" i="1" s="1"/>
  <c r="N30" i="1"/>
  <c r="O30" i="1" s="1"/>
  <c r="N65" i="1"/>
  <c r="O65" i="1" s="1"/>
  <c r="T21" i="1"/>
  <c r="U21" i="1" s="1"/>
  <c r="T40" i="1"/>
  <c r="U40" i="1" s="1"/>
  <c r="N40" i="1"/>
  <c r="O40" i="1" s="1"/>
  <c r="Q46" i="1"/>
  <c r="Q30" i="1"/>
  <c r="R30" i="1" s="1"/>
  <c r="Q65" i="1"/>
  <c r="R65" i="1" s="1"/>
  <c r="H30" i="1"/>
  <c r="H65" i="1"/>
  <c r="T15" i="1"/>
  <c r="U15" i="1" s="1"/>
  <c r="V21" i="1" l="1"/>
  <c r="W21" i="1" s="1"/>
  <c r="V58" i="1"/>
  <c r="W58" i="1" s="1"/>
  <c r="V65" i="1"/>
  <c r="V23" i="1"/>
  <c r="W23" i="1" s="1"/>
  <c r="V33" i="1"/>
  <c r="W33" i="1" s="1"/>
  <c r="V41" i="1"/>
  <c r="V53" i="1"/>
  <c r="W53" i="1" s="1"/>
  <c r="V30" i="1"/>
  <c r="W30" i="1" s="1"/>
  <c r="V40" i="1"/>
  <c r="W40" i="1" s="1"/>
  <c r="V7" i="1"/>
  <c r="W7" i="1" s="1"/>
  <c r="V15" i="1"/>
  <c r="I46" i="1"/>
  <c r="V46" i="1"/>
  <c r="W46" i="1" s="1"/>
  <c r="H66" i="1"/>
  <c r="N66" i="1"/>
  <c r="O66" i="1" s="1"/>
  <c r="J67" i="1"/>
  <c r="K67" i="1" s="1"/>
  <c r="L67" i="1" s="1"/>
  <c r="S67" i="1"/>
  <c r="T67" i="1" s="1"/>
  <c r="I23" i="1"/>
  <c r="I7" i="1"/>
  <c r="I33" i="1"/>
  <c r="I58" i="1"/>
  <c r="T43" i="1"/>
  <c r="U43" i="1" s="1"/>
  <c r="S54" i="1"/>
  <c r="I40" i="1"/>
  <c r="I15" i="1"/>
  <c r="Q54" i="1"/>
  <c r="R54" i="1" s="1"/>
  <c r="I31" i="1"/>
  <c r="R46" i="1"/>
  <c r="I65" i="1"/>
  <c r="W65" i="1"/>
  <c r="H43" i="1"/>
  <c r="G54" i="1"/>
  <c r="I53" i="1"/>
  <c r="Q67" i="1"/>
  <c r="P70" i="1"/>
  <c r="O67" i="1"/>
  <c r="I41" i="1"/>
  <c r="I66" i="1"/>
  <c r="I21" i="1"/>
  <c r="I30" i="1"/>
  <c r="N43" i="1"/>
  <c r="O43" i="1" s="1"/>
  <c r="M54" i="1"/>
  <c r="K31" i="1"/>
  <c r="L31" i="1" s="1"/>
  <c r="I67" i="1"/>
  <c r="V43" i="1" l="1"/>
  <c r="W43" i="1" s="1"/>
  <c r="V66" i="1"/>
  <c r="V67" i="1"/>
  <c r="W67" i="1" s="1"/>
  <c r="V31" i="1"/>
  <c r="W31" i="1" s="1"/>
  <c r="L70" i="1"/>
  <c r="W66" i="1"/>
  <c r="S70" i="1"/>
  <c r="S71" i="1" s="1"/>
  <c r="T71" i="1" s="1"/>
  <c r="J70" i="1"/>
  <c r="J71" i="1" s="1"/>
  <c r="P71" i="1"/>
  <c r="Q71" i="1" s="1"/>
  <c r="W15" i="1"/>
  <c r="I43" i="1"/>
  <c r="W41" i="1"/>
  <c r="T54" i="1"/>
  <c r="U54" i="1" s="1"/>
  <c r="N54" i="1"/>
  <c r="M70" i="1"/>
  <c r="K70" i="1"/>
  <c r="R67" i="1"/>
  <c r="R70" i="1" s="1"/>
  <c r="Q70" i="1"/>
  <c r="U67" i="1"/>
  <c r="H54" i="1"/>
  <c r="G70" i="1"/>
  <c r="V54" i="1" l="1"/>
  <c r="U71" i="1"/>
  <c r="U72" i="1" s="1"/>
  <c r="T72" i="1"/>
  <c r="R71" i="1"/>
  <c r="R72" i="1" s="1"/>
  <c r="Q72" i="1"/>
  <c r="J72" i="1"/>
  <c r="K77" i="1" s="1"/>
  <c r="L77" i="1" s="1"/>
  <c r="L78" i="1" s="1"/>
  <c r="K71" i="1"/>
  <c r="M71" i="1"/>
  <c r="N71" i="1" s="1"/>
  <c r="G71" i="1"/>
  <c r="H71" i="1" s="1"/>
  <c r="U70" i="1"/>
  <c r="T70" i="1"/>
  <c r="S72" i="1"/>
  <c r="T77" i="1" s="1"/>
  <c r="U77" i="1" s="1"/>
  <c r="P72" i="1"/>
  <c r="Q77" i="1" s="1"/>
  <c r="R77" i="1" s="1"/>
  <c r="R78" i="1" s="1"/>
  <c r="I54" i="1"/>
  <c r="H70" i="1"/>
  <c r="O54" i="1"/>
  <c r="O70" i="1" s="1"/>
  <c r="N70" i="1"/>
  <c r="V70" i="1" l="1"/>
  <c r="I71" i="1"/>
  <c r="V71" i="1"/>
  <c r="O71" i="1"/>
  <c r="O72" i="1" s="1"/>
  <c r="N72" i="1"/>
  <c r="K78" i="1"/>
  <c r="L71" i="1"/>
  <c r="L72" i="1" s="1"/>
  <c r="K72" i="1"/>
  <c r="T78" i="1"/>
  <c r="H72" i="1"/>
  <c r="W54" i="1"/>
  <c r="G72" i="1"/>
  <c r="H77" i="1" s="1"/>
  <c r="M72" i="1"/>
  <c r="N77" i="1" s="1"/>
  <c r="O77" i="1" s="1"/>
  <c r="O78" i="1" s="1"/>
  <c r="U78" i="1"/>
  <c r="J78" i="1"/>
  <c r="Q78" i="1"/>
  <c r="I70" i="1"/>
  <c r="V72" i="1" l="1"/>
  <c r="I77" i="1"/>
  <c r="V77" i="1"/>
  <c r="H78" i="1"/>
  <c r="J73" i="1"/>
  <c r="K73" i="1" s="1"/>
  <c r="J74" i="1"/>
  <c r="K74" i="1" s="1"/>
  <c r="L74" i="1" s="1"/>
  <c r="J75" i="1"/>
  <c r="K75" i="1" s="1"/>
  <c r="L75" i="1" s="1"/>
  <c r="W71" i="1"/>
  <c r="G78" i="1"/>
  <c r="G74" i="1" s="1"/>
  <c r="H74" i="1" s="1"/>
  <c r="I72" i="1"/>
  <c r="P78" i="1"/>
  <c r="N78" i="1"/>
  <c r="S78" i="1"/>
  <c r="W70" i="1"/>
  <c r="V78" i="1" l="1"/>
  <c r="I74" i="1"/>
  <c r="L73" i="1"/>
  <c r="L76" i="1" s="1"/>
  <c r="L79" i="1" s="1"/>
  <c r="L80" i="1" s="1"/>
  <c r="K76" i="1"/>
  <c r="K79" i="1" s="1"/>
  <c r="K80" i="1" s="1"/>
  <c r="S75" i="1"/>
  <c r="T75" i="1" s="1"/>
  <c r="U75" i="1" s="1"/>
  <c r="S73" i="1"/>
  <c r="T73" i="1" s="1"/>
  <c r="S74" i="1"/>
  <c r="T74" i="1" s="1"/>
  <c r="U74" i="1" s="1"/>
  <c r="P75" i="1"/>
  <c r="Q75" i="1" s="1"/>
  <c r="R75" i="1" s="1"/>
  <c r="P73" i="1"/>
  <c r="Q73" i="1" s="1"/>
  <c r="R73" i="1" s="1"/>
  <c r="P74" i="1"/>
  <c r="Q74" i="1" s="1"/>
  <c r="G75" i="1"/>
  <c r="H75" i="1" s="1"/>
  <c r="G73" i="1"/>
  <c r="H73" i="1" s="1"/>
  <c r="I78" i="1"/>
  <c r="J76" i="1"/>
  <c r="M78" i="1"/>
  <c r="I73" i="1" l="1"/>
  <c r="I75" i="1"/>
  <c r="U73" i="1"/>
  <c r="U76" i="1" s="1"/>
  <c r="U79" i="1" s="1"/>
  <c r="U80" i="1" s="1"/>
  <c r="T76" i="1"/>
  <c r="T79" i="1" s="1"/>
  <c r="T80" i="1" s="1"/>
  <c r="Q76" i="1"/>
  <c r="Q79" i="1" s="1"/>
  <c r="Q80" i="1" s="1"/>
  <c r="R74" i="1"/>
  <c r="R76" i="1" s="1"/>
  <c r="R79" i="1" s="1"/>
  <c r="R80" i="1" s="1"/>
  <c r="H76" i="1"/>
  <c r="W72" i="1"/>
  <c r="M75" i="1"/>
  <c r="N75" i="1" s="1"/>
  <c r="O75" i="1" s="1"/>
  <c r="M74" i="1"/>
  <c r="N74" i="1" s="1"/>
  <c r="V74" i="1" s="1"/>
  <c r="M73" i="1"/>
  <c r="N73" i="1" s="1"/>
  <c r="O73" i="1" s="1"/>
  <c r="W77" i="1"/>
  <c r="S76" i="1"/>
  <c r="P76" i="1"/>
  <c r="J79" i="1"/>
  <c r="V73" i="1" l="1"/>
  <c r="V75" i="1"/>
  <c r="W75" i="1" s="1"/>
  <c r="H79" i="1"/>
  <c r="N76" i="1"/>
  <c r="N79" i="1" s="1"/>
  <c r="N80" i="1" s="1"/>
  <c r="O74" i="1"/>
  <c r="O76" i="1" s="1"/>
  <c r="O79" i="1" s="1"/>
  <c r="O80" i="1" s="1"/>
  <c r="W74" i="1"/>
  <c r="I76" i="1"/>
  <c r="I79" i="1" s="1"/>
  <c r="I80" i="1" s="1"/>
  <c r="J80" i="1"/>
  <c r="F3" i="10" s="1"/>
  <c r="P79" i="1"/>
  <c r="M76" i="1"/>
  <c r="W78" i="1"/>
  <c r="S79" i="1"/>
  <c r="V76" i="1" l="1"/>
  <c r="H80" i="1"/>
  <c r="V80" i="1" s="1"/>
  <c r="V79" i="1"/>
  <c r="H3" i="10"/>
  <c r="G3" i="10"/>
  <c r="P80" i="1"/>
  <c r="F5" i="10" s="1"/>
  <c r="W73" i="1"/>
  <c r="S80" i="1"/>
  <c r="F6" i="10" s="1"/>
  <c r="M79" i="1"/>
  <c r="H6" i="10" l="1"/>
  <c r="G6" i="10"/>
  <c r="H5" i="10"/>
  <c r="G5" i="10"/>
  <c r="M80" i="1"/>
  <c r="F4" i="10" s="1"/>
  <c r="W76" i="1"/>
  <c r="G4" i="10" l="1"/>
  <c r="H4" i="10"/>
  <c r="W80" i="1"/>
  <c r="W79" i="1"/>
  <c r="G76" i="1" l="1"/>
  <c r="G79" i="1" l="1"/>
  <c r="G80" i="1" l="1"/>
  <c r="F2" i="10" l="1"/>
  <c r="G2" i="10" l="1"/>
  <c r="H2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Fábio Vieira Ribeiro</author>
  </authors>
  <commentList>
    <comment ref="D20" authorId="0" shapeId="0" xr:uid="{00000000-0006-0000-0000-000015000000}">
      <text>
        <r>
          <rPr>
            <b/>
            <sz val="10"/>
            <color rgb="FF000000"/>
            <rFont val="Tahoma"/>
            <family val="2"/>
          </rPr>
          <t>Fábio Vieira Ribeiro: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Valor conforme Decreto no 40.381/2020, do DF, e percentuais da nota do GDF "REAJUSTE DO TRANSPORTE PÚBLICO: ENTENDA CADA TARIFA" (http://www.brasilia.df.gov.br/reajuste-do-transporte-publico-entenda-cada-tarifa/).</t>
        </r>
      </text>
    </comment>
  </commentList>
</comments>
</file>

<file path=xl/sharedStrings.xml><?xml version="1.0" encoding="utf-8"?>
<sst xmlns="http://schemas.openxmlformats.org/spreadsheetml/2006/main" count="339" uniqueCount="224">
  <si>
    <t>Descrição</t>
  </si>
  <si>
    <t>A</t>
  </si>
  <si>
    <t>Salário</t>
  </si>
  <si>
    <t>B</t>
  </si>
  <si>
    <t>C</t>
  </si>
  <si>
    <t>D</t>
  </si>
  <si>
    <t>E</t>
  </si>
  <si>
    <t>Subtotal</t>
  </si>
  <si>
    <t>F</t>
  </si>
  <si>
    <t>FGTS</t>
  </si>
  <si>
    <t>G</t>
  </si>
  <si>
    <t>H</t>
  </si>
  <si>
    <t>Previdência Social</t>
  </si>
  <si>
    <t>I</t>
  </si>
  <si>
    <t>Salário Educação</t>
  </si>
  <si>
    <t>J</t>
  </si>
  <si>
    <t>GIIL-RAT</t>
  </si>
  <si>
    <t>K</t>
  </si>
  <si>
    <t>L</t>
  </si>
  <si>
    <t>M</t>
  </si>
  <si>
    <t>N</t>
  </si>
  <si>
    <t>O</t>
  </si>
  <si>
    <t>Assistência Odontológica</t>
  </si>
  <si>
    <t>P</t>
  </si>
  <si>
    <t>Auxílio Alimentação</t>
  </si>
  <si>
    <t>Q</t>
  </si>
  <si>
    <t>Plano de Saúde</t>
  </si>
  <si>
    <t>R</t>
  </si>
  <si>
    <t>Seguro de Vida/Assistência Funeral</t>
  </si>
  <si>
    <t>Vale-transporte</t>
  </si>
  <si>
    <t>T</t>
  </si>
  <si>
    <t>U</t>
  </si>
  <si>
    <t>Rescisão de Contrato</t>
  </si>
  <si>
    <t>V</t>
  </si>
  <si>
    <t>W</t>
  </si>
  <si>
    <t>Y</t>
  </si>
  <si>
    <t>Auxiliar Administrativo</t>
  </si>
  <si>
    <t>Assistente Administrativo</t>
  </si>
  <si>
    <t>Recepcionista</t>
  </si>
  <si>
    <t>Secretário Executivo I</t>
  </si>
  <si>
    <t>Técnico em Secretariado</t>
  </si>
  <si>
    <t>13º Salário</t>
  </si>
  <si>
    <t>Aviso Prévio Indenizado</t>
  </si>
  <si>
    <t>Multa FGTS</t>
  </si>
  <si>
    <t>Z</t>
  </si>
  <si>
    <t>13º Salário - Aviso Prévio Indenizado</t>
  </si>
  <si>
    <t>AA</t>
  </si>
  <si>
    <t>AB</t>
  </si>
  <si>
    <t>Grupo</t>
  </si>
  <si>
    <t>Benefícios</t>
  </si>
  <si>
    <t>Postos</t>
  </si>
  <si>
    <t>Total</t>
  </si>
  <si>
    <t>Uniforme</t>
  </si>
  <si>
    <t>AC</t>
  </si>
  <si>
    <t>AD</t>
  </si>
  <si>
    <t>Custos Indiretos</t>
  </si>
  <si>
    <t>AE</t>
  </si>
  <si>
    <t>AF</t>
  </si>
  <si>
    <t>AG</t>
  </si>
  <si>
    <t>AH</t>
  </si>
  <si>
    <t>AI</t>
  </si>
  <si>
    <t>COFINS</t>
  </si>
  <si>
    <t>PIS</t>
  </si>
  <si>
    <t>ISS</t>
  </si>
  <si>
    <t>AJ</t>
  </si>
  <si>
    <t>AK</t>
  </si>
  <si>
    <t>AL</t>
  </si>
  <si>
    <t>Lucro</t>
  </si>
  <si>
    <t>Total Geral</t>
  </si>
  <si>
    <t>CITL</t>
  </si>
  <si>
    <t>A*8%</t>
  </si>
  <si>
    <t>A*20%</t>
  </si>
  <si>
    <t>A*2,5%</t>
  </si>
  <si>
    <t>Férias</t>
  </si>
  <si>
    <t>Item</t>
  </si>
  <si>
    <t>Substituição Temporária</t>
  </si>
  <si>
    <t>Pagamento</t>
  </si>
  <si>
    <t>Fato Gerador</t>
  </si>
  <si>
    <t>AM</t>
  </si>
  <si>
    <t>AN</t>
  </si>
  <si>
    <t>Salário/12/28</t>
  </si>
  <si>
    <t>(Salário + Salário/3)/12/28</t>
  </si>
  <si>
    <t>Mensal</t>
  </si>
  <si>
    <t>Mensal e Fato Gerador</t>
  </si>
  <si>
    <t>AO</t>
  </si>
  <si>
    <t>AP</t>
  </si>
  <si>
    <t>Subtotal Custo Empregados</t>
  </si>
  <si>
    <t>AQ</t>
  </si>
  <si>
    <t>AR</t>
  </si>
  <si>
    <t>AS</t>
  </si>
  <si>
    <t>AT</t>
  </si>
  <si>
    <t>AU</t>
  </si>
  <si>
    <t>AV</t>
  </si>
  <si>
    <t>AW</t>
  </si>
  <si>
    <t>Subtotal CITL</t>
  </si>
  <si>
    <t>INCRA</t>
  </si>
  <si>
    <t>Salário/28*26</t>
  </si>
  <si>
    <t>Salário/30*70/28</t>
  </si>
  <si>
    <t>Parâmetros Cálculo Custo Mensal</t>
  </si>
  <si>
    <t>(Salário+Salário/3)/12/28</t>
  </si>
  <si>
    <t>Férias  - Aviso Prévio Indenizado</t>
  </si>
  <si>
    <t>(Salário+Salário/3)/30*70/28</t>
  </si>
  <si>
    <t>AY</t>
  </si>
  <si>
    <t>AZ</t>
  </si>
  <si>
    <t>BA</t>
  </si>
  <si>
    <t>SENAC</t>
  </si>
  <si>
    <t>SESC</t>
  </si>
  <si>
    <t>SEBRAE</t>
  </si>
  <si>
    <t>A*0,2%</t>
  </si>
  <si>
    <t>A*1%</t>
  </si>
  <si>
    <t>A*1,5%</t>
  </si>
  <si>
    <t>A*0,6%</t>
  </si>
  <si>
    <t>A+B+C+D+E+F+G+H+I</t>
  </si>
  <si>
    <t>K+L+M+N+O</t>
  </si>
  <si>
    <t>S</t>
  </si>
  <si>
    <t>Q*8%</t>
  </si>
  <si>
    <t>Q*20%</t>
  </si>
  <si>
    <t>Q*0,2%</t>
  </si>
  <si>
    <t>Q*1%</t>
  </si>
  <si>
    <t>Q*1,5%</t>
  </si>
  <si>
    <t>Q*0,6%</t>
  </si>
  <si>
    <t>Q*2,5%</t>
  </si>
  <si>
    <t>Q+R+S+T+U+U+V+W+Y+Z</t>
  </si>
  <si>
    <t>AB+AC+AD+AE+AF+AG+AH+AI+AJ</t>
  </si>
  <si>
    <t>AB*8%</t>
  </si>
  <si>
    <t>AB*20%</t>
  </si>
  <si>
    <t>AB*2,5%</t>
  </si>
  <si>
    <t>AB*O,2%</t>
  </si>
  <si>
    <t>AB*1%</t>
  </si>
  <si>
    <t>AB*1,5%</t>
  </si>
  <si>
    <t>AB*0,6%</t>
  </si>
  <si>
    <t>AL+AM+AN+AO+AP+AQ+AR+AS+AT+AU+AV+AW</t>
  </si>
  <si>
    <t>(AL+AN+AO)*8%</t>
  </si>
  <si>
    <t>(AL+AN+AO)*20%</t>
  </si>
  <si>
    <t>(AL+AN+AO)*O,2%</t>
  </si>
  <si>
    <t>(AL+AN+AO)*1%</t>
  </si>
  <si>
    <t>(AL+AN+AO)*1,5%</t>
  </si>
  <si>
    <t>(AL+AN+AO)*0,6%</t>
  </si>
  <si>
    <t>BB</t>
  </si>
  <si>
    <t>BC</t>
  </si>
  <si>
    <t>BD</t>
  </si>
  <si>
    <t>BE</t>
  </si>
  <si>
    <t>BF</t>
  </si>
  <si>
    <t>BG</t>
  </si>
  <si>
    <t>BH</t>
  </si>
  <si>
    <t>BI</t>
  </si>
  <si>
    <t>BJ</t>
  </si>
  <si>
    <t>BK</t>
  </si>
  <si>
    <t>BL</t>
  </si>
  <si>
    <t>AZ+BA+BB+BC+BD+BE+BF+BG+BH+BI+BJ+BK</t>
  </si>
  <si>
    <t>(AZ+BB)*8%</t>
  </si>
  <si>
    <t>(AZ+BB)*20%</t>
  </si>
  <si>
    <t>(AZ+BB)*2,5%</t>
  </si>
  <si>
    <t>(AZ+BB)*O,2%</t>
  </si>
  <si>
    <t>(AZ+BB)*1%</t>
  </si>
  <si>
    <t>(AZ+BB)*1,5%</t>
  </si>
  <si>
    <t>(AZ+BB)*0,6%</t>
  </si>
  <si>
    <t>BM</t>
  </si>
  <si>
    <t>BN</t>
  </si>
  <si>
    <t>BO</t>
  </si>
  <si>
    <t>BP</t>
  </si>
  <si>
    <t>BQ</t>
  </si>
  <si>
    <t>BR</t>
  </si>
  <si>
    <t>BS</t>
  </si>
  <si>
    <t>BT</t>
  </si>
  <si>
    <t>BU</t>
  </si>
  <si>
    <t>BV</t>
  </si>
  <si>
    <t>BQ+BR+BS</t>
  </si>
  <si>
    <t>((B+R+AC+AP+BC)*40%)*85,43%</t>
  </si>
  <si>
    <t>Valor Mensal Total (R$)</t>
  </si>
  <si>
    <t>Valor Total (R$)</t>
  </si>
  <si>
    <t>Valor  Total (R$)</t>
  </si>
  <si>
    <t>Base Tributos * 5,00%</t>
  </si>
  <si>
    <t>Planilha de Custos e Formação de Preços</t>
  </si>
  <si>
    <t>Q*2,4546%</t>
  </si>
  <si>
    <t>AB*2,4546%</t>
  </si>
  <si>
    <t>A*2,4546%</t>
  </si>
  <si>
    <t>ADM</t>
  </si>
  <si>
    <t>TRIBUTOS</t>
  </si>
  <si>
    <t>LOTE</t>
  </si>
  <si>
    <t>ITEM</t>
  </si>
  <si>
    <t>DESCRIÇÃO</t>
  </si>
  <si>
    <t>VALOR DO POSTO (MÊS)</t>
  </si>
  <si>
    <t>VALOR DO POSTO (28 MESES)</t>
  </si>
  <si>
    <t>((Salário/30*33)*7,50%)/28</t>
  </si>
  <si>
    <t>Base Tributos * 1,11%</t>
  </si>
  <si>
    <t>Base Tributos * 5,17%</t>
  </si>
  <si>
    <t>Salário/30*((12)*28/12)/28</t>
  </si>
  <si>
    <t>P/30*((12)*28/12)/28</t>
  </si>
  <si>
    <t xml:space="preserve"> Unitário (R$)</t>
  </si>
  <si>
    <t>VALOR MENSAL</t>
  </si>
  <si>
    <t>GLOBAL</t>
  </si>
  <si>
    <t>MENSAL</t>
  </si>
  <si>
    <t>(AZ+BB)*2,4546%</t>
  </si>
  <si>
    <t>(AL+AN+AO)*2,5%</t>
  </si>
  <si>
    <t>(AL+AN+AO)*2,4546%</t>
  </si>
  <si>
    <t>Subtotal Custo Empregados x 1,00%</t>
  </si>
  <si>
    <t xml:space="preserve">(Subtotal Custo Empregados + BP) x (0,95%, 5%, 0,88%, 0,70%, 0,80%) </t>
  </si>
  <si>
    <t>QTD</t>
  </si>
  <si>
    <t>INCRA/ SUDECO</t>
  </si>
  <si>
    <t xml:space="preserve">Orgao/ Entidade </t>
  </si>
  <si>
    <t>Quadro 7 - Valor da Proposta</t>
  </si>
  <si>
    <t>Lote</t>
  </si>
  <si>
    <t>Órgão/Entidade</t>
  </si>
  <si>
    <t>Item 1</t>
  </si>
  <si>
    <t>Item 2</t>
  </si>
  <si>
    <t>Item 3</t>
  </si>
  <si>
    <t>Item 4</t>
  </si>
  <si>
    <t>Item 5</t>
  </si>
  <si>
    <r>
      <t>Global</t>
    </r>
    <r>
      <rPr>
        <b/>
        <vertAlign val="superscript"/>
        <sz val="11"/>
        <rFont val="Garamond"/>
        <family val="1"/>
      </rPr>
      <t>1</t>
    </r>
  </si>
  <si>
    <t>C = A x B</t>
  </si>
  <si>
    <t>F = D x E</t>
  </si>
  <si>
    <t>I = G x H</t>
  </si>
  <si>
    <t>O = M x N</t>
  </si>
  <si>
    <t>U = S x T</t>
  </si>
  <si>
    <t>V = C+F+I+L+O+R+U</t>
  </si>
  <si>
    <t>X = V x 28</t>
  </si>
  <si>
    <t>Quantidade</t>
  </si>
  <si>
    <t>Valor Mensal Unitário (R$)</t>
  </si>
  <si>
    <t>Valor Mensal Total  (R$)</t>
  </si>
  <si>
    <t>R$</t>
  </si>
  <si>
    <t>Valor Total do Lote (R$)</t>
  </si>
  <si>
    <t xml:space="preserve">INCRA </t>
  </si>
  <si>
    <t>SUDECO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</si>
</sst>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&quot;R$&quot;\ #,##0.00"/>
    <numFmt numFmtId="165" formatCode="0.0000"/>
    <numFmt numFmtId="166" formatCode="#,##0.0000_ ;[Red]\-#,##0.0000\ "/>
    <numFmt numFmtId="167" formatCode="_-&quot;R$&quot;* #,##0.00_-;\-&quot;R$&quot;* #,##0.00_-;_-&quot;R$&quot;* &quot;-&quot;??_-;_-@_-"/>
    <numFmt numFmtId="168" formatCode="_(&quot;R$ &quot;* #,##0.00_);_(&quot;R$ &quot;* \(#,##0.00\);_(&quot;R$ &quot;* &quot;-&quot;??_);_(@_)"/>
  </numFmts>
  <fonts count="23">
    <font>
      <sz val="12"/>
      <color theme="1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2"/>
      <color rgb="FF555555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Times"/>
      <family val="1"/>
    </font>
    <font>
      <b/>
      <sz val="12"/>
      <color theme="1"/>
      <name val="Calibri"/>
      <family val="2"/>
      <scheme val="minor"/>
    </font>
    <font>
      <sz val="13"/>
      <color rgb="FFA10000"/>
      <name val="Lato-Bold"/>
    </font>
    <font>
      <sz val="10"/>
      <color rgb="FF000000"/>
      <name val="Times New Roman"/>
      <family val="1"/>
    </font>
    <font>
      <b/>
      <sz val="12"/>
      <name val="Garamond"/>
      <family val="1"/>
    </font>
    <font>
      <b/>
      <sz val="11"/>
      <name val="Garamond"/>
      <family val="1"/>
    </font>
    <font>
      <sz val="11"/>
      <color rgb="FF000000"/>
      <name val="Garamond"/>
      <family val="1"/>
    </font>
    <font>
      <b/>
      <vertAlign val="superscript"/>
      <sz val="11"/>
      <name val="Garamond"/>
      <family val="1"/>
    </font>
    <font>
      <b/>
      <sz val="10"/>
      <name val="Garamond"/>
      <family val="1"/>
    </font>
    <font>
      <sz val="10"/>
      <color rgb="FF000000"/>
      <name val="Garamond"/>
      <family val="1"/>
    </font>
    <font>
      <b/>
      <sz val="11"/>
      <color rgb="FF000000"/>
      <name val="Garamond"/>
      <family val="1"/>
    </font>
    <font>
      <sz val="11"/>
      <name val="Garamond"/>
      <family val="1"/>
    </font>
    <font>
      <b/>
      <sz val="12"/>
      <color rgb="FF000000"/>
      <name val="Garamond"/>
      <family val="1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0625">
        <bgColor theme="0" tint="-0.249977111117893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231F2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3" fillId="0" borderId="0"/>
  </cellStyleXfs>
  <cellXfs count="158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horizontal="right" vertical="center"/>
    </xf>
    <xf numFmtId="8" fontId="6" fillId="0" borderId="1" xfId="0" applyNumberFormat="1" applyFont="1" applyFill="1" applyBorder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/>
    </xf>
    <xf numFmtId="165" fontId="5" fillId="0" borderId="0" xfId="0" applyNumberFormat="1" applyFont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4" fontId="4" fillId="3" borderId="1" xfId="0" applyNumberFormat="1" applyFont="1" applyFill="1" applyBorder="1" applyAlignment="1">
      <alignment vertical="center"/>
    </xf>
    <xf numFmtId="4" fontId="7" fillId="3" borderId="1" xfId="0" applyNumberFormat="1" applyFont="1" applyFill="1" applyBorder="1" applyAlignment="1">
      <alignment vertical="center"/>
    </xf>
    <xf numFmtId="8" fontId="5" fillId="0" borderId="0" xfId="0" applyNumberFormat="1" applyFont="1" applyAlignment="1">
      <alignment vertical="center"/>
    </xf>
    <xf numFmtId="10" fontId="5" fillId="0" borderId="0" xfId="0" applyNumberFormat="1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/>
    </xf>
    <xf numFmtId="10" fontId="5" fillId="0" borderId="0" xfId="2" applyNumberFormat="1" applyFont="1" applyAlignment="1">
      <alignment vertical="center"/>
    </xf>
    <xf numFmtId="10" fontId="10" fillId="0" borderId="1" xfId="2" applyNumberFormat="1" applyFont="1" applyBorder="1" applyAlignment="1">
      <alignment horizontal="center" vertical="center"/>
    </xf>
    <xf numFmtId="9" fontId="5" fillId="0" borderId="0" xfId="2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textRotation="90"/>
    </xf>
    <xf numFmtId="0" fontId="8" fillId="0" borderId="0" xfId="0" applyFont="1" applyAlignment="1">
      <alignment textRotation="90"/>
    </xf>
    <xf numFmtId="4" fontId="6" fillId="3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44" fontId="0" fillId="0" borderId="4" xfId="1" applyFont="1" applyBorder="1"/>
    <xf numFmtId="44" fontId="0" fillId="0" borderId="1" xfId="0" applyNumberFormat="1" applyBorder="1"/>
    <xf numFmtId="0" fontId="0" fillId="0" borderId="1" xfId="0" applyBorder="1" applyAlignment="1">
      <alignment horizontal="center" vertical="center"/>
    </xf>
    <xf numFmtId="44" fontId="0" fillId="0" borderId="1" xfId="0" applyNumberFormat="1" applyBorder="1" applyAlignment="1">
      <alignment horizontal="center"/>
    </xf>
    <xf numFmtId="8" fontId="12" fillId="0" borderId="0" xfId="0" applyNumberFormat="1" applyFont="1"/>
    <xf numFmtId="8" fontId="0" fillId="0" borderId="0" xfId="0" applyNumberFormat="1"/>
    <xf numFmtId="0" fontId="11" fillId="5" borderId="1" xfId="0" applyFont="1" applyFill="1" applyBorder="1" applyAlignment="1">
      <alignment horizontal="center" vertical="center" wrapText="1"/>
    </xf>
    <xf numFmtId="44" fontId="11" fillId="5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10" fontId="5" fillId="0" borderId="4" xfId="0" applyNumberFormat="1" applyFont="1" applyBorder="1" applyAlignment="1">
      <alignment horizontal="center" vertical="center"/>
    </xf>
    <xf numFmtId="10" fontId="5" fillId="0" borderId="5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8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4" fillId="3" borderId="1" xfId="0" applyFont="1" applyFill="1" applyBorder="1" applyAlignment="1">
      <alignment horizontal="center" vertical="center" textRotation="90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8" fontId="6" fillId="0" borderId="4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8" fontId="6" fillId="0" borderId="5" xfId="0" applyNumberFormat="1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10" fontId="5" fillId="0" borderId="4" xfId="0" applyNumberFormat="1" applyFont="1" applyBorder="1" applyAlignment="1">
      <alignment horizontal="center" vertical="center" wrapText="1"/>
    </xf>
    <xf numFmtId="10" fontId="5" fillId="0" borderId="5" xfId="0" applyNumberFormat="1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center" vertical="center" wrapText="1"/>
    </xf>
    <xf numFmtId="3" fontId="3" fillId="2" borderId="5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9" fontId="5" fillId="0" borderId="4" xfId="0" applyNumberFormat="1" applyFont="1" applyBorder="1" applyAlignment="1">
      <alignment horizontal="center" vertical="center"/>
    </xf>
    <xf numFmtId="9" fontId="5" fillId="0" borderId="5" xfId="0" applyNumberFormat="1" applyFont="1" applyBorder="1" applyAlignment="1">
      <alignment horizontal="center" vertical="center"/>
    </xf>
    <xf numFmtId="166" fontId="6" fillId="4" borderId="4" xfId="0" applyNumberFormat="1" applyFont="1" applyFill="1" applyBorder="1" applyAlignment="1">
      <alignment horizontal="center" vertical="center"/>
    </xf>
    <xf numFmtId="166" fontId="6" fillId="4" borderId="5" xfId="0" applyNumberFormat="1" applyFont="1" applyFill="1" applyBorder="1" applyAlignment="1">
      <alignment horizontal="center" vertical="center"/>
    </xf>
    <xf numFmtId="166" fontId="6" fillId="0" borderId="4" xfId="0" applyNumberFormat="1" applyFont="1" applyFill="1" applyBorder="1" applyAlignment="1">
      <alignment horizontal="center" vertical="center"/>
    </xf>
    <xf numFmtId="166" fontId="6" fillId="0" borderId="5" xfId="0" applyNumberFormat="1" applyFont="1" applyFill="1" applyBorder="1" applyAlignment="1">
      <alignment horizontal="center" vertical="center"/>
    </xf>
    <xf numFmtId="9" fontId="6" fillId="4" borderId="4" xfId="0" applyNumberFormat="1" applyFont="1" applyFill="1" applyBorder="1" applyAlignment="1">
      <alignment horizontal="center" vertical="center"/>
    </xf>
    <xf numFmtId="9" fontId="6" fillId="4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textRotation="90" wrapText="1"/>
    </xf>
    <xf numFmtId="0" fontId="4" fillId="3" borderId="8" xfId="0" applyFont="1" applyFill="1" applyBorder="1" applyAlignment="1">
      <alignment horizontal="center" vertical="center" textRotation="90" wrapText="1"/>
    </xf>
    <xf numFmtId="0" fontId="4" fillId="3" borderId="3" xfId="0" applyFont="1" applyFill="1" applyBorder="1" applyAlignment="1">
      <alignment horizontal="center" vertical="center" textRotation="90" wrapText="1"/>
    </xf>
    <xf numFmtId="0" fontId="4" fillId="3" borderId="2" xfId="0" applyFont="1" applyFill="1" applyBorder="1" applyAlignment="1">
      <alignment horizontal="center" vertical="center" textRotation="90"/>
    </xf>
    <xf numFmtId="0" fontId="5" fillId="3" borderId="8" xfId="0" applyFont="1" applyFill="1" applyBorder="1" applyAlignment="1">
      <alignment horizontal="center" vertical="center" textRotation="90"/>
    </xf>
    <xf numFmtId="0" fontId="5" fillId="3" borderId="3" xfId="0" applyFont="1" applyFill="1" applyBorder="1" applyAlignment="1">
      <alignment horizontal="center" vertical="center" textRotation="90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4" fillId="0" borderId="0" xfId="3" applyFont="1" applyAlignment="1">
      <alignment horizontal="center" vertical="center" wrapText="1"/>
    </xf>
    <xf numFmtId="0" fontId="15" fillId="3" borderId="14" xfId="3" applyFont="1" applyFill="1" applyBorder="1" applyAlignment="1">
      <alignment horizontal="center" vertical="center" textRotation="90" wrapText="1"/>
    </xf>
    <xf numFmtId="0" fontId="15" fillId="3" borderId="15" xfId="3" applyFont="1" applyFill="1" applyBorder="1" applyAlignment="1">
      <alignment horizontal="center" vertical="center" textRotation="90" wrapText="1"/>
    </xf>
    <xf numFmtId="0" fontId="15" fillId="3" borderId="16" xfId="3" applyFont="1" applyFill="1" applyBorder="1" applyAlignment="1">
      <alignment horizontal="center" vertical="center" wrapText="1"/>
    </xf>
    <xf numFmtId="0" fontId="15" fillId="3" borderId="17" xfId="3" applyFont="1" applyFill="1" applyBorder="1" applyAlignment="1">
      <alignment horizontal="center" vertical="center" wrapText="1"/>
    </xf>
    <xf numFmtId="0" fontId="15" fillId="3" borderId="18" xfId="3" applyFont="1" applyFill="1" applyBorder="1" applyAlignment="1">
      <alignment horizontal="center" vertical="center" wrapText="1"/>
    </xf>
    <xf numFmtId="0" fontId="15" fillId="3" borderId="19" xfId="3" applyFont="1" applyFill="1" applyBorder="1" applyAlignment="1">
      <alignment horizontal="center" vertical="center" wrapText="1"/>
    </xf>
    <xf numFmtId="0" fontId="16" fillId="0" borderId="0" xfId="3" applyFont="1" applyAlignment="1">
      <alignment horizontal="left" vertical="top"/>
    </xf>
    <xf numFmtId="0" fontId="15" fillId="3" borderId="20" xfId="3" applyFont="1" applyFill="1" applyBorder="1" applyAlignment="1">
      <alignment horizontal="center" vertical="center" textRotation="90" wrapText="1"/>
    </xf>
    <xf numFmtId="0" fontId="15" fillId="3" borderId="21" xfId="3" applyFont="1" applyFill="1" applyBorder="1" applyAlignment="1">
      <alignment horizontal="center" vertical="center" textRotation="90" wrapText="1"/>
    </xf>
    <xf numFmtId="0" fontId="15" fillId="3" borderId="19" xfId="3" applyFont="1" applyFill="1" applyBorder="1" applyAlignment="1">
      <alignment horizontal="center" vertical="center" wrapText="1"/>
    </xf>
    <xf numFmtId="0" fontId="15" fillId="3" borderId="22" xfId="3" applyFont="1" applyFill="1" applyBorder="1" applyAlignment="1">
      <alignment horizontal="center" vertical="center" wrapText="1"/>
    </xf>
    <xf numFmtId="0" fontId="15" fillId="3" borderId="23" xfId="3" applyFont="1" applyFill="1" applyBorder="1" applyAlignment="1">
      <alignment horizontal="center" vertical="center" wrapText="1"/>
    </xf>
    <xf numFmtId="0" fontId="15" fillId="3" borderId="24" xfId="3" applyFont="1" applyFill="1" applyBorder="1" applyAlignment="1">
      <alignment horizontal="center" vertical="center" textRotation="90" wrapText="1"/>
    </xf>
    <xf numFmtId="0" fontId="18" fillId="3" borderId="19" xfId="3" applyFont="1" applyFill="1" applyBorder="1" applyAlignment="1">
      <alignment horizontal="center" vertical="center" wrapText="1"/>
    </xf>
    <xf numFmtId="0" fontId="18" fillId="3" borderId="22" xfId="3" applyFont="1" applyFill="1" applyBorder="1" applyAlignment="1">
      <alignment horizontal="center" vertical="center" wrapText="1"/>
    </xf>
    <xf numFmtId="0" fontId="15" fillId="3" borderId="25" xfId="3" applyFont="1" applyFill="1" applyBorder="1" applyAlignment="1">
      <alignment horizontal="center" vertical="center" textRotation="90" wrapText="1"/>
    </xf>
    <xf numFmtId="0" fontId="15" fillId="3" borderId="26" xfId="3" applyFont="1" applyFill="1" applyBorder="1" applyAlignment="1">
      <alignment horizontal="center" vertical="center" textRotation="90" wrapText="1"/>
    </xf>
    <xf numFmtId="0" fontId="18" fillId="3" borderId="23" xfId="3" applyFont="1" applyFill="1" applyBorder="1" applyAlignment="1">
      <alignment horizontal="center" vertical="center" textRotation="90" wrapText="1"/>
    </xf>
    <xf numFmtId="0" fontId="18" fillId="3" borderId="22" xfId="3" applyFont="1" applyFill="1" applyBorder="1" applyAlignment="1">
      <alignment horizontal="center" vertical="center" textRotation="90" wrapText="1"/>
    </xf>
    <xf numFmtId="0" fontId="18" fillId="3" borderId="24" xfId="3" applyFont="1" applyFill="1" applyBorder="1" applyAlignment="1">
      <alignment horizontal="center" vertical="center" textRotation="90" wrapText="1"/>
    </xf>
    <xf numFmtId="0" fontId="19" fillId="3" borderId="19" xfId="3" applyFont="1" applyFill="1" applyBorder="1" applyAlignment="1">
      <alignment horizontal="center" vertical="center" wrapText="1"/>
    </xf>
    <xf numFmtId="0" fontId="19" fillId="3" borderId="22" xfId="3" applyFont="1" applyFill="1" applyBorder="1" applyAlignment="1">
      <alignment horizontal="center" vertical="center" wrapText="1"/>
    </xf>
    <xf numFmtId="0" fontId="20" fillId="0" borderId="14" xfId="3" applyFont="1" applyBorder="1" applyAlignment="1">
      <alignment horizontal="center" vertical="center" wrapText="1"/>
    </xf>
    <xf numFmtId="0" fontId="20" fillId="0" borderId="27" xfId="3" applyFont="1" applyBorder="1" applyAlignment="1">
      <alignment horizontal="center" vertical="center" wrapText="1"/>
    </xf>
    <xf numFmtId="3" fontId="16" fillId="0" borderId="23" xfId="3" applyNumberFormat="1" applyFont="1" applyBorder="1" applyAlignment="1">
      <alignment horizontal="center" vertical="center" wrapText="1"/>
    </xf>
    <xf numFmtId="167" fontId="16" fillId="0" borderId="22" xfId="3" applyNumberFormat="1" applyFont="1" applyBorder="1" applyAlignment="1">
      <alignment horizontal="center" vertical="center" wrapText="1"/>
    </xf>
    <xf numFmtId="167" fontId="16" fillId="0" borderId="24" xfId="3" applyNumberFormat="1" applyFont="1" applyBorder="1" applyAlignment="1">
      <alignment horizontal="center" vertical="center" wrapText="1"/>
    </xf>
    <xf numFmtId="168" fontId="21" fillId="0" borderId="28" xfId="0" applyNumberFormat="1" applyFont="1" applyBorder="1" applyAlignment="1">
      <alignment vertical="center"/>
    </xf>
    <xf numFmtId="167" fontId="16" fillId="0" borderId="19" xfId="3" applyNumberFormat="1" applyFont="1" applyBorder="1" applyAlignment="1">
      <alignment horizontal="center" vertical="center" wrapText="1"/>
    </xf>
    <xf numFmtId="0" fontId="20" fillId="0" borderId="20" xfId="3" applyFont="1" applyBorder="1" applyAlignment="1">
      <alignment horizontal="center" vertical="center" wrapText="1"/>
    </xf>
    <xf numFmtId="0" fontId="20" fillId="0" borderId="15" xfId="3" applyFont="1" applyBorder="1" applyAlignment="1">
      <alignment horizontal="center" vertical="center" wrapText="1"/>
    </xf>
    <xf numFmtId="3" fontId="16" fillId="0" borderId="29" xfId="3" applyNumberFormat="1" applyFont="1" applyBorder="1" applyAlignment="1">
      <alignment horizontal="center" vertical="center" wrapText="1"/>
    </xf>
    <xf numFmtId="167" fontId="16" fillId="0" borderId="14" xfId="3" applyNumberFormat="1" applyFont="1" applyBorder="1" applyAlignment="1">
      <alignment horizontal="center" vertical="center" wrapText="1"/>
    </xf>
    <xf numFmtId="167" fontId="16" fillId="0" borderId="30" xfId="3" applyNumberFormat="1" applyFont="1" applyBorder="1" applyAlignment="1">
      <alignment horizontal="center" vertical="center" wrapText="1"/>
    </xf>
    <xf numFmtId="167" fontId="16" fillId="0" borderId="31" xfId="3" applyNumberFormat="1" applyFont="1" applyBorder="1" applyAlignment="1">
      <alignment horizontal="center" vertical="center" wrapText="1"/>
    </xf>
    <xf numFmtId="0" fontId="15" fillId="3" borderId="27" xfId="3" applyFont="1" applyFill="1" applyBorder="1" applyAlignment="1">
      <alignment horizontal="center" vertical="center" wrapText="1"/>
    </xf>
    <xf numFmtId="3" fontId="15" fillId="3" borderId="23" xfId="3" applyNumberFormat="1" applyFont="1" applyFill="1" applyBorder="1" applyAlignment="1">
      <alignment horizontal="center" vertical="center" wrapText="1"/>
    </xf>
    <xf numFmtId="0" fontId="15" fillId="6" borderId="17" xfId="3" applyFont="1" applyFill="1" applyBorder="1" applyAlignment="1">
      <alignment vertical="center" wrapText="1"/>
    </xf>
    <xf numFmtId="167" fontId="15" fillId="3" borderId="24" xfId="3" applyNumberFormat="1" applyFont="1" applyFill="1" applyBorder="1" applyAlignment="1">
      <alignment vertical="center" wrapText="1"/>
    </xf>
    <xf numFmtId="167" fontId="22" fillId="3" borderId="32" xfId="3" applyNumberFormat="1" applyFont="1" applyFill="1" applyBorder="1" applyAlignment="1">
      <alignment vertical="center"/>
    </xf>
    <xf numFmtId="167" fontId="22" fillId="3" borderId="33" xfId="3" applyNumberFormat="1" applyFont="1" applyFill="1" applyBorder="1" applyAlignment="1">
      <alignment vertical="center"/>
    </xf>
    <xf numFmtId="3" fontId="16" fillId="0" borderId="0" xfId="3" applyNumberFormat="1" applyFont="1" applyAlignment="1">
      <alignment horizontal="left" vertical="top"/>
    </xf>
  </cellXfs>
  <cellStyles count="4">
    <cellStyle name="Moeda" xfId="1" builtinId="4"/>
    <cellStyle name="Normal" xfId="0" builtinId="0"/>
    <cellStyle name="Normal 3 2" xfId="3" xr:uid="{C0BFB80E-416E-AC4F-80CD-9C10400A45E5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92"/>
  <sheetViews>
    <sheetView topLeftCell="W66" zoomScale="200" zoomScaleNormal="200" workbookViewId="0">
      <selection activeCell="E77" sqref="E77:F77"/>
    </sheetView>
  </sheetViews>
  <sheetFormatPr baseColWidth="10" defaultColWidth="10.83203125" defaultRowHeight="13"/>
  <cols>
    <col min="1" max="1" width="10.33203125" style="37" customWidth="1"/>
    <col min="2" max="2" width="10.6640625" style="37" customWidth="1"/>
    <col min="3" max="3" width="4.6640625" style="2" bestFit="1" customWidth="1"/>
    <col min="4" max="4" width="23.33203125" style="1" customWidth="1"/>
    <col min="5" max="5" width="13.5" style="1" customWidth="1"/>
    <col min="6" max="6" width="18.5" style="1" customWidth="1"/>
    <col min="7" max="7" width="9" style="1" customWidth="1"/>
    <col min="8" max="8" width="12.6640625" style="1" customWidth="1"/>
    <col min="9" max="9" width="13.6640625" style="1" customWidth="1"/>
    <col min="10" max="10" width="9" style="1" customWidth="1"/>
    <col min="11" max="11" width="12.6640625" style="1" customWidth="1"/>
    <col min="12" max="12" width="13.6640625" style="1" customWidth="1"/>
    <col min="13" max="13" width="8.6640625" style="1" customWidth="1"/>
    <col min="14" max="14" width="12.6640625" style="1" customWidth="1"/>
    <col min="15" max="15" width="13.6640625" style="1" customWidth="1"/>
    <col min="16" max="16" width="9.33203125" style="1" customWidth="1"/>
    <col min="17" max="17" width="12.6640625" style="1" customWidth="1"/>
    <col min="18" max="18" width="13.6640625" style="1" customWidth="1"/>
    <col min="19" max="19" width="8.5" style="1" customWidth="1"/>
    <col min="20" max="20" width="12.6640625" style="1" customWidth="1"/>
    <col min="21" max="21" width="13.6640625" style="1" customWidth="1"/>
    <col min="22" max="22" width="12.6640625" style="3" bestFit="1" customWidth="1"/>
    <col min="23" max="23" width="15.1640625" style="3" bestFit="1" customWidth="1"/>
    <col min="24" max="24" width="13" style="1" bestFit="1" customWidth="1"/>
    <col min="25" max="27" width="10.83203125" style="1"/>
    <col min="28" max="28" width="10.83203125" style="3"/>
    <col min="29" max="16384" width="10.83203125" style="1"/>
  </cols>
  <sheetData>
    <row r="1" spans="1:23" ht="16" customHeight="1">
      <c r="A1" s="51" t="s">
        <v>173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</row>
    <row r="2" spans="1:23" ht="15" customHeight="1">
      <c r="A2" s="58" t="s">
        <v>76</v>
      </c>
      <c r="B2" s="54" t="s">
        <v>48</v>
      </c>
      <c r="C2" s="50" t="s">
        <v>74</v>
      </c>
      <c r="D2" s="50" t="s">
        <v>0</v>
      </c>
      <c r="E2" s="91" t="s">
        <v>98</v>
      </c>
      <c r="F2" s="92"/>
      <c r="G2" s="61" t="s">
        <v>36</v>
      </c>
      <c r="H2" s="62"/>
      <c r="I2" s="63"/>
      <c r="J2" s="61" t="s">
        <v>37</v>
      </c>
      <c r="K2" s="62"/>
      <c r="L2" s="63"/>
      <c r="M2" s="61" t="s">
        <v>38</v>
      </c>
      <c r="N2" s="62"/>
      <c r="O2" s="63"/>
      <c r="P2" s="61" t="s">
        <v>39</v>
      </c>
      <c r="Q2" s="62"/>
      <c r="R2" s="63"/>
      <c r="S2" s="61" t="s">
        <v>40</v>
      </c>
      <c r="T2" s="62"/>
      <c r="U2" s="63"/>
      <c r="V2" s="50" t="s">
        <v>51</v>
      </c>
      <c r="W2" s="50"/>
    </row>
    <row r="3" spans="1:23" ht="15" customHeight="1">
      <c r="A3" s="58"/>
      <c r="B3" s="54"/>
      <c r="C3" s="50"/>
      <c r="D3" s="50"/>
      <c r="E3" s="93"/>
      <c r="F3" s="94"/>
      <c r="G3" s="36" t="s">
        <v>50</v>
      </c>
      <c r="H3" s="77" t="s">
        <v>2</v>
      </c>
      <c r="I3" s="78"/>
      <c r="J3" s="36" t="s">
        <v>50</v>
      </c>
      <c r="K3" s="77" t="s">
        <v>2</v>
      </c>
      <c r="L3" s="78"/>
      <c r="M3" s="36" t="s">
        <v>50</v>
      </c>
      <c r="N3" s="77" t="s">
        <v>2</v>
      </c>
      <c r="O3" s="78"/>
      <c r="P3" s="36" t="s">
        <v>50</v>
      </c>
      <c r="Q3" s="77" t="s">
        <v>2</v>
      </c>
      <c r="R3" s="78"/>
      <c r="S3" s="36" t="s">
        <v>50</v>
      </c>
      <c r="T3" s="77" t="s">
        <v>2</v>
      </c>
      <c r="U3" s="78"/>
      <c r="V3" s="90" t="s">
        <v>50</v>
      </c>
      <c r="W3" s="90"/>
    </row>
    <row r="4" spans="1:23" ht="15" customHeight="1">
      <c r="A4" s="58"/>
      <c r="B4" s="54"/>
      <c r="C4" s="50"/>
      <c r="D4" s="50"/>
      <c r="E4" s="93"/>
      <c r="F4" s="94"/>
      <c r="G4" s="35">
        <f>Resumo!E2</f>
        <v>10</v>
      </c>
      <c r="H4" s="79">
        <v>1278.71</v>
      </c>
      <c r="I4" s="80"/>
      <c r="J4" s="35">
        <f>Resumo!E3</f>
        <v>30</v>
      </c>
      <c r="K4" s="79">
        <v>1406.58</v>
      </c>
      <c r="L4" s="80"/>
      <c r="M4" s="35">
        <f>Resumo!E4</f>
        <v>7</v>
      </c>
      <c r="N4" s="79">
        <v>1826.64</v>
      </c>
      <c r="O4" s="80"/>
      <c r="P4" s="35">
        <f>Resumo!E5</f>
        <v>13</v>
      </c>
      <c r="Q4" s="79">
        <v>4440</v>
      </c>
      <c r="R4" s="80"/>
      <c r="S4" s="35">
        <f>Resumo!E6</f>
        <v>144</v>
      </c>
      <c r="T4" s="79">
        <v>2220</v>
      </c>
      <c r="U4" s="80"/>
      <c r="V4" s="90">
        <f>G4+J4+M4+P4+S4</f>
        <v>204</v>
      </c>
      <c r="W4" s="90"/>
    </row>
    <row r="5" spans="1:23" ht="28">
      <c r="A5" s="58"/>
      <c r="B5" s="54"/>
      <c r="C5" s="50"/>
      <c r="D5" s="50"/>
      <c r="E5" s="95"/>
      <c r="F5" s="96"/>
      <c r="G5" s="4" t="s">
        <v>189</v>
      </c>
      <c r="H5" s="4" t="s">
        <v>169</v>
      </c>
      <c r="I5" s="4" t="s">
        <v>170</v>
      </c>
      <c r="J5" s="34" t="s">
        <v>189</v>
      </c>
      <c r="K5" s="29" t="s">
        <v>169</v>
      </c>
      <c r="L5" s="29" t="s">
        <v>170</v>
      </c>
      <c r="M5" s="34" t="s">
        <v>189</v>
      </c>
      <c r="N5" s="29" t="s">
        <v>169</v>
      </c>
      <c r="O5" s="29" t="s">
        <v>170</v>
      </c>
      <c r="P5" s="34" t="s">
        <v>189</v>
      </c>
      <c r="Q5" s="29" t="s">
        <v>169</v>
      </c>
      <c r="R5" s="29" t="s">
        <v>170</v>
      </c>
      <c r="S5" s="34" t="s">
        <v>189</v>
      </c>
      <c r="T5" s="29" t="s">
        <v>169</v>
      </c>
      <c r="U5" s="29" t="s">
        <v>170</v>
      </c>
      <c r="V5" s="6" t="s">
        <v>169</v>
      </c>
      <c r="W5" s="7" t="s">
        <v>171</v>
      </c>
    </row>
    <row r="6" spans="1:23" ht="14" customHeight="1">
      <c r="A6" s="58" t="s">
        <v>82</v>
      </c>
      <c r="B6" s="55" t="s">
        <v>2</v>
      </c>
      <c r="C6" s="8" t="s">
        <v>1</v>
      </c>
      <c r="D6" s="9" t="s">
        <v>2</v>
      </c>
      <c r="E6" s="89" t="s">
        <v>96</v>
      </c>
      <c r="F6" s="65"/>
      <c r="G6" s="10">
        <f>H4/28*26</f>
        <v>1187.3735714285715</v>
      </c>
      <c r="H6" s="10">
        <f t="shared" ref="H6:H37" si="0">G6*$G$4</f>
        <v>11873.735714285714</v>
      </c>
      <c r="I6" s="10">
        <f>H6*28</f>
        <v>332464.59999999998</v>
      </c>
      <c r="J6" s="10">
        <f>K4/28*26</f>
        <v>1306.1099999999999</v>
      </c>
      <c r="K6" s="10">
        <f t="shared" ref="K6:K37" si="1">J6*$J$4</f>
        <v>39183.299999999996</v>
      </c>
      <c r="L6" s="10">
        <f>K6*28</f>
        <v>1097132.3999999999</v>
      </c>
      <c r="M6" s="10">
        <f>N4/28*26</f>
        <v>1696.1657142857143</v>
      </c>
      <c r="N6" s="10">
        <f t="shared" ref="N6:N37" si="2">M6*$M$4</f>
        <v>11873.16</v>
      </c>
      <c r="O6" s="10">
        <f t="shared" ref="O6:O69" si="3">N6*28</f>
        <v>332448.48</v>
      </c>
      <c r="P6" s="10">
        <f>Q4/28*26</f>
        <v>4122.8571428571431</v>
      </c>
      <c r="Q6" s="10">
        <f t="shared" ref="Q6:Q37" si="4">P6*$P$4</f>
        <v>53597.142857142862</v>
      </c>
      <c r="R6" s="10">
        <f>Q6*28</f>
        <v>1500720.0000000002</v>
      </c>
      <c r="S6" s="10">
        <f>T4/28*26</f>
        <v>2061.4285714285716</v>
      </c>
      <c r="T6" s="10">
        <f t="shared" ref="T6:T37" si="5">S6*$S$4</f>
        <v>296845.71428571432</v>
      </c>
      <c r="U6" s="10">
        <f>T6*28</f>
        <v>8311680.0000000009</v>
      </c>
      <c r="V6" s="10">
        <f>H6+K6+N6+Q6+T6</f>
        <v>413373.05285714287</v>
      </c>
      <c r="W6" s="10">
        <f>V6*28</f>
        <v>11574445.48</v>
      </c>
    </row>
    <row r="7" spans="1:23" ht="14" customHeight="1">
      <c r="A7" s="58"/>
      <c r="B7" s="56"/>
      <c r="C7" s="8" t="s">
        <v>3</v>
      </c>
      <c r="D7" s="9" t="s">
        <v>9</v>
      </c>
      <c r="E7" s="89" t="s">
        <v>70</v>
      </c>
      <c r="F7" s="65"/>
      <c r="G7" s="10">
        <f>G6*8%</f>
        <v>94.98988571428572</v>
      </c>
      <c r="H7" s="10">
        <f t="shared" si="0"/>
        <v>949.8988571428572</v>
      </c>
      <c r="I7" s="10">
        <f t="shared" ref="I7:I69" si="6">H7*28</f>
        <v>26597.168000000001</v>
      </c>
      <c r="J7" s="10">
        <f>J6*8%</f>
        <v>104.4888</v>
      </c>
      <c r="K7" s="10">
        <f t="shared" si="1"/>
        <v>3134.6639999999998</v>
      </c>
      <c r="L7" s="10">
        <f t="shared" ref="L7:L69" si="7">K7*28</f>
        <v>87770.59199999999</v>
      </c>
      <c r="M7" s="10">
        <f>M6*8%</f>
        <v>135.69325714285714</v>
      </c>
      <c r="N7" s="10">
        <f t="shared" si="2"/>
        <v>949.85279999999989</v>
      </c>
      <c r="O7" s="10">
        <f t="shared" si="3"/>
        <v>26595.878399999998</v>
      </c>
      <c r="P7" s="10">
        <f>P6*8%</f>
        <v>329.82857142857148</v>
      </c>
      <c r="Q7" s="10">
        <f t="shared" si="4"/>
        <v>4287.7714285714292</v>
      </c>
      <c r="R7" s="10">
        <f t="shared" ref="R7:R69" si="8">Q7*28</f>
        <v>120057.60000000002</v>
      </c>
      <c r="S7" s="10">
        <f>S6*8%</f>
        <v>164.91428571428574</v>
      </c>
      <c r="T7" s="10">
        <f t="shared" si="5"/>
        <v>23747.657142857148</v>
      </c>
      <c r="U7" s="10">
        <f t="shared" ref="U7:U69" si="9">T7*28</f>
        <v>664934.40000000014</v>
      </c>
      <c r="V7" s="10">
        <f t="shared" ref="V7:V70" si="10">H7+K7+N7+Q7+T7</f>
        <v>33069.844228571434</v>
      </c>
      <c r="W7" s="10">
        <f t="shared" ref="W7:W70" si="11">V7*28</f>
        <v>925955.63840000017</v>
      </c>
    </row>
    <row r="8" spans="1:23">
      <c r="A8" s="58"/>
      <c r="B8" s="56"/>
      <c r="C8" s="8" t="s">
        <v>4</v>
      </c>
      <c r="D8" s="9" t="s">
        <v>12</v>
      </c>
      <c r="E8" s="89" t="s">
        <v>71</v>
      </c>
      <c r="F8" s="65"/>
      <c r="G8" s="10">
        <f>G6*20%</f>
        <v>237.4747142857143</v>
      </c>
      <c r="H8" s="10">
        <f t="shared" si="0"/>
        <v>2374.747142857143</v>
      </c>
      <c r="I8" s="10">
        <f t="shared" si="6"/>
        <v>66492.92</v>
      </c>
      <c r="J8" s="10">
        <f>J6*20%</f>
        <v>261.22199999999998</v>
      </c>
      <c r="K8" s="10">
        <f t="shared" si="1"/>
        <v>7836.66</v>
      </c>
      <c r="L8" s="10">
        <f t="shared" si="7"/>
        <v>219426.47999999998</v>
      </c>
      <c r="M8" s="10">
        <f>M6*20%</f>
        <v>339.23314285714287</v>
      </c>
      <c r="N8" s="10">
        <f t="shared" si="2"/>
        <v>2374.6320000000001</v>
      </c>
      <c r="O8" s="10">
        <f t="shared" si="3"/>
        <v>66489.695999999996</v>
      </c>
      <c r="P8" s="10">
        <f>P6*20%</f>
        <v>824.57142857142867</v>
      </c>
      <c r="Q8" s="10">
        <f t="shared" si="4"/>
        <v>10719.428571428572</v>
      </c>
      <c r="R8" s="10">
        <f t="shared" si="8"/>
        <v>300144</v>
      </c>
      <c r="S8" s="10">
        <f>S6*20%</f>
        <v>412.28571428571433</v>
      </c>
      <c r="T8" s="10">
        <f t="shared" si="5"/>
        <v>59369.142857142862</v>
      </c>
      <c r="U8" s="10">
        <f t="shared" si="9"/>
        <v>1662336.0000000002</v>
      </c>
      <c r="V8" s="10">
        <f t="shared" si="10"/>
        <v>82674.61057142858</v>
      </c>
      <c r="W8" s="10">
        <f t="shared" si="11"/>
        <v>2314889.0960000004</v>
      </c>
    </row>
    <row r="9" spans="1:23">
      <c r="A9" s="58"/>
      <c r="B9" s="56"/>
      <c r="C9" s="8" t="s">
        <v>5</v>
      </c>
      <c r="D9" s="9" t="s">
        <v>95</v>
      </c>
      <c r="E9" s="89" t="s">
        <v>108</v>
      </c>
      <c r="F9" s="65"/>
      <c r="G9" s="10">
        <f>G6*0.2%</f>
        <v>2.3747471428571432</v>
      </c>
      <c r="H9" s="10">
        <f t="shared" si="0"/>
        <v>23.74747142857143</v>
      </c>
      <c r="I9" s="10">
        <f>H9*28</f>
        <v>664.92920000000004</v>
      </c>
      <c r="J9" s="10">
        <f>J6*0.2%</f>
        <v>2.6122199999999998</v>
      </c>
      <c r="K9" s="10">
        <f t="shared" si="1"/>
        <v>78.366599999999991</v>
      </c>
      <c r="L9" s="10">
        <f t="shared" si="7"/>
        <v>2194.2647999999999</v>
      </c>
      <c r="M9" s="10">
        <f>M6*0.2%</f>
        <v>3.3923314285714286</v>
      </c>
      <c r="N9" s="10">
        <f t="shared" si="2"/>
        <v>23.746320000000001</v>
      </c>
      <c r="O9" s="10">
        <f t="shared" si="3"/>
        <v>664.89696000000004</v>
      </c>
      <c r="P9" s="10">
        <f>P6*0.2%</f>
        <v>8.2457142857142856</v>
      </c>
      <c r="Q9" s="10">
        <f t="shared" si="4"/>
        <v>107.19428571428571</v>
      </c>
      <c r="R9" s="10">
        <f t="shared" si="8"/>
        <v>3001.44</v>
      </c>
      <c r="S9" s="10">
        <f>S6*0.2%</f>
        <v>4.1228571428571428</v>
      </c>
      <c r="T9" s="10">
        <f t="shared" si="5"/>
        <v>593.69142857142856</v>
      </c>
      <c r="U9" s="10">
        <f t="shared" si="9"/>
        <v>16623.36</v>
      </c>
      <c r="V9" s="10">
        <f t="shared" si="10"/>
        <v>826.7461057142857</v>
      </c>
      <c r="W9" s="10">
        <f t="shared" si="11"/>
        <v>23148.890960000001</v>
      </c>
    </row>
    <row r="10" spans="1:23">
      <c r="A10" s="58"/>
      <c r="B10" s="56"/>
      <c r="C10" s="8" t="s">
        <v>6</v>
      </c>
      <c r="D10" s="9" t="s">
        <v>105</v>
      </c>
      <c r="E10" s="89" t="s">
        <v>109</v>
      </c>
      <c r="F10" s="65"/>
      <c r="G10" s="10">
        <f>G6*1%</f>
        <v>11.873735714285715</v>
      </c>
      <c r="H10" s="10">
        <f t="shared" si="0"/>
        <v>118.73735714285715</v>
      </c>
      <c r="I10" s="10">
        <f t="shared" ref="I10:I12" si="12">H10*28</f>
        <v>3324.6460000000002</v>
      </c>
      <c r="J10" s="10">
        <f>J6*1%</f>
        <v>13.0611</v>
      </c>
      <c r="K10" s="10">
        <f t="shared" si="1"/>
        <v>391.83299999999997</v>
      </c>
      <c r="L10" s="10">
        <f t="shared" si="7"/>
        <v>10971.323999999999</v>
      </c>
      <c r="M10" s="10">
        <f>M6*1%</f>
        <v>16.961657142857142</v>
      </c>
      <c r="N10" s="10">
        <f t="shared" si="2"/>
        <v>118.73159999999999</v>
      </c>
      <c r="O10" s="10">
        <f t="shared" si="3"/>
        <v>3324.4847999999997</v>
      </c>
      <c r="P10" s="10">
        <f>P6*1%</f>
        <v>41.228571428571435</v>
      </c>
      <c r="Q10" s="10">
        <f t="shared" si="4"/>
        <v>535.97142857142865</v>
      </c>
      <c r="R10" s="10">
        <f t="shared" si="8"/>
        <v>15007.200000000003</v>
      </c>
      <c r="S10" s="10">
        <f>S6*1%</f>
        <v>20.614285714285717</v>
      </c>
      <c r="T10" s="10">
        <f t="shared" si="5"/>
        <v>2968.4571428571435</v>
      </c>
      <c r="U10" s="10">
        <f t="shared" si="9"/>
        <v>83116.800000000017</v>
      </c>
      <c r="V10" s="10">
        <f t="shared" si="10"/>
        <v>4133.7305285714292</v>
      </c>
      <c r="W10" s="10">
        <f t="shared" si="11"/>
        <v>115744.45480000002</v>
      </c>
    </row>
    <row r="11" spans="1:23">
      <c r="A11" s="58"/>
      <c r="B11" s="56"/>
      <c r="C11" s="8" t="s">
        <v>8</v>
      </c>
      <c r="D11" s="9" t="s">
        <v>106</v>
      </c>
      <c r="E11" s="89" t="s">
        <v>110</v>
      </c>
      <c r="F11" s="65"/>
      <c r="G11" s="10">
        <f>G6*1.5%</f>
        <v>17.810603571428572</v>
      </c>
      <c r="H11" s="10">
        <f t="shared" si="0"/>
        <v>178.10603571428572</v>
      </c>
      <c r="I11" s="10">
        <f t="shared" si="12"/>
        <v>4986.9690000000001</v>
      </c>
      <c r="J11" s="10">
        <f>J6*1.5%</f>
        <v>19.591649999999998</v>
      </c>
      <c r="K11" s="10">
        <f t="shared" si="1"/>
        <v>587.7494999999999</v>
      </c>
      <c r="L11" s="10">
        <f t="shared" si="7"/>
        <v>16456.985999999997</v>
      </c>
      <c r="M11" s="10">
        <f>M6*1.5%</f>
        <v>25.442485714285713</v>
      </c>
      <c r="N11" s="10">
        <f t="shared" si="2"/>
        <v>178.09739999999999</v>
      </c>
      <c r="O11" s="10">
        <f t="shared" si="3"/>
        <v>4986.7271999999994</v>
      </c>
      <c r="P11" s="10">
        <f>P6*1.5%</f>
        <v>61.842857142857142</v>
      </c>
      <c r="Q11" s="10">
        <f t="shared" si="4"/>
        <v>803.9571428571428</v>
      </c>
      <c r="R11" s="10">
        <f t="shared" si="8"/>
        <v>22510.799999999999</v>
      </c>
      <c r="S11" s="10">
        <f>S6*1.5%</f>
        <v>30.921428571428571</v>
      </c>
      <c r="T11" s="10">
        <f t="shared" si="5"/>
        <v>4452.6857142857143</v>
      </c>
      <c r="U11" s="10">
        <f t="shared" si="9"/>
        <v>124675.2</v>
      </c>
      <c r="V11" s="10">
        <f t="shared" si="10"/>
        <v>6200.5957928571424</v>
      </c>
      <c r="W11" s="10">
        <f t="shared" si="11"/>
        <v>173616.68219999998</v>
      </c>
    </row>
    <row r="12" spans="1:23">
      <c r="A12" s="58"/>
      <c r="B12" s="56"/>
      <c r="C12" s="8" t="s">
        <v>10</v>
      </c>
      <c r="D12" s="9" t="s">
        <v>107</v>
      </c>
      <c r="E12" s="89" t="s">
        <v>111</v>
      </c>
      <c r="F12" s="65"/>
      <c r="G12" s="10">
        <f>G6*0.6%</f>
        <v>7.1242414285714295</v>
      </c>
      <c r="H12" s="10">
        <f t="shared" si="0"/>
        <v>71.24241428571429</v>
      </c>
      <c r="I12" s="10">
        <f t="shared" si="12"/>
        <v>1994.7876000000001</v>
      </c>
      <c r="J12" s="10">
        <f>J6*0.6%</f>
        <v>7.8366599999999993</v>
      </c>
      <c r="K12" s="10">
        <f t="shared" si="1"/>
        <v>235.09979999999999</v>
      </c>
      <c r="L12" s="10">
        <f t="shared" si="7"/>
        <v>6582.7943999999998</v>
      </c>
      <c r="M12" s="10">
        <f>M6*0.6%</f>
        <v>10.176994285714287</v>
      </c>
      <c r="N12" s="10">
        <f t="shared" si="2"/>
        <v>71.238960000000006</v>
      </c>
      <c r="O12" s="10">
        <f t="shared" si="3"/>
        <v>1994.6908800000001</v>
      </c>
      <c r="P12" s="10">
        <f>P6*0.6%</f>
        <v>24.73714285714286</v>
      </c>
      <c r="Q12" s="10">
        <f t="shared" si="4"/>
        <v>321.58285714285716</v>
      </c>
      <c r="R12" s="10">
        <f t="shared" si="8"/>
        <v>9004.32</v>
      </c>
      <c r="S12" s="10">
        <f>S6*0.6%</f>
        <v>12.36857142857143</v>
      </c>
      <c r="T12" s="10">
        <f t="shared" si="5"/>
        <v>1781.0742857142859</v>
      </c>
      <c r="U12" s="10">
        <f t="shared" si="9"/>
        <v>49870.080000000002</v>
      </c>
      <c r="V12" s="10">
        <f t="shared" si="10"/>
        <v>2480.2383171428573</v>
      </c>
      <c r="W12" s="10">
        <f t="shared" si="11"/>
        <v>69446.672879999998</v>
      </c>
    </row>
    <row r="13" spans="1:23">
      <c r="A13" s="58"/>
      <c r="B13" s="56"/>
      <c r="C13" s="8" t="s">
        <v>11</v>
      </c>
      <c r="D13" s="9" t="s">
        <v>14</v>
      </c>
      <c r="E13" s="89" t="s">
        <v>72</v>
      </c>
      <c r="F13" s="65"/>
      <c r="G13" s="10">
        <f>G6*2.5%</f>
        <v>29.684339285714287</v>
      </c>
      <c r="H13" s="10">
        <f t="shared" si="0"/>
        <v>296.84339285714287</v>
      </c>
      <c r="I13" s="10">
        <f t="shared" si="6"/>
        <v>8311.6149999999998</v>
      </c>
      <c r="J13" s="10">
        <f>J6*2.5%</f>
        <v>32.652749999999997</v>
      </c>
      <c r="K13" s="10">
        <f t="shared" si="1"/>
        <v>979.58249999999998</v>
      </c>
      <c r="L13" s="10">
        <f t="shared" si="7"/>
        <v>27428.309999999998</v>
      </c>
      <c r="M13" s="10">
        <f>M6*2.5%</f>
        <v>42.404142857142858</v>
      </c>
      <c r="N13" s="10">
        <f t="shared" si="2"/>
        <v>296.82900000000001</v>
      </c>
      <c r="O13" s="10">
        <f t="shared" si="3"/>
        <v>8311.2119999999995</v>
      </c>
      <c r="P13" s="10">
        <f>P6*2.5%</f>
        <v>103.07142857142858</v>
      </c>
      <c r="Q13" s="10">
        <f t="shared" si="4"/>
        <v>1339.9285714285716</v>
      </c>
      <c r="R13" s="10">
        <f t="shared" si="8"/>
        <v>37518</v>
      </c>
      <c r="S13" s="10">
        <f>S6*2.5%</f>
        <v>51.535714285714292</v>
      </c>
      <c r="T13" s="10">
        <f t="shared" si="5"/>
        <v>7421.1428571428578</v>
      </c>
      <c r="U13" s="10">
        <f t="shared" si="9"/>
        <v>207792.00000000003</v>
      </c>
      <c r="V13" s="10">
        <f t="shared" si="10"/>
        <v>10334.326321428573</v>
      </c>
      <c r="W13" s="10">
        <f t="shared" si="11"/>
        <v>289361.13700000005</v>
      </c>
    </row>
    <row r="14" spans="1:23">
      <c r="A14" s="58"/>
      <c r="B14" s="56"/>
      <c r="C14" s="8" t="s">
        <v>13</v>
      </c>
      <c r="D14" s="9" t="s">
        <v>16</v>
      </c>
      <c r="E14" s="89" t="s">
        <v>176</v>
      </c>
      <c r="F14" s="65"/>
      <c r="G14" s="10">
        <f>G6*2.4546%</f>
        <v>29.145271684285717</v>
      </c>
      <c r="H14" s="10">
        <f t="shared" si="0"/>
        <v>291.45271684285717</v>
      </c>
      <c r="I14" s="10">
        <f t="shared" si="6"/>
        <v>8160.6760716000008</v>
      </c>
      <c r="J14" s="10">
        <f>J6*2.4546%</f>
        <v>32.059776059999997</v>
      </c>
      <c r="K14" s="10">
        <f t="shared" si="1"/>
        <v>961.79328179999993</v>
      </c>
      <c r="L14" s="10">
        <f t="shared" si="7"/>
        <v>26930.211890399998</v>
      </c>
      <c r="M14" s="10">
        <f>M6*2.4546%</f>
        <v>41.634083622857148</v>
      </c>
      <c r="N14" s="10">
        <f t="shared" si="2"/>
        <v>291.43858536000005</v>
      </c>
      <c r="O14" s="10">
        <f t="shared" si="3"/>
        <v>8160.2803900800009</v>
      </c>
      <c r="P14" s="10">
        <f>P6*2.4546%</f>
        <v>101.19965142857144</v>
      </c>
      <c r="Q14" s="10">
        <f t="shared" si="4"/>
        <v>1315.5954685714287</v>
      </c>
      <c r="R14" s="10">
        <f t="shared" si="8"/>
        <v>36836.673120000007</v>
      </c>
      <c r="S14" s="10">
        <f>S6*2.4546%</f>
        <v>50.599825714285721</v>
      </c>
      <c r="T14" s="10">
        <f t="shared" si="5"/>
        <v>7286.3749028571438</v>
      </c>
      <c r="U14" s="10">
        <f t="shared" si="9"/>
        <v>204018.49728000001</v>
      </c>
      <c r="V14" s="10">
        <f t="shared" si="10"/>
        <v>10146.65495543143</v>
      </c>
      <c r="W14" s="10">
        <f t="shared" si="11"/>
        <v>284106.33875208005</v>
      </c>
    </row>
    <row r="15" spans="1:23">
      <c r="A15" s="58"/>
      <c r="B15" s="57"/>
      <c r="C15" s="11" t="s">
        <v>15</v>
      </c>
      <c r="D15" s="12" t="s">
        <v>7</v>
      </c>
      <c r="E15" s="66" t="s">
        <v>112</v>
      </c>
      <c r="F15" s="67"/>
      <c r="G15" s="13">
        <f>SUM(G6:G14)</f>
        <v>1617.8511102557143</v>
      </c>
      <c r="H15" s="13">
        <f t="shared" si="0"/>
        <v>16178.511102557142</v>
      </c>
      <c r="I15" s="13">
        <f t="shared" si="6"/>
        <v>452998.3108716</v>
      </c>
      <c r="J15" s="13">
        <f>SUM(J6:J14)</f>
        <v>1779.6349560599999</v>
      </c>
      <c r="K15" s="13">
        <f t="shared" si="1"/>
        <v>53389.048681799999</v>
      </c>
      <c r="L15" s="13">
        <f t="shared" si="7"/>
        <v>1494893.3630903999</v>
      </c>
      <c r="M15" s="13">
        <f>SUM(M6:M14)</f>
        <v>2311.1038093371435</v>
      </c>
      <c r="N15" s="13">
        <f t="shared" si="2"/>
        <v>16177.726665360005</v>
      </c>
      <c r="O15" s="13">
        <f t="shared" si="3"/>
        <v>452976.34663008014</v>
      </c>
      <c r="P15" s="13">
        <f>SUM(P6:P14)</f>
        <v>5617.5825085714287</v>
      </c>
      <c r="Q15" s="13">
        <f t="shared" si="4"/>
        <v>73028.572611428579</v>
      </c>
      <c r="R15" s="13">
        <f t="shared" si="8"/>
        <v>2044800.0331200003</v>
      </c>
      <c r="S15" s="13">
        <f>SUM(S6:S14)</f>
        <v>2808.7912542857143</v>
      </c>
      <c r="T15" s="13">
        <f t="shared" si="5"/>
        <v>404465.94061714289</v>
      </c>
      <c r="U15" s="13">
        <f t="shared" si="9"/>
        <v>11325046.337280001</v>
      </c>
      <c r="V15" s="39">
        <f t="shared" si="10"/>
        <v>563239.79967828863</v>
      </c>
      <c r="W15" s="13">
        <f t="shared" si="11"/>
        <v>15770714.390992083</v>
      </c>
    </row>
    <row r="16" spans="1:23">
      <c r="A16" s="58"/>
      <c r="B16" s="54" t="s">
        <v>49</v>
      </c>
      <c r="C16" s="8" t="s">
        <v>17</v>
      </c>
      <c r="D16" s="9" t="s">
        <v>22</v>
      </c>
      <c r="E16" s="64"/>
      <c r="F16" s="68"/>
      <c r="G16" s="10">
        <f>E16</f>
        <v>0</v>
      </c>
      <c r="H16" s="10">
        <f t="shared" si="0"/>
        <v>0</v>
      </c>
      <c r="I16" s="10">
        <f t="shared" si="6"/>
        <v>0</v>
      </c>
      <c r="J16" s="10">
        <f>E16</f>
        <v>0</v>
      </c>
      <c r="K16" s="10">
        <f t="shared" si="1"/>
        <v>0</v>
      </c>
      <c r="L16" s="10">
        <f t="shared" si="7"/>
        <v>0</v>
      </c>
      <c r="M16" s="10">
        <f>E16</f>
        <v>0</v>
      </c>
      <c r="N16" s="10">
        <f t="shared" si="2"/>
        <v>0</v>
      </c>
      <c r="O16" s="10">
        <f t="shared" si="3"/>
        <v>0</v>
      </c>
      <c r="P16" s="10">
        <f>E16</f>
        <v>0</v>
      </c>
      <c r="Q16" s="10">
        <f t="shared" si="4"/>
        <v>0</v>
      </c>
      <c r="R16" s="10">
        <f t="shared" si="8"/>
        <v>0</v>
      </c>
      <c r="S16" s="10">
        <f>E16</f>
        <v>0</v>
      </c>
      <c r="T16" s="10">
        <f t="shared" si="5"/>
        <v>0</v>
      </c>
      <c r="U16" s="10">
        <f t="shared" si="9"/>
        <v>0</v>
      </c>
      <c r="V16" s="10">
        <f t="shared" si="10"/>
        <v>0</v>
      </c>
      <c r="W16" s="10">
        <f t="shared" si="11"/>
        <v>0</v>
      </c>
    </row>
    <row r="17" spans="1:26">
      <c r="A17" s="58"/>
      <c r="B17" s="54"/>
      <c r="C17" s="8" t="s">
        <v>18</v>
      </c>
      <c r="D17" s="9" t="s">
        <v>24</v>
      </c>
      <c r="E17" s="64">
        <v>33.619999999999997</v>
      </c>
      <c r="F17" s="68"/>
      <c r="G17" s="10">
        <f>(E17*21)/28*26</f>
        <v>655.59</v>
      </c>
      <c r="H17" s="10">
        <f t="shared" si="0"/>
        <v>6555.9000000000005</v>
      </c>
      <c r="I17" s="10">
        <f t="shared" si="6"/>
        <v>183565.2</v>
      </c>
      <c r="J17" s="10">
        <f>(E17*21)/28*26</f>
        <v>655.59</v>
      </c>
      <c r="K17" s="10">
        <f t="shared" si="1"/>
        <v>19667.7</v>
      </c>
      <c r="L17" s="10">
        <f t="shared" si="7"/>
        <v>550695.6</v>
      </c>
      <c r="M17" s="10">
        <f>(E17*21)/28*26</f>
        <v>655.59</v>
      </c>
      <c r="N17" s="10">
        <f t="shared" si="2"/>
        <v>4589.13</v>
      </c>
      <c r="O17" s="10">
        <f t="shared" si="3"/>
        <v>128495.64</v>
      </c>
      <c r="P17" s="10">
        <f>(E17*21)/28*26</f>
        <v>655.59</v>
      </c>
      <c r="Q17" s="10">
        <f t="shared" si="4"/>
        <v>8522.67</v>
      </c>
      <c r="R17" s="10">
        <f t="shared" si="8"/>
        <v>238634.76</v>
      </c>
      <c r="S17" s="10">
        <f>(E17*21)/28*26</f>
        <v>655.59</v>
      </c>
      <c r="T17" s="10">
        <f t="shared" si="5"/>
        <v>94404.96</v>
      </c>
      <c r="U17" s="10">
        <f t="shared" si="9"/>
        <v>2643338.8800000004</v>
      </c>
      <c r="V17" s="10">
        <f t="shared" si="10"/>
        <v>133740.36000000002</v>
      </c>
      <c r="W17" s="10">
        <f t="shared" si="11"/>
        <v>3744730.0800000005</v>
      </c>
    </row>
    <row r="18" spans="1:26">
      <c r="A18" s="58"/>
      <c r="B18" s="54"/>
      <c r="C18" s="8" t="s">
        <v>19</v>
      </c>
      <c r="D18" s="9" t="s">
        <v>26</v>
      </c>
      <c r="E18" s="64"/>
      <c r="F18" s="68"/>
      <c r="G18" s="10">
        <f>E18</f>
        <v>0</v>
      </c>
      <c r="H18" s="10">
        <f t="shared" si="0"/>
        <v>0</v>
      </c>
      <c r="I18" s="10">
        <f t="shared" si="6"/>
        <v>0</v>
      </c>
      <c r="J18" s="10">
        <f>E18</f>
        <v>0</v>
      </c>
      <c r="K18" s="10">
        <f t="shared" si="1"/>
        <v>0</v>
      </c>
      <c r="L18" s="10">
        <f t="shared" si="7"/>
        <v>0</v>
      </c>
      <c r="M18" s="10">
        <f>E18</f>
        <v>0</v>
      </c>
      <c r="N18" s="10">
        <f t="shared" si="2"/>
        <v>0</v>
      </c>
      <c r="O18" s="10">
        <f t="shared" si="3"/>
        <v>0</v>
      </c>
      <c r="P18" s="10">
        <f>E18</f>
        <v>0</v>
      </c>
      <c r="Q18" s="10">
        <f t="shared" si="4"/>
        <v>0</v>
      </c>
      <c r="R18" s="10">
        <f t="shared" si="8"/>
        <v>0</v>
      </c>
      <c r="S18" s="10">
        <f>E18</f>
        <v>0</v>
      </c>
      <c r="T18" s="10">
        <f t="shared" si="5"/>
        <v>0</v>
      </c>
      <c r="U18" s="10">
        <f t="shared" si="9"/>
        <v>0</v>
      </c>
      <c r="V18" s="10">
        <f t="shared" si="10"/>
        <v>0</v>
      </c>
      <c r="W18" s="10">
        <f t="shared" si="11"/>
        <v>0</v>
      </c>
    </row>
    <row r="19" spans="1:26">
      <c r="A19" s="58"/>
      <c r="B19" s="54"/>
      <c r="C19" s="8" t="s">
        <v>20</v>
      </c>
      <c r="D19" s="9" t="s">
        <v>28</v>
      </c>
      <c r="E19" s="14"/>
      <c r="F19" s="14"/>
      <c r="G19" s="10">
        <f>E19</f>
        <v>0</v>
      </c>
      <c r="H19" s="10">
        <f t="shared" si="0"/>
        <v>0</v>
      </c>
      <c r="I19" s="10">
        <f t="shared" si="6"/>
        <v>0</v>
      </c>
      <c r="J19" s="10">
        <f>E19</f>
        <v>0</v>
      </c>
      <c r="K19" s="10">
        <f t="shared" si="1"/>
        <v>0</v>
      </c>
      <c r="L19" s="10">
        <f t="shared" si="7"/>
        <v>0</v>
      </c>
      <c r="M19" s="10">
        <f>E19</f>
        <v>0</v>
      </c>
      <c r="N19" s="10">
        <f t="shared" si="2"/>
        <v>0</v>
      </c>
      <c r="O19" s="10">
        <f t="shared" si="3"/>
        <v>0</v>
      </c>
      <c r="P19" s="10">
        <f>F19</f>
        <v>0</v>
      </c>
      <c r="Q19" s="10">
        <f t="shared" si="4"/>
        <v>0</v>
      </c>
      <c r="R19" s="10">
        <f t="shared" si="8"/>
        <v>0</v>
      </c>
      <c r="S19" s="10">
        <f>F19</f>
        <v>0</v>
      </c>
      <c r="T19" s="10">
        <f t="shared" si="5"/>
        <v>0</v>
      </c>
      <c r="U19" s="10">
        <f t="shared" si="9"/>
        <v>0</v>
      </c>
      <c r="V19" s="10">
        <f t="shared" si="10"/>
        <v>0</v>
      </c>
      <c r="W19" s="10">
        <f t="shared" si="11"/>
        <v>0</v>
      </c>
    </row>
    <row r="20" spans="1:26">
      <c r="A20" s="58"/>
      <c r="B20" s="54"/>
      <c r="C20" s="8" t="s">
        <v>21</v>
      </c>
      <c r="D20" s="9" t="s">
        <v>29</v>
      </c>
      <c r="E20" s="64">
        <v>4.5</v>
      </c>
      <c r="F20" s="68"/>
      <c r="G20" s="10">
        <f>IF((E20*42)-(H4*6%)&gt;0,((E20*42)-(H4*6%))/28*26,0)</f>
        <v>104.25758571428572</v>
      </c>
      <c r="H20" s="10">
        <f t="shared" si="0"/>
        <v>1042.5758571428573</v>
      </c>
      <c r="I20" s="10">
        <f t="shared" si="6"/>
        <v>29192.124000000003</v>
      </c>
      <c r="J20" s="10">
        <f>IF((E20*42)-(K4*6%)&gt;0,((E20*42)-(K4*6%))/28*26,0)</f>
        <v>97.133400000000009</v>
      </c>
      <c r="K20" s="10">
        <f t="shared" si="1"/>
        <v>2914.0020000000004</v>
      </c>
      <c r="L20" s="10">
        <f t="shared" si="7"/>
        <v>81592.056000000011</v>
      </c>
      <c r="M20" s="10">
        <f>IF((E20*42)-(N4*6%)&gt;0,((E20*42)-(N4*6%))/28*26,0)</f>
        <v>73.730057142857149</v>
      </c>
      <c r="N20" s="10">
        <f t="shared" si="2"/>
        <v>516.11040000000003</v>
      </c>
      <c r="O20" s="10">
        <f t="shared" si="3"/>
        <v>14451.091200000001</v>
      </c>
      <c r="P20" s="10">
        <f>IF((E20*42)-(Q4*6%)&gt;0,((E20*42)-(Q4*6%))/28*26,0)</f>
        <v>0</v>
      </c>
      <c r="Q20" s="10">
        <f t="shared" si="4"/>
        <v>0</v>
      </c>
      <c r="R20" s="10">
        <f t="shared" si="8"/>
        <v>0</v>
      </c>
      <c r="S20" s="10">
        <f>IF((E20*42)-(T4*6%)&gt;0,((E20*42)-(T4*6%))/28*26,0)</f>
        <v>51.814285714285724</v>
      </c>
      <c r="T20" s="10">
        <f t="shared" si="5"/>
        <v>7461.2571428571446</v>
      </c>
      <c r="U20" s="10">
        <f t="shared" si="9"/>
        <v>208915.20000000004</v>
      </c>
      <c r="V20" s="10">
        <f t="shared" si="10"/>
        <v>11933.945400000002</v>
      </c>
      <c r="W20" s="10">
        <f t="shared" si="11"/>
        <v>334150.47120000009</v>
      </c>
    </row>
    <row r="21" spans="1:26">
      <c r="A21" s="58"/>
      <c r="B21" s="54"/>
      <c r="C21" s="11" t="s">
        <v>23</v>
      </c>
      <c r="D21" s="12" t="s">
        <v>7</v>
      </c>
      <c r="E21" s="66" t="s">
        <v>113</v>
      </c>
      <c r="F21" s="67"/>
      <c r="G21" s="13">
        <f>SUM(G16:G20)</f>
        <v>759.84758571428574</v>
      </c>
      <c r="H21" s="13">
        <f t="shared" si="0"/>
        <v>7598.4758571428574</v>
      </c>
      <c r="I21" s="13">
        <f t="shared" si="6"/>
        <v>212757.32400000002</v>
      </c>
      <c r="J21" s="13">
        <f>SUM(J16:J20)</f>
        <v>752.72340000000008</v>
      </c>
      <c r="K21" s="13">
        <f t="shared" si="1"/>
        <v>22581.702000000001</v>
      </c>
      <c r="L21" s="13">
        <f t="shared" si="7"/>
        <v>632287.65600000008</v>
      </c>
      <c r="M21" s="13">
        <f>SUM(M16:M20)</f>
        <v>729.32005714285719</v>
      </c>
      <c r="N21" s="13">
        <f t="shared" si="2"/>
        <v>5105.2404000000006</v>
      </c>
      <c r="O21" s="13">
        <f t="shared" si="3"/>
        <v>142946.73120000001</v>
      </c>
      <c r="P21" s="13">
        <f>SUM(P16:P20)</f>
        <v>655.59</v>
      </c>
      <c r="Q21" s="13">
        <f t="shared" si="4"/>
        <v>8522.67</v>
      </c>
      <c r="R21" s="13">
        <f t="shared" si="8"/>
        <v>238634.76</v>
      </c>
      <c r="S21" s="13">
        <f>SUM(S16:S20)</f>
        <v>707.40428571428572</v>
      </c>
      <c r="T21" s="13">
        <f t="shared" si="5"/>
        <v>101866.21714285715</v>
      </c>
      <c r="U21" s="13">
        <f t="shared" si="9"/>
        <v>2852254.08</v>
      </c>
      <c r="V21" s="39">
        <f t="shared" si="10"/>
        <v>145674.30540000001</v>
      </c>
      <c r="W21" s="13">
        <f t="shared" si="11"/>
        <v>4078880.5512000006</v>
      </c>
      <c r="Z21" s="15"/>
    </row>
    <row r="22" spans="1:26" ht="15" customHeight="1">
      <c r="A22" s="101" t="s">
        <v>77</v>
      </c>
      <c r="B22" s="55" t="s">
        <v>73</v>
      </c>
      <c r="C22" s="16" t="s">
        <v>25</v>
      </c>
      <c r="D22" s="17" t="s">
        <v>73</v>
      </c>
      <c r="E22" s="69" t="s">
        <v>101</v>
      </c>
      <c r="F22" s="70"/>
      <c r="G22" s="5">
        <f>(H4+H4/3)/30*70/28</f>
        <v>142.07888888888891</v>
      </c>
      <c r="H22" s="5">
        <f t="shared" si="0"/>
        <v>1420.7888888888892</v>
      </c>
      <c r="I22" s="5">
        <f t="shared" si="6"/>
        <v>39782.088888888902</v>
      </c>
      <c r="J22" s="5">
        <f>(K4+K4/3)/30*70/28</f>
        <v>156.28666666666666</v>
      </c>
      <c r="K22" s="5">
        <f t="shared" si="1"/>
        <v>4688.5999999999995</v>
      </c>
      <c r="L22" s="5">
        <f t="shared" si="7"/>
        <v>131280.79999999999</v>
      </c>
      <c r="M22" s="5">
        <f>(N4+N4/3)/30*70/28</f>
        <v>202.96</v>
      </c>
      <c r="N22" s="5">
        <f t="shared" si="2"/>
        <v>1420.72</v>
      </c>
      <c r="O22" s="5">
        <f t="shared" si="3"/>
        <v>39780.160000000003</v>
      </c>
      <c r="P22" s="5">
        <f>(Q4+Q4/3)/30*70/28</f>
        <v>493.33333333333337</v>
      </c>
      <c r="Q22" s="5">
        <f t="shared" si="4"/>
        <v>6413.3333333333339</v>
      </c>
      <c r="R22" s="5">
        <f t="shared" si="8"/>
        <v>179573.33333333334</v>
      </c>
      <c r="S22" s="5">
        <f>(T4+T4/3)/30*70/28</f>
        <v>246.66666666666669</v>
      </c>
      <c r="T22" s="5">
        <f t="shared" si="5"/>
        <v>35520</v>
      </c>
      <c r="U22" s="5">
        <f t="shared" si="9"/>
        <v>994560</v>
      </c>
      <c r="V22" s="10">
        <f t="shared" si="10"/>
        <v>49463.44222222222</v>
      </c>
      <c r="W22" s="5">
        <f t="shared" si="11"/>
        <v>1384976.3822222222</v>
      </c>
    </row>
    <row r="23" spans="1:26">
      <c r="A23" s="102"/>
      <c r="B23" s="56"/>
      <c r="C23" s="16" t="s">
        <v>27</v>
      </c>
      <c r="D23" s="17" t="s">
        <v>9</v>
      </c>
      <c r="E23" s="69" t="s">
        <v>115</v>
      </c>
      <c r="F23" s="70"/>
      <c r="G23" s="5">
        <f>G22*8%</f>
        <v>11.366311111111113</v>
      </c>
      <c r="H23" s="5">
        <f t="shared" si="0"/>
        <v>113.66311111111114</v>
      </c>
      <c r="I23" s="5">
        <f t="shared" si="6"/>
        <v>3182.5671111111119</v>
      </c>
      <c r="J23" s="5">
        <f>J22*8%</f>
        <v>12.502933333333333</v>
      </c>
      <c r="K23" s="5">
        <f t="shared" si="1"/>
        <v>375.08799999999997</v>
      </c>
      <c r="L23" s="5">
        <f t="shared" si="7"/>
        <v>10502.464</v>
      </c>
      <c r="M23" s="5">
        <f>M22*8%</f>
        <v>16.236800000000002</v>
      </c>
      <c r="N23" s="5">
        <f t="shared" si="2"/>
        <v>113.65760000000002</v>
      </c>
      <c r="O23" s="5">
        <f t="shared" si="3"/>
        <v>3182.4128000000005</v>
      </c>
      <c r="P23" s="5">
        <f>P22*8%</f>
        <v>39.466666666666669</v>
      </c>
      <c r="Q23" s="5">
        <f t="shared" si="4"/>
        <v>513.06666666666672</v>
      </c>
      <c r="R23" s="5">
        <f t="shared" si="8"/>
        <v>14365.866666666669</v>
      </c>
      <c r="S23" s="5">
        <f>S22*8%</f>
        <v>19.733333333333334</v>
      </c>
      <c r="T23" s="5">
        <f t="shared" si="5"/>
        <v>2841.6000000000004</v>
      </c>
      <c r="U23" s="5">
        <f t="shared" si="9"/>
        <v>79564.800000000017</v>
      </c>
      <c r="V23" s="10">
        <f t="shared" si="10"/>
        <v>3957.0753777777782</v>
      </c>
      <c r="W23" s="5">
        <f t="shared" si="11"/>
        <v>110798.11057777778</v>
      </c>
      <c r="Y23" s="15"/>
      <c r="Z23" s="18"/>
    </row>
    <row r="24" spans="1:26">
      <c r="A24" s="102"/>
      <c r="B24" s="56"/>
      <c r="C24" s="16" t="s">
        <v>114</v>
      </c>
      <c r="D24" s="17" t="s">
        <v>12</v>
      </c>
      <c r="E24" s="69" t="s">
        <v>116</v>
      </c>
      <c r="F24" s="70"/>
      <c r="G24" s="5">
        <f>G22*20%</f>
        <v>28.415777777777784</v>
      </c>
      <c r="H24" s="5">
        <f t="shared" si="0"/>
        <v>284.15777777777782</v>
      </c>
      <c r="I24" s="5">
        <f t="shared" si="6"/>
        <v>7956.4177777777786</v>
      </c>
      <c r="J24" s="5">
        <f>J22*20%</f>
        <v>31.257333333333335</v>
      </c>
      <c r="K24" s="5">
        <f t="shared" si="1"/>
        <v>937.72</v>
      </c>
      <c r="L24" s="5">
        <f t="shared" si="7"/>
        <v>26256.16</v>
      </c>
      <c r="M24" s="5">
        <f>M22*20%</f>
        <v>40.592000000000006</v>
      </c>
      <c r="N24" s="5">
        <f t="shared" si="2"/>
        <v>284.14400000000006</v>
      </c>
      <c r="O24" s="5">
        <f t="shared" si="3"/>
        <v>7956.032000000002</v>
      </c>
      <c r="P24" s="5">
        <f>P22*20%</f>
        <v>98.666666666666686</v>
      </c>
      <c r="Q24" s="5">
        <f t="shared" si="4"/>
        <v>1282.666666666667</v>
      </c>
      <c r="R24" s="5">
        <f t="shared" si="8"/>
        <v>35914.666666666672</v>
      </c>
      <c r="S24" s="5">
        <f>S22*20%</f>
        <v>49.333333333333343</v>
      </c>
      <c r="T24" s="5">
        <f t="shared" si="5"/>
        <v>7104.0000000000018</v>
      </c>
      <c r="U24" s="5">
        <f t="shared" si="9"/>
        <v>198912.00000000006</v>
      </c>
      <c r="V24" s="10">
        <f t="shared" si="10"/>
        <v>9892.6884444444477</v>
      </c>
      <c r="W24" s="5">
        <f t="shared" si="11"/>
        <v>276995.27644444455</v>
      </c>
      <c r="Z24" s="18"/>
    </row>
    <row r="25" spans="1:26">
      <c r="A25" s="102"/>
      <c r="B25" s="56"/>
      <c r="C25" s="16" t="s">
        <v>30</v>
      </c>
      <c r="D25" s="9" t="s">
        <v>95</v>
      </c>
      <c r="E25" s="89" t="s">
        <v>117</v>
      </c>
      <c r="F25" s="65"/>
      <c r="G25" s="5">
        <f>G22*0.2%</f>
        <v>0.28415777777777784</v>
      </c>
      <c r="H25" s="5">
        <f t="shared" si="0"/>
        <v>2.8415777777777782</v>
      </c>
      <c r="I25" s="5">
        <f t="shared" si="6"/>
        <v>79.564177777777786</v>
      </c>
      <c r="J25" s="5">
        <f>J22*0.2%</f>
        <v>0.31257333333333331</v>
      </c>
      <c r="K25" s="5">
        <f t="shared" si="1"/>
        <v>9.3772000000000002</v>
      </c>
      <c r="L25" s="5">
        <f t="shared" si="7"/>
        <v>262.5616</v>
      </c>
      <c r="M25" s="5">
        <f>M22*0.2%</f>
        <v>0.40592</v>
      </c>
      <c r="N25" s="5">
        <f t="shared" si="2"/>
        <v>2.84144</v>
      </c>
      <c r="O25" s="5">
        <f t="shared" si="3"/>
        <v>79.560320000000004</v>
      </c>
      <c r="P25" s="5">
        <f>P22*0.2%</f>
        <v>0.9866666666666668</v>
      </c>
      <c r="Q25" s="5">
        <f t="shared" si="4"/>
        <v>12.826666666666668</v>
      </c>
      <c r="R25" s="5">
        <f t="shared" si="8"/>
        <v>359.1466666666667</v>
      </c>
      <c r="S25" s="5">
        <f>S22*0.2%</f>
        <v>0.4933333333333334</v>
      </c>
      <c r="T25" s="5">
        <f t="shared" si="5"/>
        <v>71.040000000000006</v>
      </c>
      <c r="U25" s="5">
        <f t="shared" si="9"/>
        <v>1989.1200000000001</v>
      </c>
      <c r="V25" s="10">
        <f t="shared" si="10"/>
        <v>98.926884444444454</v>
      </c>
      <c r="W25" s="5">
        <f t="shared" si="11"/>
        <v>2769.9527644444447</v>
      </c>
      <c r="Z25" s="18"/>
    </row>
    <row r="26" spans="1:26">
      <c r="A26" s="102"/>
      <c r="B26" s="56"/>
      <c r="C26" s="16" t="s">
        <v>31</v>
      </c>
      <c r="D26" s="9" t="s">
        <v>105</v>
      </c>
      <c r="E26" s="89" t="s">
        <v>118</v>
      </c>
      <c r="F26" s="65"/>
      <c r="G26" s="5">
        <f>G22*1%</f>
        <v>1.4207888888888891</v>
      </c>
      <c r="H26" s="5">
        <f t="shared" si="0"/>
        <v>14.207888888888892</v>
      </c>
      <c r="I26" s="5">
        <f t="shared" si="6"/>
        <v>397.82088888888899</v>
      </c>
      <c r="J26" s="5">
        <f>J22*1%</f>
        <v>1.5628666666666666</v>
      </c>
      <c r="K26" s="5">
        <f t="shared" si="1"/>
        <v>46.885999999999996</v>
      </c>
      <c r="L26" s="5">
        <f t="shared" si="7"/>
        <v>1312.808</v>
      </c>
      <c r="M26" s="5">
        <f>M22*1%</f>
        <v>2.0296000000000003</v>
      </c>
      <c r="N26" s="5">
        <f t="shared" si="2"/>
        <v>14.207200000000002</v>
      </c>
      <c r="O26" s="5">
        <f t="shared" si="3"/>
        <v>397.80160000000006</v>
      </c>
      <c r="P26" s="5">
        <f>P22*1%</f>
        <v>4.9333333333333336</v>
      </c>
      <c r="Q26" s="5">
        <f t="shared" si="4"/>
        <v>64.13333333333334</v>
      </c>
      <c r="R26" s="5">
        <f t="shared" si="8"/>
        <v>1795.7333333333336</v>
      </c>
      <c r="S26" s="5">
        <f>S22*1%</f>
        <v>2.4666666666666668</v>
      </c>
      <c r="T26" s="5">
        <f t="shared" si="5"/>
        <v>355.20000000000005</v>
      </c>
      <c r="U26" s="5">
        <f t="shared" si="9"/>
        <v>9945.6000000000022</v>
      </c>
      <c r="V26" s="10">
        <f t="shared" si="10"/>
        <v>494.63442222222227</v>
      </c>
      <c r="W26" s="5">
        <f t="shared" si="11"/>
        <v>13849.763822222223</v>
      </c>
      <c r="Z26" s="18"/>
    </row>
    <row r="27" spans="1:26">
      <c r="A27" s="102"/>
      <c r="B27" s="56"/>
      <c r="C27" s="16" t="s">
        <v>33</v>
      </c>
      <c r="D27" s="9" t="s">
        <v>106</v>
      </c>
      <c r="E27" s="89" t="s">
        <v>119</v>
      </c>
      <c r="F27" s="65"/>
      <c r="G27" s="5">
        <f>G22*1.5%</f>
        <v>2.1311833333333334</v>
      </c>
      <c r="H27" s="5">
        <f t="shared" si="0"/>
        <v>21.311833333333333</v>
      </c>
      <c r="I27" s="5">
        <f t="shared" si="6"/>
        <v>596.73133333333328</v>
      </c>
      <c r="J27" s="5">
        <f>J22*1.5%</f>
        <v>2.3443000000000001</v>
      </c>
      <c r="K27" s="5">
        <f t="shared" si="1"/>
        <v>70.329000000000008</v>
      </c>
      <c r="L27" s="5">
        <f t="shared" si="7"/>
        <v>1969.2120000000002</v>
      </c>
      <c r="M27" s="5">
        <f>M22*1.5%</f>
        <v>3.0444</v>
      </c>
      <c r="N27" s="5">
        <f t="shared" si="2"/>
        <v>21.3108</v>
      </c>
      <c r="O27" s="5">
        <f t="shared" si="3"/>
        <v>596.70240000000001</v>
      </c>
      <c r="P27" s="5">
        <f>P22*1.5%</f>
        <v>7.4</v>
      </c>
      <c r="Q27" s="5">
        <f t="shared" si="4"/>
        <v>96.2</v>
      </c>
      <c r="R27" s="5">
        <f t="shared" si="8"/>
        <v>2693.6</v>
      </c>
      <c r="S27" s="5">
        <f>S22*1.5%</f>
        <v>3.7</v>
      </c>
      <c r="T27" s="5">
        <f t="shared" si="5"/>
        <v>532.80000000000007</v>
      </c>
      <c r="U27" s="5">
        <f t="shared" si="9"/>
        <v>14918.400000000001</v>
      </c>
      <c r="V27" s="10">
        <f t="shared" si="10"/>
        <v>741.95163333333335</v>
      </c>
      <c r="W27" s="5">
        <f t="shared" si="11"/>
        <v>20774.645733333335</v>
      </c>
      <c r="Z27" s="18"/>
    </row>
    <row r="28" spans="1:26">
      <c r="A28" s="102"/>
      <c r="B28" s="56"/>
      <c r="C28" s="16" t="s">
        <v>34</v>
      </c>
      <c r="D28" s="9" t="s">
        <v>107</v>
      </c>
      <c r="E28" s="89" t="s">
        <v>120</v>
      </c>
      <c r="F28" s="65"/>
      <c r="G28" s="5">
        <f>G22*0.6%</f>
        <v>0.85247333333333353</v>
      </c>
      <c r="H28" s="5">
        <f t="shared" si="0"/>
        <v>8.5247333333333355</v>
      </c>
      <c r="I28" s="5">
        <f t="shared" si="6"/>
        <v>238.69253333333339</v>
      </c>
      <c r="J28" s="5">
        <f>J22*0.6%</f>
        <v>0.93772</v>
      </c>
      <c r="K28" s="5">
        <f t="shared" si="1"/>
        <v>28.131599999999999</v>
      </c>
      <c r="L28" s="5">
        <f t="shared" si="7"/>
        <v>787.6848</v>
      </c>
      <c r="M28" s="5">
        <f>M22*0.6%</f>
        <v>1.2177600000000002</v>
      </c>
      <c r="N28" s="5">
        <f t="shared" si="2"/>
        <v>8.5243200000000012</v>
      </c>
      <c r="O28" s="5">
        <f t="shared" si="3"/>
        <v>238.68096000000003</v>
      </c>
      <c r="P28" s="5">
        <f>P22*0.6%</f>
        <v>2.9600000000000004</v>
      </c>
      <c r="Q28" s="5">
        <f t="shared" si="4"/>
        <v>38.480000000000004</v>
      </c>
      <c r="R28" s="5">
        <f t="shared" si="8"/>
        <v>1077.44</v>
      </c>
      <c r="S28" s="5">
        <f>S22*0.6%</f>
        <v>1.4800000000000002</v>
      </c>
      <c r="T28" s="5">
        <f t="shared" si="5"/>
        <v>213.12000000000003</v>
      </c>
      <c r="U28" s="5">
        <f t="shared" si="9"/>
        <v>5967.3600000000006</v>
      </c>
      <c r="V28" s="10">
        <f t="shared" si="10"/>
        <v>296.78065333333336</v>
      </c>
      <c r="W28" s="5">
        <f t="shared" si="11"/>
        <v>8309.8582933333346</v>
      </c>
      <c r="Z28" s="18"/>
    </row>
    <row r="29" spans="1:26">
      <c r="A29" s="102"/>
      <c r="B29" s="56"/>
      <c r="C29" s="16" t="s">
        <v>35</v>
      </c>
      <c r="D29" s="17" t="s">
        <v>14</v>
      </c>
      <c r="E29" s="69" t="s">
        <v>121</v>
      </c>
      <c r="F29" s="70"/>
      <c r="G29" s="5">
        <f>G22*2.5%</f>
        <v>3.551972222222223</v>
      </c>
      <c r="H29" s="5">
        <f t="shared" si="0"/>
        <v>35.519722222222228</v>
      </c>
      <c r="I29" s="5">
        <f t="shared" si="6"/>
        <v>994.55222222222233</v>
      </c>
      <c r="J29" s="5">
        <f>J22*2.5%</f>
        <v>3.9071666666666669</v>
      </c>
      <c r="K29" s="5">
        <f t="shared" si="1"/>
        <v>117.215</v>
      </c>
      <c r="L29" s="5">
        <f t="shared" si="7"/>
        <v>3282.02</v>
      </c>
      <c r="M29" s="5">
        <f>M22*2.5%</f>
        <v>5.0740000000000007</v>
      </c>
      <c r="N29" s="5">
        <f t="shared" si="2"/>
        <v>35.518000000000008</v>
      </c>
      <c r="O29" s="5">
        <f t="shared" si="3"/>
        <v>994.50400000000025</v>
      </c>
      <c r="P29" s="5">
        <f>P22*2.5%</f>
        <v>12.333333333333336</v>
      </c>
      <c r="Q29" s="5">
        <f t="shared" si="4"/>
        <v>160.33333333333337</v>
      </c>
      <c r="R29" s="5">
        <f t="shared" si="8"/>
        <v>4489.3333333333339</v>
      </c>
      <c r="S29" s="5">
        <f>S22*2.5%</f>
        <v>6.1666666666666679</v>
      </c>
      <c r="T29" s="5">
        <f t="shared" si="5"/>
        <v>888.00000000000023</v>
      </c>
      <c r="U29" s="5">
        <f t="shared" si="9"/>
        <v>24864.000000000007</v>
      </c>
      <c r="V29" s="10">
        <f t="shared" si="10"/>
        <v>1236.586055555556</v>
      </c>
      <c r="W29" s="5">
        <f t="shared" si="11"/>
        <v>34624.409555555569</v>
      </c>
    </row>
    <row r="30" spans="1:26">
      <c r="A30" s="102"/>
      <c r="B30" s="56"/>
      <c r="C30" s="16" t="s">
        <v>44</v>
      </c>
      <c r="D30" s="17" t="s">
        <v>16</v>
      </c>
      <c r="E30" s="69" t="s">
        <v>174</v>
      </c>
      <c r="F30" s="70"/>
      <c r="G30" s="5">
        <f>G22*2.4546%</f>
        <v>3.4874684066666677</v>
      </c>
      <c r="H30" s="5">
        <f t="shared" si="0"/>
        <v>34.874684066666674</v>
      </c>
      <c r="I30" s="5">
        <f t="shared" si="6"/>
        <v>976.49115386666688</v>
      </c>
      <c r="J30" s="5">
        <f>J22*2.4546%</f>
        <v>3.8362125200000001</v>
      </c>
      <c r="K30" s="5">
        <f t="shared" si="1"/>
        <v>115.0863756</v>
      </c>
      <c r="L30" s="5">
        <f t="shared" si="7"/>
        <v>3222.4185167999999</v>
      </c>
      <c r="M30" s="5">
        <f>M22*2.4546%</f>
        <v>4.9818561600000004</v>
      </c>
      <c r="N30" s="5">
        <f t="shared" si="2"/>
        <v>34.872993120000004</v>
      </c>
      <c r="O30" s="5">
        <f t="shared" si="3"/>
        <v>976.44380736000016</v>
      </c>
      <c r="P30" s="5">
        <f>P22*2.4546%</f>
        <v>12.109360000000002</v>
      </c>
      <c r="Q30" s="5">
        <f t="shared" si="4"/>
        <v>157.42168000000004</v>
      </c>
      <c r="R30" s="5">
        <f t="shared" si="8"/>
        <v>4407.8070400000015</v>
      </c>
      <c r="S30" s="5">
        <f>S22*2.4546%</f>
        <v>6.0546800000000012</v>
      </c>
      <c r="T30" s="5">
        <f t="shared" si="5"/>
        <v>871.87392000000023</v>
      </c>
      <c r="U30" s="5">
        <f t="shared" si="9"/>
        <v>24412.469760000007</v>
      </c>
      <c r="V30" s="10">
        <f t="shared" si="10"/>
        <v>1214.1296527866671</v>
      </c>
      <c r="W30" s="5">
        <f t="shared" si="11"/>
        <v>33995.630278026678</v>
      </c>
    </row>
    <row r="31" spans="1:26">
      <c r="A31" s="102"/>
      <c r="B31" s="57"/>
      <c r="C31" s="11" t="s">
        <v>46</v>
      </c>
      <c r="D31" s="12" t="s">
        <v>7</v>
      </c>
      <c r="E31" s="66" t="s">
        <v>122</v>
      </c>
      <c r="F31" s="67"/>
      <c r="G31" s="13">
        <f>SUM(G22:G30)</f>
        <v>193.58902174000002</v>
      </c>
      <c r="H31" s="13">
        <f t="shared" si="0"/>
        <v>1935.8902174000002</v>
      </c>
      <c r="I31" s="13">
        <f t="shared" si="6"/>
        <v>54204.926087200009</v>
      </c>
      <c r="J31" s="13">
        <f>SUM(J22:J30)</f>
        <v>212.94777252000006</v>
      </c>
      <c r="K31" s="13">
        <f t="shared" si="1"/>
        <v>6388.433175600002</v>
      </c>
      <c r="L31" s="13">
        <f t="shared" si="7"/>
        <v>178876.12891680005</v>
      </c>
      <c r="M31" s="13">
        <f>SUM(M22:M30)</f>
        <v>276.54233615999999</v>
      </c>
      <c r="N31" s="13">
        <f t="shared" si="2"/>
        <v>1935.7963531199998</v>
      </c>
      <c r="O31" s="13">
        <f t="shared" si="3"/>
        <v>54202.297887359993</v>
      </c>
      <c r="P31" s="13">
        <f>SUM(P22:P30)</f>
        <v>672.18936000000008</v>
      </c>
      <c r="Q31" s="13">
        <f t="shared" si="4"/>
        <v>8738.4616800000003</v>
      </c>
      <c r="R31" s="13">
        <f t="shared" si="8"/>
        <v>244676.92704000001</v>
      </c>
      <c r="S31" s="13">
        <f>SUM(S22:S30)</f>
        <v>336.09468000000004</v>
      </c>
      <c r="T31" s="13">
        <f t="shared" si="5"/>
        <v>48397.633920000007</v>
      </c>
      <c r="U31" s="13">
        <f t="shared" si="9"/>
        <v>1355133.7497600003</v>
      </c>
      <c r="V31" s="39">
        <f t="shared" si="10"/>
        <v>67396.215346120007</v>
      </c>
      <c r="W31" s="13">
        <f t="shared" si="11"/>
        <v>1887094.0296913602</v>
      </c>
    </row>
    <row r="32" spans="1:26" ht="15" customHeight="1">
      <c r="A32" s="102"/>
      <c r="B32" s="55" t="s">
        <v>41</v>
      </c>
      <c r="C32" s="16" t="s">
        <v>47</v>
      </c>
      <c r="D32" s="17" t="s">
        <v>41</v>
      </c>
      <c r="E32" s="69" t="s">
        <v>97</v>
      </c>
      <c r="F32" s="70"/>
      <c r="G32" s="5">
        <f>H4/30*70/28</f>
        <v>106.55916666666667</v>
      </c>
      <c r="H32" s="5">
        <f t="shared" si="0"/>
        <v>1065.5916666666667</v>
      </c>
      <c r="I32" s="5">
        <f t="shared" si="6"/>
        <v>29836.566666666666</v>
      </c>
      <c r="J32" s="5">
        <f>K4/30*70/28</f>
        <v>117.21499999999999</v>
      </c>
      <c r="K32" s="5">
        <f t="shared" si="1"/>
        <v>3516.45</v>
      </c>
      <c r="L32" s="5">
        <f t="shared" si="7"/>
        <v>98460.599999999991</v>
      </c>
      <c r="M32" s="5">
        <f>N4/30*70/28</f>
        <v>152.22000000000003</v>
      </c>
      <c r="N32" s="5">
        <f t="shared" si="2"/>
        <v>1065.5400000000002</v>
      </c>
      <c r="O32" s="5">
        <f t="shared" si="3"/>
        <v>29835.120000000006</v>
      </c>
      <c r="P32" s="5">
        <f>Q4/30*70/28</f>
        <v>370</v>
      </c>
      <c r="Q32" s="5">
        <f t="shared" si="4"/>
        <v>4810</v>
      </c>
      <c r="R32" s="5">
        <f t="shared" si="8"/>
        <v>134680</v>
      </c>
      <c r="S32" s="5">
        <f>T4/30*70/28</f>
        <v>185</v>
      </c>
      <c r="T32" s="5">
        <f t="shared" si="5"/>
        <v>26640</v>
      </c>
      <c r="U32" s="5">
        <f t="shared" si="9"/>
        <v>745920</v>
      </c>
      <c r="V32" s="10">
        <f t="shared" si="10"/>
        <v>37097.581666666665</v>
      </c>
      <c r="W32" s="5">
        <f t="shared" si="11"/>
        <v>1038732.2866666666</v>
      </c>
    </row>
    <row r="33" spans="1:23">
      <c r="A33" s="102"/>
      <c r="B33" s="56"/>
      <c r="C33" s="16" t="s">
        <v>53</v>
      </c>
      <c r="D33" s="17" t="s">
        <v>9</v>
      </c>
      <c r="E33" s="69" t="s">
        <v>124</v>
      </c>
      <c r="F33" s="70"/>
      <c r="G33" s="5">
        <f>G32*8%</f>
        <v>8.5247333333333337</v>
      </c>
      <c r="H33" s="5">
        <f t="shared" si="0"/>
        <v>85.24733333333333</v>
      </c>
      <c r="I33" s="5">
        <f t="shared" si="6"/>
        <v>2386.9253333333331</v>
      </c>
      <c r="J33" s="5">
        <f>J32*8%</f>
        <v>9.3772000000000002</v>
      </c>
      <c r="K33" s="5">
        <f t="shared" si="1"/>
        <v>281.31600000000003</v>
      </c>
      <c r="L33" s="5">
        <f t="shared" si="7"/>
        <v>7876.8480000000009</v>
      </c>
      <c r="M33" s="5">
        <f>M32*8%</f>
        <v>12.177600000000002</v>
      </c>
      <c r="N33" s="5">
        <f t="shared" si="2"/>
        <v>85.243200000000016</v>
      </c>
      <c r="O33" s="5">
        <f t="shared" si="3"/>
        <v>2386.8096000000005</v>
      </c>
      <c r="P33" s="5">
        <f>P32*8%</f>
        <v>29.6</v>
      </c>
      <c r="Q33" s="5">
        <f t="shared" si="4"/>
        <v>384.8</v>
      </c>
      <c r="R33" s="5">
        <f t="shared" si="8"/>
        <v>10774.4</v>
      </c>
      <c r="S33" s="5">
        <f>S32*8%</f>
        <v>14.8</v>
      </c>
      <c r="T33" s="5">
        <f t="shared" si="5"/>
        <v>2131.2000000000003</v>
      </c>
      <c r="U33" s="5">
        <f t="shared" si="9"/>
        <v>59673.600000000006</v>
      </c>
      <c r="V33" s="10">
        <f t="shared" si="10"/>
        <v>2967.8065333333334</v>
      </c>
      <c r="W33" s="5">
        <f t="shared" si="11"/>
        <v>83098.582933333339</v>
      </c>
    </row>
    <row r="34" spans="1:23">
      <c r="A34" s="102"/>
      <c r="B34" s="56"/>
      <c r="C34" s="16" t="s">
        <v>54</v>
      </c>
      <c r="D34" s="17" t="s">
        <v>12</v>
      </c>
      <c r="E34" s="69" t="s">
        <v>125</v>
      </c>
      <c r="F34" s="70"/>
      <c r="G34" s="5">
        <f>G32*20%</f>
        <v>21.311833333333336</v>
      </c>
      <c r="H34" s="5">
        <f t="shared" si="0"/>
        <v>213.11833333333337</v>
      </c>
      <c r="I34" s="5">
        <f t="shared" si="6"/>
        <v>5967.3133333333344</v>
      </c>
      <c r="J34" s="5">
        <f>J32*20%</f>
        <v>23.442999999999998</v>
      </c>
      <c r="K34" s="5">
        <f t="shared" si="1"/>
        <v>703.29</v>
      </c>
      <c r="L34" s="5">
        <f t="shared" si="7"/>
        <v>19692.12</v>
      </c>
      <c r="M34" s="5">
        <f>M32*20%</f>
        <v>30.444000000000006</v>
      </c>
      <c r="N34" s="5">
        <f t="shared" si="2"/>
        <v>213.10800000000003</v>
      </c>
      <c r="O34" s="5">
        <f t="shared" si="3"/>
        <v>5967.0240000000013</v>
      </c>
      <c r="P34" s="5">
        <f>P32*20%</f>
        <v>74</v>
      </c>
      <c r="Q34" s="5">
        <f t="shared" si="4"/>
        <v>962</v>
      </c>
      <c r="R34" s="5">
        <f t="shared" si="8"/>
        <v>26936</v>
      </c>
      <c r="S34" s="5">
        <f>S32*20%</f>
        <v>37</v>
      </c>
      <c r="T34" s="5">
        <f t="shared" si="5"/>
        <v>5328</v>
      </c>
      <c r="U34" s="5">
        <f t="shared" si="9"/>
        <v>149184</v>
      </c>
      <c r="V34" s="10">
        <f t="shared" si="10"/>
        <v>7419.516333333333</v>
      </c>
      <c r="W34" s="5">
        <f t="shared" si="11"/>
        <v>207746.45733333332</v>
      </c>
    </row>
    <row r="35" spans="1:23">
      <c r="A35" s="102"/>
      <c r="B35" s="56"/>
      <c r="C35" s="16" t="s">
        <v>56</v>
      </c>
      <c r="D35" s="9" t="s">
        <v>95</v>
      </c>
      <c r="E35" s="69" t="s">
        <v>127</v>
      </c>
      <c r="F35" s="70"/>
      <c r="G35" s="5">
        <f>G32*0.2%</f>
        <v>0.21311833333333335</v>
      </c>
      <c r="H35" s="5">
        <f t="shared" si="0"/>
        <v>2.1311833333333334</v>
      </c>
      <c r="I35" s="5">
        <f t="shared" si="6"/>
        <v>59.67313333333334</v>
      </c>
      <c r="J35" s="5">
        <f>J32*0.2%</f>
        <v>0.23442999999999997</v>
      </c>
      <c r="K35" s="5">
        <f t="shared" si="1"/>
        <v>7.0328999999999988</v>
      </c>
      <c r="L35" s="5">
        <f t="shared" si="7"/>
        <v>196.92119999999997</v>
      </c>
      <c r="M35" s="5">
        <f>M32*0.2%</f>
        <v>0.30444000000000004</v>
      </c>
      <c r="N35" s="5">
        <f t="shared" si="2"/>
        <v>2.1310800000000003</v>
      </c>
      <c r="O35" s="5">
        <f t="shared" si="3"/>
        <v>59.670240000000007</v>
      </c>
      <c r="P35" s="5">
        <f>P32*0.2%</f>
        <v>0.74</v>
      </c>
      <c r="Q35" s="5">
        <f t="shared" si="4"/>
        <v>9.6199999999999992</v>
      </c>
      <c r="R35" s="5">
        <f t="shared" si="8"/>
        <v>269.35999999999996</v>
      </c>
      <c r="S35" s="5">
        <f>S32*0.2%</f>
        <v>0.37</v>
      </c>
      <c r="T35" s="5">
        <f t="shared" si="5"/>
        <v>53.28</v>
      </c>
      <c r="U35" s="5">
        <f t="shared" si="9"/>
        <v>1491.8400000000001</v>
      </c>
      <c r="V35" s="10">
        <f t="shared" si="10"/>
        <v>74.19516333333334</v>
      </c>
      <c r="W35" s="5">
        <f t="shared" si="11"/>
        <v>2077.4645733333336</v>
      </c>
    </row>
    <row r="36" spans="1:23">
      <c r="A36" s="102"/>
      <c r="B36" s="56"/>
      <c r="C36" s="16" t="s">
        <v>57</v>
      </c>
      <c r="D36" s="9" t="s">
        <v>105</v>
      </c>
      <c r="E36" s="69" t="s">
        <v>128</v>
      </c>
      <c r="F36" s="70"/>
      <c r="G36" s="5">
        <f>G32*1%</f>
        <v>1.0655916666666667</v>
      </c>
      <c r="H36" s="5">
        <f t="shared" si="0"/>
        <v>10.655916666666666</v>
      </c>
      <c r="I36" s="5">
        <f t="shared" si="6"/>
        <v>298.36566666666664</v>
      </c>
      <c r="J36" s="5">
        <f>J32*1%</f>
        <v>1.17215</v>
      </c>
      <c r="K36" s="5">
        <f t="shared" si="1"/>
        <v>35.164500000000004</v>
      </c>
      <c r="L36" s="5">
        <f t="shared" si="7"/>
        <v>984.60600000000011</v>
      </c>
      <c r="M36" s="5">
        <f>M32*1%</f>
        <v>1.5222000000000002</v>
      </c>
      <c r="N36" s="5">
        <f t="shared" si="2"/>
        <v>10.655400000000002</v>
      </c>
      <c r="O36" s="5">
        <f t="shared" si="3"/>
        <v>298.35120000000006</v>
      </c>
      <c r="P36" s="5">
        <f>P32*1%</f>
        <v>3.7</v>
      </c>
      <c r="Q36" s="5">
        <f t="shared" si="4"/>
        <v>48.1</v>
      </c>
      <c r="R36" s="5">
        <f t="shared" si="8"/>
        <v>1346.8</v>
      </c>
      <c r="S36" s="5">
        <f>S32*1%</f>
        <v>1.85</v>
      </c>
      <c r="T36" s="5">
        <f t="shared" si="5"/>
        <v>266.40000000000003</v>
      </c>
      <c r="U36" s="5">
        <f t="shared" si="9"/>
        <v>7459.2000000000007</v>
      </c>
      <c r="V36" s="10">
        <f t="shared" si="10"/>
        <v>370.97581666666667</v>
      </c>
      <c r="W36" s="5">
        <f t="shared" si="11"/>
        <v>10387.322866666667</v>
      </c>
    </row>
    <row r="37" spans="1:23">
      <c r="A37" s="102"/>
      <c r="B37" s="56"/>
      <c r="C37" s="16" t="s">
        <v>58</v>
      </c>
      <c r="D37" s="9" t="s">
        <v>106</v>
      </c>
      <c r="E37" s="69" t="s">
        <v>129</v>
      </c>
      <c r="F37" s="70"/>
      <c r="G37" s="5">
        <f>G32*1.5%</f>
        <v>1.5983875000000001</v>
      </c>
      <c r="H37" s="5">
        <f t="shared" si="0"/>
        <v>15.983875000000001</v>
      </c>
      <c r="I37" s="5">
        <f t="shared" si="6"/>
        <v>447.54850000000005</v>
      </c>
      <c r="J37" s="5">
        <f>J32*1.5%</f>
        <v>1.7582249999999997</v>
      </c>
      <c r="K37" s="5">
        <f t="shared" si="1"/>
        <v>52.746749999999992</v>
      </c>
      <c r="L37" s="5">
        <f t="shared" si="7"/>
        <v>1476.9089999999997</v>
      </c>
      <c r="M37" s="5">
        <f>M32*1.5%</f>
        <v>2.2833000000000001</v>
      </c>
      <c r="N37" s="5">
        <f t="shared" si="2"/>
        <v>15.9831</v>
      </c>
      <c r="O37" s="5">
        <f t="shared" si="3"/>
        <v>447.52679999999998</v>
      </c>
      <c r="P37" s="5">
        <f>P32*1.5%</f>
        <v>5.55</v>
      </c>
      <c r="Q37" s="5">
        <f t="shared" si="4"/>
        <v>72.149999999999991</v>
      </c>
      <c r="R37" s="5">
        <f t="shared" si="8"/>
        <v>2020.1999999999998</v>
      </c>
      <c r="S37" s="5">
        <f>S32*1.5%</f>
        <v>2.7749999999999999</v>
      </c>
      <c r="T37" s="5">
        <f t="shared" si="5"/>
        <v>399.59999999999997</v>
      </c>
      <c r="U37" s="5">
        <f t="shared" si="9"/>
        <v>11188.8</v>
      </c>
      <c r="V37" s="10">
        <f t="shared" si="10"/>
        <v>556.46372499999995</v>
      </c>
      <c r="W37" s="5">
        <f t="shared" si="11"/>
        <v>15580.984299999998</v>
      </c>
    </row>
    <row r="38" spans="1:23">
      <c r="A38" s="102"/>
      <c r="B38" s="56"/>
      <c r="C38" s="16" t="s">
        <v>59</v>
      </c>
      <c r="D38" s="9" t="s">
        <v>107</v>
      </c>
      <c r="E38" s="69" t="s">
        <v>130</v>
      </c>
      <c r="F38" s="70"/>
      <c r="G38" s="5">
        <f>G32*0.6%</f>
        <v>0.63935500000000001</v>
      </c>
      <c r="H38" s="5">
        <f t="shared" ref="H38:H69" si="13">G38*$G$4</f>
        <v>6.3935500000000003</v>
      </c>
      <c r="I38" s="5">
        <f t="shared" si="6"/>
        <v>179.01940000000002</v>
      </c>
      <c r="J38" s="5">
        <f>J32*0.6%</f>
        <v>0.70328999999999997</v>
      </c>
      <c r="K38" s="5">
        <f t="shared" ref="K38:K69" si="14">J38*$J$4</f>
        <v>21.098700000000001</v>
      </c>
      <c r="L38" s="5">
        <f t="shared" si="7"/>
        <v>590.7636</v>
      </c>
      <c r="M38" s="5">
        <f>M32*0.6%</f>
        <v>0.91332000000000013</v>
      </c>
      <c r="N38" s="5">
        <f t="shared" ref="N38:N69" si="15">M38*$M$4</f>
        <v>6.3932400000000005</v>
      </c>
      <c r="O38" s="5">
        <f t="shared" si="3"/>
        <v>179.01072000000002</v>
      </c>
      <c r="P38" s="5">
        <f>P32*0.6%</f>
        <v>2.2200000000000002</v>
      </c>
      <c r="Q38" s="5">
        <f t="shared" ref="Q38:Q69" si="16">P38*$P$4</f>
        <v>28.860000000000003</v>
      </c>
      <c r="R38" s="5">
        <f t="shared" si="8"/>
        <v>808.08</v>
      </c>
      <c r="S38" s="5">
        <f>S32*0.6%</f>
        <v>1.1100000000000001</v>
      </c>
      <c r="T38" s="5">
        <f t="shared" ref="T38:T69" si="17">S38*$S$4</f>
        <v>159.84</v>
      </c>
      <c r="U38" s="5">
        <f t="shared" si="9"/>
        <v>4475.5200000000004</v>
      </c>
      <c r="V38" s="10">
        <f t="shared" si="10"/>
        <v>222.58548999999999</v>
      </c>
      <c r="W38" s="5">
        <f t="shared" si="11"/>
        <v>6232.39372</v>
      </c>
    </row>
    <row r="39" spans="1:23">
      <c r="A39" s="102"/>
      <c r="B39" s="56"/>
      <c r="C39" s="16" t="s">
        <v>60</v>
      </c>
      <c r="D39" s="17" t="s">
        <v>14</v>
      </c>
      <c r="E39" s="69" t="s">
        <v>126</v>
      </c>
      <c r="F39" s="70"/>
      <c r="G39" s="5">
        <f>G32*2.5%</f>
        <v>2.663979166666667</v>
      </c>
      <c r="H39" s="5">
        <f t="shared" si="13"/>
        <v>26.639791666666671</v>
      </c>
      <c r="I39" s="5">
        <f t="shared" si="6"/>
        <v>745.9141666666668</v>
      </c>
      <c r="J39" s="5">
        <f>J32*2.5%</f>
        <v>2.9303749999999997</v>
      </c>
      <c r="K39" s="5">
        <f t="shared" si="14"/>
        <v>87.911249999999995</v>
      </c>
      <c r="L39" s="5">
        <f t="shared" si="7"/>
        <v>2461.5149999999999</v>
      </c>
      <c r="M39" s="5">
        <f>M32*2.5%</f>
        <v>3.8055000000000008</v>
      </c>
      <c r="N39" s="5">
        <f t="shared" si="15"/>
        <v>26.638500000000004</v>
      </c>
      <c r="O39" s="5">
        <f t="shared" si="3"/>
        <v>745.87800000000016</v>
      </c>
      <c r="P39" s="5">
        <f>P32*2.5%</f>
        <v>9.25</v>
      </c>
      <c r="Q39" s="5">
        <f t="shared" si="16"/>
        <v>120.25</v>
      </c>
      <c r="R39" s="5">
        <f t="shared" si="8"/>
        <v>3367</v>
      </c>
      <c r="S39" s="5">
        <f>S32*2.5%</f>
        <v>4.625</v>
      </c>
      <c r="T39" s="5">
        <f t="shared" si="17"/>
        <v>666</v>
      </c>
      <c r="U39" s="5">
        <f t="shared" si="9"/>
        <v>18648</v>
      </c>
      <c r="V39" s="10">
        <f t="shared" si="10"/>
        <v>927.43954166666663</v>
      </c>
      <c r="W39" s="5">
        <f t="shared" si="11"/>
        <v>25968.307166666666</v>
      </c>
    </row>
    <row r="40" spans="1:23">
      <c r="A40" s="102"/>
      <c r="B40" s="56"/>
      <c r="C40" s="16" t="s">
        <v>64</v>
      </c>
      <c r="D40" s="17" t="s">
        <v>16</v>
      </c>
      <c r="E40" s="69" t="s">
        <v>175</v>
      </c>
      <c r="F40" s="70"/>
      <c r="G40" s="5">
        <f>G32*2.4546%</f>
        <v>2.6156013050000002</v>
      </c>
      <c r="H40" s="5">
        <f t="shared" si="13"/>
        <v>26.156013050000002</v>
      </c>
      <c r="I40" s="5">
        <f t="shared" si="6"/>
        <v>732.36836540000002</v>
      </c>
      <c r="J40" s="5">
        <f>J32*2.4546%</f>
        <v>2.8771593900000001</v>
      </c>
      <c r="K40" s="5">
        <f t="shared" si="14"/>
        <v>86.314781699999997</v>
      </c>
      <c r="L40" s="5">
        <f t="shared" si="7"/>
        <v>2416.8138875999998</v>
      </c>
      <c r="M40" s="5">
        <f>M32*2.4546%</f>
        <v>3.736392120000001</v>
      </c>
      <c r="N40" s="5">
        <f t="shared" si="15"/>
        <v>26.154744840000006</v>
      </c>
      <c r="O40" s="5">
        <f t="shared" si="3"/>
        <v>732.33285552000018</v>
      </c>
      <c r="P40" s="5">
        <f>P32*2.4546%</f>
        <v>9.08202</v>
      </c>
      <c r="Q40" s="5">
        <f t="shared" si="16"/>
        <v>118.06626</v>
      </c>
      <c r="R40" s="5">
        <f t="shared" si="8"/>
        <v>3305.8552799999998</v>
      </c>
      <c r="S40" s="5">
        <f>S32*2.4546%</f>
        <v>4.54101</v>
      </c>
      <c r="T40" s="5">
        <f t="shared" si="17"/>
        <v>653.90544</v>
      </c>
      <c r="U40" s="5">
        <f t="shared" si="9"/>
        <v>18309.352319999998</v>
      </c>
      <c r="V40" s="10">
        <f t="shared" si="10"/>
        <v>910.59723959000007</v>
      </c>
      <c r="W40" s="5">
        <f t="shared" si="11"/>
        <v>25496.722708520003</v>
      </c>
    </row>
    <row r="41" spans="1:23">
      <c r="A41" s="102"/>
      <c r="B41" s="57"/>
      <c r="C41" s="11" t="s">
        <v>65</v>
      </c>
      <c r="D41" s="12" t="s">
        <v>7</v>
      </c>
      <c r="E41" s="66" t="s">
        <v>123</v>
      </c>
      <c r="F41" s="67"/>
      <c r="G41" s="13">
        <f>SUM(G32:G40)</f>
        <v>145.19176630500004</v>
      </c>
      <c r="H41" s="13">
        <f t="shared" si="13"/>
        <v>1451.9176630500006</v>
      </c>
      <c r="I41" s="13">
        <f t="shared" si="6"/>
        <v>40653.694565400016</v>
      </c>
      <c r="J41" s="13">
        <f>SUM(J32:J40)</f>
        <v>159.71082938999999</v>
      </c>
      <c r="K41" s="13">
        <f t="shared" si="14"/>
        <v>4791.3248816999994</v>
      </c>
      <c r="L41" s="13">
        <f t="shared" si="7"/>
        <v>134157.09668759999</v>
      </c>
      <c r="M41" s="13">
        <f>SUM(M32:M40)</f>
        <v>207.40675212000005</v>
      </c>
      <c r="N41" s="13">
        <f t="shared" si="15"/>
        <v>1451.8472648400004</v>
      </c>
      <c r="O41" s="13">
        <f t="shared" si="3"/>
        <v>40651.723415520013</v>
      </c>
      <c r="P41" s="13">
        <f>SUM(P32:P40)</f>
        <v>504.14202000000006</v>
      </c>
      <c r="Q41" s="13">
        <f t="shared" si="16"/>
        <v>6553.8462600000012</v>
      </c>
      <c r="R41" s="13">
        <f t="shared" si="8"/>
        <v>183507.69528000004</v>
      </c>
      <c r="S41" s="13">
        <f>SUM(S32:S40)</f>
        <v>252.07101000000003</v>
      </c>
      <c r="T41" s="13">
        <f t="shared" si="17"/>
        <v>36298.225440000002</v>
      </c>
      <c r="U41" s="13">
        <f t="shared" si="9"/>
        <v>1016350.31232</v>
      </c>
      <c r="V41" s="39">
        <f t="shared" si="10"/>
        <v>50547.161509590005</v>
      </c>
      <c r="W41" s="13">
        <f t="shared" si="11"/>
        <v>1415320.5222685202</v>
      </c>
    </row>
    <row r="42" spans="1:23" ht="15" customHeight="1">
      <c r="A42" s="102"/>
      <c r="B42" s="55" t="s">
        <v>75</v>
      </c>
      <c r="C42" s="16" t="s">
        <v>66</v>
      </c>
      <c r="D42" s="17" t="s">
        <v>2</v>
      </c>
      <c r="E42" s="83" t="s">
        <v>187</v>
      </c>
      <c r="F42" s="84"/>
      <c r="G42" s="5">
        <f>H4/30*(12*28/12)/28</f>
        <v>42.623666666666665</v>
      </c>
      <c r="H42" s="5">
        <f t="shared" si="13"/>
        <v>426.23666666666668</v>
      </c>
      <c r="I42" s="5">
        <f t="shared" si="6"/>
        <v>11934.626666666667</v>
      </c>
      <c r="J42" s="5">
        <f>K4/30*(12*28/12)/28</f>
        <v>46.886000000000003</v>
      </c>
      <c r="K42" s="5">
        <f t="shared" si="14"/>
        <v>1406.5800000000002</v>
      </c>
      <c r="L42" s="5">
        <f t="shared" si="7"/>
        <v>39384.240000000005</v>
      </c>
      <c r="M42" s="5">
        <f>N4/30*(12*28/12)/28</f>
        <v>60.887999999999998</v>
      </c>
      <c r="N42" s="5">
        <f t="shared" si="15"/>
        <v>426.21600000000001</v>
      </c>
      <c r="O42" s="5">
        <f t="shared" si="3"/>
        <v>11934.048000000001</v>
      </c>
      <c r="P42" s="5">
        <f>Q4/30*(12*28/12)/28</f>
        <v>148</v>
      </c>
      <c r="Q42" s="5">
        <f t="shared" si="16"/>
        <v>1924</v>
      </c>
      <c r="R42" s="5">
        <f t="shared" si="8"/>
        <v>53872</v>
      </c>
      <c r="S42" s="5">
        <f>T4/30*(12*28/12)/28</f>
        <v>74</v>
      </c>
      <c r="T42" s="5">
        <f t="shared" si="17"/>
        <v>10656</v>
      </c>
      <c r="U42" s="5">
        <f t="shared" si="9"/>
        <v>298368</v>
      </c>
      <c r="V42" s="10">
        <f t="shared" si="10"/>
        <v>14839.032666666666</v>
      </c>
      <c r="W42" s="5">
        <f t="shared" si="11"/>
        <v>415492.91466666665</v>
      </c>
    </row>
    <row r="43" spans="1:23" ht="15" customHeight="1">
      <c r="A43" s="102"/>
      <c r="B43" s="56"/>
      <c r="C43" s="16" t="s">
        <v>78</v>
      </c>
      <c r="D43" s="17" t="s">
        <v>49</v>
      </c>
      <c r="E43" s="83" t="s">
        <v>188</v>
      </c>
      <c r="F43" s="84"/>
      <c r="G43" s="5">
        <f>G21/30*(12*28/12)/28</f>
        <v>25.328252857142861</v>
      </c>
      <c r="H43" s="5">
        <f t="shared" si="13"/>
        <v>253.2825285714286</v>
      </c>
      <c r="I43" s="5">
        <f t="shared" si="6"/>
        <v>7091.9108000000006</v>
      </c>
      <c r="J43" s="5">
        <f>J21/30*(12*28/12)/28</f>
        <v>25.090780000000002</v>
      </c>
      <c r="K43" s="5">
        <f t="shared" si="14"/>
        <v>752.72340000000008</v>
      </c>
      <c r="L43" s="5">
        <f t="shared" si="7"/>
        <v>21076.255200000003</v>
      </c>
      <c r="M43" s="5">
        <f>M21/30*(12*28/12)/28</f>
        <v>24.310668571428572</v>
      </c>
      <c r="N43" s="5">
        <f t="shared" si="15"/>
        <v>170.17468</v>
      </c>
      <c r="O43" s="5">
        <f t="shared" si="3"/>
        <v>4764.8910399999995</v>
      </c>
      <c r="P43" s="5">
        <f>P21/30*(12*28/12)/28</f>
        <v>21.853000000000002</v>
      </c>
      <c r="Q43" s="5">
        <f t="shared" si="16"/>
        <v>284.089</v>
      </c>
      <c r="R43" s="5">
        <f t="shared" si="8"/>
        <v>7954.4920000000002</v>
      </c>
      <c r="S43" s="5">
        <f>S21/30*(12*28/12)/28</f>
        <v>23.580142857142857</v>
      </c>
      <c r="T43" s="5">
        <f t="shared" si="17"/>
        <v>3395.5405714285712</v>
      </c>
      <c r="U43" s="5">
        <f t="shared" si="9"/>
        <v>95075.135999999999</v>
      </c>
      <c r="V43" s="10">
        <f t="shared" si="10"/>
        <v>4855.8101800000004</v>
      </c>
      <c r="W43" s="5">
        <f t="shared" si="11"/>
        <v>135962.68504000001</v>
      </c>
    </row>
    <row r="44" spans="1:23" ht="15" customHeight="1">
      <c r="A44" s="102"/>
      <c r="B44" s="56"/>
      <c r="C44" s="16" t="s">
        <v>79</v>
      </c>
      <c r="D44" s="17" t="s">
        <v>73</v>
      </c>
      <c r="E44" s="83" t="s">
        <v>99</v>
      </c>
      <c r="F44" s="84"/>
      <c r="G44" s="5">
        <f>(H4+H4/3)/12/28</f>
        <v>5.0742460317460312</v>
      </c>
      <c r="H44" s="5">
        <f t="shared" si="13"/>
        <v>50.742460317460313</v>
      </c>
      <c r="I44" s="5">
        <f t="shared" si="6"/>
        <v>1420.7888888888888</v>
      </c>
      <c r="J44" s="5">
        <f>(K4+K4/3)/12/28</f>
        <v>5.5816666666666661</v>
      </c>
      <c r="K44" s="5">
        <f t="shared" si="14"/>
        <v>167.45</v>
      </c>
      <c r="L44" s="5">
        <f t="shared" si="7"/>
        <v>4688.5999999999995</v>
      </c>
      <c r="M44" s="5">
        <f>(N4+N4/3)/12/28</f>
        <v>7.2485714285714291</v>
      </c>
      <c r="N44" s="5">
        <f t="shared" si="15"/>
        <v>50.74</v>
      </c>
      <c r="O44" s="5">
        <f t="shared" si="3"/>
        <v>1420.72</v>
      </c>
      <c r="P44" s="5">
        <f>(Q4+Q4/3)/12/28</f>
        <v>17.619047619047617</v>
      </c>
      <c r="Q44" s="5">
        <f t="shared" si="16"/>
        <v>229.04761904761901</v>
      </c>
      <c r="R44" s="5">
        <f t="shared" si="8"/>
        <v>6413.3333333333321</v>
      </c>
      <c r="S44" s="5">
        <f>(T4+T4/3)/12/28</f>
        <v>8.8095238095238084</v>
      </c>
      <c r="T44" s="5">
        <f t="shared" si="17"/>
        <v>1268.5714285714284</v>
      </c>
      <c r="U44" s="5">
        <f t="shared" si="9"/>
        <v>35520</v>
      </c>
      <c r="V44" s="10">
        <f t="shared" si="10"/>
        <v>1766.5515079365077</v>
      </c>
      <c r="W44" s="5">
        <f t="shared" si="11"/>
        <v>49463.44222222222</v>
      </c>
    </row>
    <row r="45" spans="1:23" ht="15" customHeight="1">
      <c r="A45" s="102"/>
      <c r="B45" s="56"/>
      <c r="C45" s="16" t="s">
        <v>84</v>
      </c>
      <c r="D45" s="17" t="s">
        <v>41</v>
      </c>
      <c r="E45" s="83" t="s">
        <v>80</v>
      </c>
      <c r="F45" s="84"/>
      <c r="G45" s="5">
        <f>H4/12/28</f>
        <v>3.805684523809524</v>
      </c>
      <c r="H45" s="5">
        <f t="shared" si="13"/>
        <v>38.056845238095242</v>
      </c>
      <c r="I45" s="5">
        <f t="shared" si="6"/>
        <v>1065.5916666666667</v>
      </c>
      <c r="J45" s="5">
        <f>K4/12/28</f>
        <v>4.1862499999999994</v>
      </c>
      <c r="K45" s="5">
        <f t="shared" si="14"/>
        <v>125.58749999999998</v>
      </c>
      <c r="L45" s="5">
        <f t="shared" si="7"/>
        <v>3516.4499999999994</v>
      </c>
      <c r="M45" s="5">
        <f>N4/12/28</f>
        <v>5.4364285714285714</v>
      </c>
      <c r="N45" s="5">
        <f t="shared" si="15"/>
        <v>38.055</v>
      </c>
      <c r="O45" s="5">
        <f t="shared" si="3"/>
        <v>1065.54</v>
      </c>
      <c r="P45" s="5">
        <f>Q4/12/28</f>
        <v>13.214285714285714</v>
      </c>
      <c r="Q45" s="5">
        <f t="shared" si="16"/>
        <v>171.78571428571428</v>
      </c>
      <c r="R45" s="5">
        <f t="shared" si="8"/>
        <v>4810</v>
      </c>
      <c r="S45" s="5">
        <f>T4/12/28</f>
        <v>6.6071428571428568</v>
      </c>
      <c r="T45" s="5">
        <f t="shared" si="17"/>
        <v>951.42857142857133</v>
      </c>
      <c r="U45" s="5">
        <f t="shared" si="9"/>
        <v>26639.999999999996</v>
      </c>
      <c r="V45" s="10">
        <f t="shared" si="10"/>
        <v>1324.9136309523808</v>
      </c>
      <c r="W45" s="5">
        <f t="shared" si="11"/>
        <v>37097.581666666665</v>
      </c>
    </row>
    <row r="46" spans="1:23">
      <c r="A46" s="102"/>
      <c r="B46" s="56"/>
      <c r="C46" s="16" t="s">
        <v>85</v>
      </c>
      <c r="D46" s="17" t="s">
        <v>9</v>
      </c>
      <c r="E46" s="69" t="s">
        <v>132</v>
      </c>
      <c r="F46" s="70"/>
      <c r="G46" s="5">
        <f>(G42+G44+G45)*8%</f>
        <v>4.1202877777777775</v>
      </c>
      <c r="H46" s="5">
        <f t="shared" si="13"/>
        <v>41.202877777777772</v>
      </c>
      <c r="I46" s="5">
        <f t="shared" si="6"/>
        <v>1153.6805777777777</v>
      </c>
      <c r="J46" s="5">
        <f>(J42+J44+J45)*8%</f>
        <v>4.5323133333333336</v>
      </c>
      <c r="K46" s="5">
        <f t="shared" si="14"/>
        <v>135.96940000000001</v>
      </c>
      <c r="L46" s="5">
        <f t="shared" si="7"/>
        <v>3807.1432000000004</v>
      </c>
      <c r="M46" s="5">
        <f>(M42+M44+M45)*8%</f>
        <v>5.8858400000000008</v>
      </c>
      <c r="N46" s="5">
        <f t="shared" si="15"/>
        <v>41.200880000000005</v>
      </c>
      <c r="O46" s="5">
        <f t="shared" si="3"/>
        <v>1153.6246400000002</v>
      </c>
      <c r="P46" s="5">
        <f>(P42+P44+P45)*8%</f>
        <v>14.306666666666668</v>
      </c>
      <c r="Q46" s="5">
        <f t="shared" si="16"/>
        <v>185.98666666666668</v>
      </c>
      <c r="R46" s="5">
        <f t="shared" si="8"/>
        <v>5207.626666666667</v>
      </c>
      <c r="S46" s="5">
        <f>(S42+S44+S45)*8%</f>
        <v>7.1533333333333342</v>
      </c>
      <c r="T46" s="5">
        <f t="shared" si="17"/>
        <v>1030.0800000000002</v>
      </c>
      <c r="U46" s="5">
        <f t="shared" si="9"/>
        <v>28842.240000000005</v>
      </c>
      <c r="V46" s="10">
        <f t="shared" si="10"/>
        <v>1434.4398244444446</v>
      </c>
      <c r="W46" s="5">
        <f t="shared" si="11"/>
        <v>40164.315084444446</v>
      </c>
    </row>
    <row r="47" spans="1:23">
      <c r="A47" s="102"/>
      <c r="B47" s="56"/>
      <c r="C47" s="16" t="s">
        <v>87</v>
      </c>
      <c r="D47" s="17" t="s">
        <v>12</v>
      </c>
      <c r="E47" s="69" t="s">
        <v>133</v>
      </c>
      <c r="F47" s="70"/>
      <c r="G47" s="5">
        <f>(G42+G44+G45)*20%</f>
        <v>10.300719444444445</v>
      </c>
      <c r="H47" s="5">
        <f t="shared" si="13"/>
        <v>103.00719444444445</v>
      </c>
      <c r="I47" s="5">
        <f t="shared" si="6"/>
        <v>2884.2014444444449</v>
      </c>
      <c r="J47" s="5">
        <f>(J42+J44+J45)*20%</f>
        <v>11.330783333333335</v>
      </c>
      <c r="K47" s="5">
        <f t="shared" si="14"/>
        <v>339.92350000000005</v>
      </c>
      <c r="L47" s="5">
        <f t="shared" si="7"/>
        <v>9517.858000000002</v>
      </c>
      <c r="M47" s="5">
        <f>(M42+M44+M45)*20%</f>
        <v>14.714600000000003</v>
      </c>
      <c r="N47" s="5">
        <f t="shared" si="15"/>
        <v>103.00220000000002</v>
      </c>
      <c r="O47" s="5">
        <f t="shared" si="3"/>
        <v>2884.0616000000005</v>
      </c>
      <c r="P47" s="5">
        <f>(P42+P44+P45)*20%</f>
        <v>35.766666666666673</v>
      </c>
      <c r="Q47" s="5">
        <f t="shared" si="16"/>
        <v>464.96666666666675</v>
      </c>
      <c r="R47" s="5">
        <f t="shared" si="8"/>
        <v>13019.066666666669</v>
      </c>
      <c r="S47" s="5">
        <f>(S42+S44+S45)*20%</f>
        <v>17.883333333333336</v>
      </c>
      <c r="T47" s="5">
        <f t="shared" si="17"/>
        <v>2575.2000000000003</v>
      </c>
      <c r="U47" s="5">
        <f t="shared" si="9"/>
        <v>72105.600000000006</v>
      </c>
      <c r="V47" s="10">
        <f t="shared" si="10"/>
        <v>3586.0995611111116</v>
      </c>
      <c r="W47" s="5">
        <f t="shared" si="11"/>
        <v>100410.78771111113</v>
      </c>
    </row>
    <row r="48" spans="1:23">
      <c r="A48" s="102"/>
      <c r="B48" s="56"/>
      <c r="C48" s="16" t="s">
        <v>88</v>
      </c>
      <c r="D48" s="9" t="s">
        <v>95</v>
      </c>
      <c r="E48" s="69" t="s">
        <v>134</v>
      </c>
      <c r="F48" s="70"/>
      <c r="G48" s="5">
        <f>(G42+G44+G45)*0.2%</f>
        <v>0.10300719444444444</v>
      </c>
      <c r="H48" s="5">
        <f t="shared" si="13"/>
        <v>1.0300719444444444</v>
      </c>
      <c r="I48" s="5">
        <f t="shared" si="6"/>
        <v>28.842014444444445</v>
      </c>
      <c r="J48" s="5">
        <f>(J42+J44+J45)*0.2%</f>
        <v>0.11330783333333334</v>
      </c>
      <c r="K48" s="5">
        <f t="shared" si="14"/>
        <v>3.3992350000000005</v>
      </c>
      <c r="L48" s="5">
        <f t="shared" si="7"/>
        <v>95.178580000000011</v>
      </c>
      <c r="M48" s="5">
        <f>(M42+M44+M45)*0.2%</f>
        <v>0.14714600000000003</v>
      </c>
      <c r="N48" s="5">
        <f t="shared" si="15"/>
        <v>1.0300220000000002</v>
      </c>
      <c r="O48" s="5">
        <f t="shared" si="3"/>
        <v>28.840616000000004</v>
      </c>
      <c r="P48" s="5">
        <f>(P42+P44+P45)*0.2%</f>
        <v>0.35766666666666669</v>
      </c>
      <c r="Q48" s="5">
        <f t="shared" si="16"/>
        <v>4.6496666666666666</v>
      </c>
      <c r="R48" s="5">
        <f t="shared" si="8"/>
        <v>130.19066666666666</v>
      </c>
      <c r="S48" s="5">
        <f>(S42+S44+S45)*0.2%</f>
        <v>0.17883333333333334</v>
      </c>
      <c r="T48" s="5">
        <f t="shared" si="17"/>
        <v>25.752000000000002</v>
      </c>
      <c r="U48" s="5">
        <f t="shared" si="9"/>
        <v>721.05600000000004</v>
      </c>
      <c r="V48" s="10">
        <f t="shared" si="10"/>
        <v>35.860995611111115</v>
      </c>
      <c r="W48" s="5">
        <f t="shared" si="11"/>
        <v>1004.1078771111112</v>
      </c>
    </row>
    <row r="49" spans="1:24">
      <c r="A49" s="102"/>
      <c r="B49" s="56"/>
      <c r="C49" s="16" t="s">
        <v>89</v>
      </c>
      <c r="D49" s="9" t="s">
        <v>105</v>
      </c>
      <c r="E49" s="69" t="s">
        <v>135</v>
      </c>
      <c r="F49" s="70"/>
      <c r="G49" s="5">
        <f>(G42+G44+G45)*1%</f>
        <v>0.51503597222222219</v>
      </c>
      <c r="H49" s="5">
        <f t="shared" si="13"/>
        <v>5.1503597222222215</v>
      </c>
      <c r="I49" s="5">
        <f t="shared" si="6"/>
        <v>144.21007222222221</v>
      </c>
      <c r="J49" s="5">
        <f>(J42+J44+J45)*1%</f>
        <v>0.5665391666666667</v>
      </c>
      <c r="K49" s="5">
        <f t="shared" si="14"/>
        <v>16.996175000000001</v>
      </c>
      <c r="L49" s="5">
        <f t="shared" si="7"/>
        <v>475.89290000000005</v>
      </c>
      <c r="M49" s="5">
        <f>(M42+M44+M45)*1%</f>
        <v>0.73573000000000011</v>
      </c>
      <c r="N49" s="5">
        <f t="shared" si="15"/>
        <v>5.1501100000000006</v>
      </c>
      <c r="O49" s="5">
        <f t="shared" si="3"/>
        <v>144.20308000000003</v>
      </c>
      <c r="P49" s="5">
        <f>(P42+P44+P45)*1%</f>
        <v>1.7883333333333336</v>
      </c>
      <c r="Q49" s="5">
        <f t="shared" si="16"/>
        <v>23.248333333333335</v>
      </c>
      <c r="R49" s="5">
        <f t="shared" si="8"/>
        <v>650.95333333333338</v>
      </c>
      <c r="S49" s="5">
        <f>(S42+S44+S45)*1%</f>
        <v>0.89416666666666678</v>
      </c>
      <c r="T49" s="5">
        <f t="shared" si="17"/>
        <v>128.76000000000002</v>
      </c>
      <c r="U49" s="5">
        <f t="shared" si="9"/>
        <v>3605.2800000000007</v>
      </c>
      <c r="V49" s="10">
        <f t="shared" si="10"/>
        <v>179.30497805555558</v>
      </c>
      <c r="W49" s="5">
        <f t="shared" si="11"/>
        <v>5020.5393855555558</v>
      </c>
    </row>
    <row r="50" spans="1:24">
      <c r="A50" s="102"/>
      <c r="B50" s="56"/>
      <c r="C50" s="16" t="s">
        <v>90</v>
      </c>
      <c r="D50" s="9" t="s">
        <v>106</v>
      </c>
      <c r="E50" s="69" t="s">
        <v>136</v>
      </c>
      <c r="F50" s="70"/>
      <c r="G50" s="5">
        <f>(G42+G44+G45)*1.5%</f>
        <v>0.77255395833333329</v>
      </c>
      <c r="H50" s="5">
        <f t="shared" si="13"/>
        <v>7.7255395833333331</v>
      </c>
      <c r="I50" s="5">
        <f t="shared" si="6"/>
        <v>216.31510833333334</v>
      </c>
      <c r="J50" s="5">
        <f>(J42+J44+J45)*1.5%</f>
        <v>0.84980875</v>
      </c>
      <c r="K50" s="5">
        <f t="shared" si="14"/>
        <v>25.494262500000001</v>
      </c>
      <c r="L50" s="5">
        <f t="shared" si="7"/>
        <v>713.83935000000008</v>
      </c>
      <c r="M50" s="5">
        <f>(M42+M44+M45)*1.5%</f>
        <v>1.1035950000000001</v>
      </c>
      <c r="N50" s="5">
        <f t="shared" si="15"/>
        <v>7.7251650000000005</v>
      </c>
      <c r="O50" s="5">
        <f t="shared" si="3"/>
        <v>216.30462</v>
      </c>
      <c r="P50" s="5">
        <f>(P42+P44+P45)*1.5%</f>
        <v>2.6825000000000001</v>
      </c>
      <c r="Q50" s="5">
        <f t="shared" si="16"/>
        <v>34.872500000000002</v>
      </c>
      <c r="R50" s="5">
        <f t="shared" si="8"/>
        <v>976.43000000000006</v>
      </c>
      <c r="S50" s="5">
        <f>(S42+S44+S45)*1.5%</f>
        <v>1.3412500000000001</v>
      </c>
      <c r="T50" s="5">
        <f t="shared" si="17"/>
        <v>193.14000000000001</v>
      </c>
      <c r="U50" s="5">
        <f t="shared" si="9"/>
        <v>5407.92</v>
      </c>
      <c r="V50" s="10">
        <f t="shared" si="10"/>
        <v>268.95746708333337</v>
      </c>
      <c r="W50" s="5">
        <f t="shared" si="11"/>
        <v>7530.8090783333346</v>
      </c>
    </row>
    <row r="51" spans="1:24">
      <c r="A51" s="102"/>
      <c r="B51" s="56"/>
      <c r="C51" s="16" t="s">
        <v>91</v>
      </c>
      <c r="D51" s="9" t="s">
        <v>107</v>
      </c>
      <c r="E51" s="69" t="s">
        <v>137</v>
      </c>
      <c r="F51" s="70"/>
      <c r="G51" s="5">
        <f>(G42+G44+G45)*0.6%</f>
        <v>0.30902158333333329</v>
      </c>
      <c r="H51" s="5">
        <f t="shared" si="13"/>
        <v>3.0902158333333327</v>
      </c>
      <c r="I51" s="5">
        <f t="shared" si="6"/>
        <v>86.52604333333332</v>
      </c>
      <c r="J51" s="5">
        <f>(J42+J44+J45)*0.6%</f>
        <v>0.33992349999999999</v>
      </c>
      <c r="K51" s="5">
        <f t="shared" si="14"/>
        <v>10.197704999999999</v>
      </c>
      <c r="L51" s="5">
        <f t="shared" si="7"/>
        <v>285.53573999999998</v>
      </c>
      <c r="M51" s="5">
        <f>(M42+M44+M45)*0.6%</f>
        <v>0.44143800000000005</v>
      </c>
      <c r="N51" s="5">
        <f t="shared" si="15"/>
        <v>3.0900660000000002</v>
      </c>
      <c r="O51" s="5">
        <f t="shared" si="3"/>
        <v>86.521848000000006</v>
      </c>
      <c r="P51" s="5">
        <f>(P42+P44+P45)*0.6%</f>
        <v>1.0730000000000002</v>
      </c>
      <c r="Q51" s="5">
        <f t="shared" si="16"/>
        <v>13.949000000000002</v>
      </c>
      <c r="R51" s="5">
        <f t="shared" si="8"/>
        <v>390.57200000000006</v>
      </c>
      <c r="S51" s="5">
        <f>(S42+S44+S45)*0.6%</f>
        <v>0.53650000000000009</v>
      </c>
      <c r="T51" s="5">
        <f t="shared" si="17"/>
        <v>77.256000000000014</v>
      </c>
      <c r="U51" s="5">
        <f t="shared" si="9"/>
        <v>2163.1680000000006</v>
      </c>
      <c r="V51" s="10">
        <f t="shared" si="10"/>
        <v>107.58298683333335</v>
      </c>
      <c r="W51" s="5">
        <f t="shared" si="11"/>
        <v>3012.3236313333337</v>
      </c>
    </row>
    <row r="52" spans="1:24">
      <c r="A52" s="102"/>
      <c r="B52" s="56"/>
      <c r="C52" s="16" t="s">
        <v>92</v>
      </c>
      <c r="D52" s="17" t="s">
        <v>14</v>
      </c>
      <c r="E52" s="69" t="s">
        <v>194</v>
      </c>
      <c r="F52" s="70"/>
      <c r="G52" s="5">
        <f>(G42+G44+G45)*2.5%</f>
        <v>1.2875899305555556</v>
      </c>
      <c r="H52" s="5">
        <f t="shared" si="13"/>
        <v>12.875899305555556</v>
      </c>
      <c r="I52" s="5">
        <f t="shared" si="6"/>
        <v>360.52518055555561</v>
      </c>
      <c r="J52" s="5">
        <f>(J42+J44+J45)*2.5%</f>
        <v>1.4163479166666668</v>
      </c>
      <c r="K52" s="5">
        <f t="shared" si="14"/>
        <v>42.490437500000006</v>
      </c>
      <c r="L52" s="5">
        <f t="shared" si="7"/>
        <v>1189.7322500000002</v>
      </c>
      <c r="M52" s="5">
        <f>(M42+M44+M45)*2.5%</f>
        <v>1.8393250000000003</v>
      </c>
      <c r="N52" s="5">
        <f t="shared" si="15"/>
        <v>12.875275000000002</v>
      </c>
      <c r="O52" s="5">
        <f t="shared" si="3"/>
        <v>360.50770000000006</v>
      </c>
      <c r="P52" s="5">
        <f>(P42+P44+P45)*2.5%</f>
        <v>4.4708333333333341</v>
      </c>
      <c r="Q52" s="5">
        <f t="shared" si="16"/>
        <v>58.120833333333344</v>
      </c>
      <c r="R52" s="5">
        <f t="shared" si="8"/>
        <v>1627.3833333333337</v>
      </c>
      <c r="S52" s="5">
        <f>(S42+S44+S45)*2.5%</f>
        <v>2.2354166666666671</v>
      </c>
      <c r="T52" s="5">
        <f t="shared" si="17"/>
        <v>321.90000000000003</v>
      </c>
      <c r="U52" s="5">
        <f t="shared" si="9"/>
        <v>9013.2000000000007</v>
      </c>
      <c r="V52" s="10">
        <f t="shared" si="10"/>
        <v>448.26244513888895</v>
      </c>
      <c r="W52" s="5">
        <f t="shared" si="11"/>
        <v>12551.348463888891</v>
      </c>
    </row>
    <row r="53" spans="1:24">
      <c r="A53" s="102"/>
      <c r="B53" s="56"/>
      <c r="C53" s="16" t="s">
        <v>93</v>
      </c>
      <c r="D53" s="17" t="s">
        <v>16</v>
      </c>
      <c r="E53" s="69" t="s">
        <v>195</v>
      </c>
      <c r="F53" s="70"/>
      <c r="G53" s="5">
        <f>(G42+G44+G45)*2.4546%</f>
        <v>1.2642072974166667</v>
      </c>
      <c r="H53" s="5">
        <f t="shared" si="13"/>
        <v>12.642072974166666</v>
      </c>
      <c r="I53" s="5">
        <f t="shared" si="6"/>
        <v>353.97804327666665</v>
      </c>
      <c r="J53" s="5">
        <f>(J42+J44+J45)*2.4546%</f>
        <v>1.3906270385000001</v>
      </c>
      <c r="K53" s="5">
        <f t="shared" si="14"/>
        <v>41.718811155000004</v>
      </c>
      <c r="L53" s="5">
        <f t="shared" si="7"/>
        <v>1168.12671234</v>
      </c>
      <c r="M53" s="5">
        <f>(M42+M44+M45)*2.4546%</f>
        <v>1.8059228580000004</v>
      </c>
      <c r="N53" s="5">
        <f t="shared" si="15"/>
        <v>12.641460006000003</v>
      </c>
      <c r="O53" s="5">
        <f t="shared" si="3"/>
        <v>353.96088016800007</v>
      </c>
      <c r="P53" s="5">
        <f>(P42+P44+P45)*2.4546%</f>
        <v>4.3896430000000004</v>
      </c>
      <c r="Q53" s="5">
        <f t="shared" si="16"/>
        <v>57.065359000000008</v>
      </c>
      <c r="R53" s="5">
        <f t="shared" si="8"/>
        <v>1597.8300520000003</v>
      </c>
      <c r="S53" s="5">
        <f>(S42+S44+S45)*2.4546%</f>
        <v>2.1948215000000002</v>
      </c>
      <c r="T53" s="5">
        <f t="shared" si="17"/>
        <v>316.05429600000002</v>
      </c>
      <c r="U53" s="5">
        <f t="shared" si="9"/>
        <v>8849.5202879999997</v>
      </c>
      <c r="V53" s="10">
        <f t="shared" si="10"/>
        <v>440.12199913516667</v>
      </c>
      <c r="W53" s="5">
        <f t="shared" si="11"/>
        <v>12323.415975784666</v>
      </c>
    </row>
    <row r="54" spans="1:24">
      <c r="A54" s="102"/>
      <c r="B54" s="57"/>
      <c r="C54" s="11" t="s">
        <v>102</v>
      </c>
      <c r="D54" s="12" t="s">
        <v>7</v>
      </c>
      <c r="E54" s="66" t="s">
        <v>131</v>
      </c>
      <c r="F54" s="67"/>
      <c r="G54" s="13">
        <f>SUM(G42:G53)</f>
        <v>95.504273237892832</v>
      </c>
      <c r="H54" s="13">
        <f t="shared" si="13"/>
        <v>955.04273237892835</v>
      </c>
      <c r="I54" s="13">
        <f t="shared" si="6"/>
        <v>26741.196506609995</v>
      </c>
      <c r="J54" s="13">
        <f>SUM(J42:J53)</f>
        <v>102.2843475385</v>
      </c>
      <c r="K54" s="13">
        <f t="shared" si="14"/>
        <v>3068.530426155</v>
      </c>
      <c r="L54" s="13">
        <f t="shared" si="7"/>
        <v>85918.851932339996</v>
      </c>
      <c r="M54" s="13">
        <f>SUM(M42:M53)</f>
        <v>124.55726542942858</v>
      </c>
      <c r="N54" s="13">
        <f t="shared" si="15"/>
        <v>871.90085800600013</v>
      </c>
      <c r="O54" s="13">
        <f t="shared" si="3"/>
        <v>24413.224024168005</v>
      </c>
      <c r="P54" s="13">
        <f>SUM(P42:P53)</f>
        <v>265.52164300000004</v>
      </c>
      <c r="Q54" s="13">
        <f t="shared" si="16"/>
        <v>3451.7813590000005</v>
      </c>
      <c r="R54" s="13">
        <f t="shared" si="8"/>
        <v>96649.878052000015</v>
      </c>
      <c r="S54" s="13">
        <f>SUM(S42:S53)</f>
        <v>145.41446435714286</v>
      </c>
      <c r="T54" s="13">
        <f t="shared" si="17"/>
        <v>20939.682867428572</v>
      </c>
      <c r="U54" s="13">
        <f t="shared" si="9"/>
        <v>586311.12028799998</v>
      </c>
      <c r="V54" s="39">
        <f t="shared" si="10"/>
        <v>29286.938242968499</v>
      </c>
      <c r="W54" s="13">
        <f t="shared" si="11"/>
        <v>820034.27080311801</v>
      </c>
      <c r="X54" s="3"/>
    </row>
    <row r="55" spans="1:24">
      <c r="A55" s="102"/>
      <c r="B55" s="55" t="s">
        <v>32</v>
      </c>
      <c r="C55" s="19" t="s">
        <v>103</v>
      </c>
      <c r="D55" s="9" t="s">
        <v>42</v>
      </c>
      <c r="E55" s="85" t="s">
        <v>184</v>
      </c>
      <c r="F55" s="86"/>
      <c r="G55" s="10">
        <f>((H4/30*33)*7.5%)/28</f>
        <v>3.7676276785714284</v>
      </c>
      <c r="H55" s="10">
        <f t="shared" si="13"/>
        <v>37.676276785714286</v>
      </c>
      <c r="I55" s="10">
        <f t="shared" si="6"/>
        <v>1054.9357500000001</v>
      </c>
      <c r="J55" s="10">
        <f>((K4/30*33)*7.5%)/28</f>
        <v>4.1443874999999997</v>
      </c>
      <c r="K55" s="10">
        <f t="shared" si="14"/>
        <v>124.33162499999999</v>
      </c>
      <c r="L55" s="10">
        <f t="shared" si="7"/>
        <v>3481.2854999999995</v>
      </c>
      <c r="M55" s="10">
        <f>((N4/30*33)*7.5%)/28</f>
        <v>5.3820642857142857</v>
      </c>
      <c r="N55" s="10">
        <f t="shared" si="15"/>
        <v>37.67445</v>
      </c>
      <c r="O55" s="10">
        <f t="shared" si="3"/>
        <v>1054.8846000000001</v>
      </c>
      <c r="P55" s="10">
        <f>((Q4/30*33)*7.5%)/28</f>
        <v>13.082142857142857</v>
      </c>
      <c r="Q55" s="10">
        <f t="shared" si="16"/>
        <v>170.06785714285715</v>
      </c>
      <c r="R55" s="10">
        <f t="shared" si="8"/>
        <v>4761.9000000000005</v>
      </c>
      <c r="S55" s="10">
        <f>((T4/30*33)*7.5%)/28</f>
        <v>6.5410714285714286</v>
      </c>
      <c r="T55" s="10">
        <f t="shared" si="17"/>
        <v>941.91428571428571</v>
      </c>
      <c r="U55" s="10">
        <f t="shared" si="9"/>
        <v>26373.599999999999</v>
      </c>
      <c r="V55" s="10">
        <f t="shared" si="10"/>
        <v>1311.6644946428571</v>
      </c>
      <c r="W55" s="10">
        <f t="shared" si="11"/>
        <v>36726.60585</v>
      </c>
    </row>
    <row r="56" spans="1:24">
      <c r="A56" s="102"/>
      <c r="B56" s="56"/>
      <c r="C56" s="19" t="s">
        <v>104</v>
      </c>
      <c r="D56" s="9" t="s">
        <v>100</v>
      </c>
      <c r="E56" s="89" t="s">
        <v>81</v>
      </c>
      <c r="F56" s="65"/>
      <c r="G56" s="10">
        <f>(H4+H4/3)/12/28</f>
        <v>5.0742460317460312</v>
      </c>
      <c r="H56" s="10">
        <f t="shared" si="13"/>
        <v>50.742460317460313</v>
      </c>
      <c r="I56" s="10">
        <f t="shared" si="6"/>
        <v>1420.7888888888888</v>
      </c>
      <c r="J56" s="10">
        <f>(K4+K4/3)/12/28</f>
        <v>5.5816666666666661</v>
      </c>
      <c r="K56" s="10">
        <f t="shared" si="14"/>
        <v>167.45</v>
      </c>
      <c r="L56" s="10">
        <f t="shared" si="7"/>
        <v>4688.5999999999995</v>
      </c>
      <c r="M56" s="10">
        <f>(N4+N4/3)/12/28</f>
        <v>7.2485714285714291</v>
      </c>
      <c r="N56" s="10">
        <f t="shared" si="15"/>
        <v>50.74</v>
      </c>
      <c r="O56" s="10">
        <f t="shared" si="3"/>
        <v>1420.72</v>
      </c>
      <c r="P56" s="10">
        <f>(Q4+Q4/3)/12/28</f>
        <v>17.619047619047617</v>
      </c>
      <c r="Q56" s="10">
        <f t="shared" si="16"/>
        <v>229.04761904761901</v>
      </c>
      <c r="R56" s="10">
        <f t="shared" si="8"/>
        <v>6413.3333333333321</v>
      </c>
      <c r="S56" s="10">
        <f>(T4+T4/3)/12/28</f>
        <v>8.8095238095238084</v>
      </c>
      <c r="T56" s="10">
        <f t="shared" si="17"/>
        <v>1268.5714285714284</v>
      </c>
      <c r="U56" s="10">
        <f t="shared" si="9"/>
        <v>35520</v>
      </c>
      <c r="V56" s="10">
        <f t="shared" si="10"/>
        <v>1766.5515079365077</v>
      </c>
      <c r="W56" s="10">
        <f t="shared" si="11"/>
        <v>49463.44222222222</v>
      </c>
    </row>
    <row r="57" spans="1:24">
      <c r="A57" s="102"/>
      <c r="B57" s="56"/>
      <c r="C57" s="19" t="s">
        <v>138</v>
      </c>
      <c r="D57" s="9" t="s">
        <v>45</v>
      </c>
      <c r="E57" s="89" t="s">
        <v>80</v>
      </c>
      <c r="F57" s="65"/>
      <c r="G57" s="10">
        <f>H4/12/28</f>
        <v>3.805684523809524</v>
      </c>
      <c r="H57" s="10">
        <f t="shared" si="13"/>
        <v>38.056845238095242</v>
      </c>
      <c r="I57" s="10">
        <f t="shared" si="6"/>
        <v>1065.5916666666667</v>
      </c>
      <c r="J57" s="10">
        <f>K4/12/28</f>
        <v>4.1862499999999994</v>
      </c>
      <c r="K57" s="10">
        <f t="shared" si="14"/>
        <v>125.58749999999998</v>
      </c>
      <c r="L57" s="10">
        <f t="shared" si="7"/>
        <v>3516.4499999999994</v>
      </c>
      <c r="M57" s="10">
        <f>N4/12/28</f>
        <v>5.4364285714285714</v>
      </c>
      <c r="N57" s="10">
        <f t="shared" si="15"/>
        <v>38.055</v>
      </c>
      <c r="O57" s="10">
        <f t="shared" si="3"/>
        <v>1065.54</v>
      </c>
      <c r="P57" s="10">
        <f>Q4/12/28</f>
        <v>13.214285714285714</v>
      </c>
      <c r="Q57" s="10">
        <f t="shared" si="16"/>
        <v>171.78571428571428</v>
      </c>
      <c r="R57" s="10">
        <f t="shared" si="8"/>
        <v>4810</v>
      </c>
      <c r="S57" s="10">
        <f>T4/12/28</f>
        <v>6.6071428571428568</v>
      </c>
      <c r="T57" s="10">
        <f t="shared" si="17"/>
        <v>951.42857142857133</v>
      </c>
      <c r="U57" s="10">
        <f t="shared" si="9"/>
        <v>26639.999999999996</v>
      </c>
      <c r="V57" s="10">
        <f t="shared" si="10"/>
        <v>1324.9136309523808</v>
      </c>
      <c r="W57" s="10">
        <f t="shared" si="11"/>
        <v>37097.581666666665</v>
      </c>
    </row>
    <row r="58" spans="1:24">
      <c r="A58" s="102"/>
      <c r="B58" s="56"/>
      <c r="C58" s="19" t="s">
        <v>139</v>
      </c>
      <c r="D58" s="9" t="s">
        <v>9</v>
      </c>
      <c r="E58" s="89" t="s">
        <v>150</v>
      </c>
      <c r="F58" s="65"/>
      <c r="G58" s="10">
        <f>(G55+G57)*8%</f>
        <v>0.60586497619047619</v>
      </c>
      <c r="H58" s="10">
        <f t="shared" si="13"/>
        <v>6.0586497619047623</v>
      </c>
      <c r="I58" s="10">
        <f t="shared" si="6"/>
        <v>169.64219333333335</v>
      </c>
      <c r="J58" s="10">
        <f>(J55+J57)*8%</f>
        <v>0.6664509999999999</v>
      </c>
      <c r="K58" s="10">
        <f t="shared" si="14"/>
        <v>19.993529999999996</v>
      </c>
      <c r="L58" s="10">
        <f t="shared" si="7"/>
        <v>559.81883999999991</v>
      </c>
      <c r="M58" s="10">
        <f>(M55+M57)*8%</f>
        <v>0.86547942857142857</v>
      </c>
      <c r="N58" s="10">
        <f t="shared" si="15"/>
        <v>6.0583559999999999</v>
      </c>
      <c r="O58" s="10">
        <f t="shared" si="3"/>
        <v>169.63396799999998</v>
      </c>
      <c r="P58" s="10">
        <f>(P55+P57)*8%</f>
        <v>2.1037142857142856</v>
      </c>
      <c r="Q58" s="10">
        <f t="shared" si="16"/>
        <v>27.348285714285712</v>
      </c>
      <c r="R58" s="10">
        <f t="shared" si="8"/>
        <v>765.75199999999995</v>
      </c>
      <c r="S58" s="10">
        <f>(S55+S57)*8%</f>
        <v>1.0518571428571428</v>
      </c>
      <c r="T58" s="10">
        <f t="shared" si="17"/>
        <v>151.46742857142857</v>
      </c>
      <c r="U58" s="10">
        <f t="shared" si="9"/>
        <v>4241.0879999999997</v>
      </c>
      <c r="V58" s="10">
        <f t="shared" si="10"/>
        <v>210.92625004761902</v>
      </c>
      <c r="W58" s="10">
        <f t="shared" si="11"/>
        <v>5905.9350013333324</v>
      </c>
    </row>
    <row r="59" spans="1:24">
      <c r="A59" s="102"/>
      <c r="B59" s="56"/>
      <c r="C59" s="19" t="s">
        <v>140</v>
      </c>
      <c r="D59" s="9" t="s">
        <v>12</v>
      </c>
      <c r="E59" s="89" t="s">
        <v>151</v>
      </c>
      <c r="F59" s="65"/>
      <c r="G59" s="10">
        <f>(G55+G57)*20%</f>
        <v>1.5146624404761906</v>
      </c>
      <c r="H59" s="10">
        <f t="shared" si="13"/>
        <v>15.146624404761905</v>
      </c>
      <c r="I59" s="10">
        <f t="shared" si="6"/>
        <v>424.10548333333332</v>
      </c>
      <c r="J59" s="10">
        <f>(J55+J57)*20%</f>
        <v>1.6661274999999998</v>
      </c>
      <c r="K59" s="10">
        <f t="shared" si="14"/>
        <v>49.983824999999996</v>
      </c>
      <c r="L59" s="10">
        <f t="shared" si="7"/>
        <v>1399.5470999999998</v>
      </c>
      <c r="M59" s="10">
        <f>(M55+M57)*20%</f>
        <v>2.1636985714285717</v>
      </c>
      <c r="N59" s="10">
        <f t="shared" si="15"/>
        <v>15.145890000000001</v>
      </c>
      <c r="O59" s="10">
        <f t="shared" si="3"/>
        <v>424.08492000000001</v>
      </c>
      <c r="P59" s="10">
        <f>(P55+P57)*20%</f>
        <v>5.2592857142857143</v>
      </c>
      <c r="Q59" s="10">
        <f t="shared" si="16"/>
        <v>68.370714285714286</v>
      </c>
      <c r="R59" s="10">
        <f t="shared" si="8"/>
        <v>1914.38</v>
      </c>
      <c r="S59" s="10">
        <f>(S55+S57)*20%</f>
        <v>2.6296428571428572</v>
      </c>
      <c r="T59" s="10">
        <f t="shared" si="17"/>
        <v>378.66857142857145</v>
      </c>
      <c r="U59" s="10">
        <f t="shared" si="9"/>
        <v>10602.720000000001</v>
      </c>
      <c r="V59" s="10">
        <f t="shared" si="10"/>
        <v>527.31562511904758</v>
      </c>
      <c r="W59" s="10">
        <f t="shared" si="11"/>
        <v>14764.837503333332</v>
      </c>
    </row>
    <row r="60" spans="1:24">
      <c r="A60" s="102"/>
      <c r="B60" s="56"/>
      <c r="C60" s="19" t="s">
        <v>141</v>
      </c>
      <c r="D60" s="9" t="s">
        <v>95</v>
      </c>
      <c r="E60" s="89" t="s">
        <v>153</v>
      </c>
      <c r="F60" s="65"/>
      <c r="G60" s="10">
        <f>(G55+G57)*0.2%</f>
        <v>1.5146624404761905E-2</v>
      </c>
      <c r="H60" s="10">
        <f t="shared" si="13"/>
        <v>0.15146624404761905</v>
      </c>
      <c r="I60" s="10">
        <f t="shared" si="6"/>
        <v>4.2410548333333331</v>
      </c>
      <c r="J60" s="10">
        <f>(J55+J57)*0.2%</f>
        <v>1.6661274999999996E-2</v>
      </c>
      <c r="K60" s="10">
        <f t="shared" si="14"/>
        <v>0.49983824999999987</v>
      </c>
      <c r="L60" s="10">
        <f t="shared" si="7"/>
        <v>13.995470999999997</v>
      </c>
      <c r="M60" s="10">
        <f>(M55+M57)*0.2%</f>
        <v>2.1636985714285715E-2</v>
      </c>
      <c r="N60" s="10">
        <f t="shared" si="15"/>
        <v>0.15145890000000001</v>
      </c>
      <c r="O60" s="10">
        <f t="shared" si="3"/>
        <v>4.2408492000000004</v>
      </c>
      <c r="P60" s="10">
        <f>(P55+P57)*0.2%</f>
        <v>5.2592857142857143E-2</v>
      </c>
      <c r="Q60" s="10">
        <f t="shared" si="16"/>
        <v>0.68370714285714285</v>
      </c>
      <c r="R60" s="10">
        <f t="shared" si="8"/>
        <v>19.143799999999999</v>
      </c>
      <c r="S60" s="10">
        <f>(S55+S57)*0.2%</f>
        <v>2.6296428571428571E-2</v>
      </c>
      <c r="T60" s="10">
        <f t="shared" si="17"/>
        <v>3.7866857142857144</v>
      </c>
      <c r="U60" s="10">
        <f t="shared" si="9"/>
        <v>106.02720000000001</v>
      </c>
      <c r="V60" s="10">
        <f t="shared" si="10"/>
        <v>5.2731562511904766</v>
      </c>
      <c r="W60" s="10">
        <f t="shared" si="11"/>
        <v>147.64837503333334</v>
      </c>
    </row>
    <row r="61" spans="1:24">
      <c r="A61" s="102"/>
      <c r="B61" s="56"/>
      <c r="C61" s="19" t="s">
        <v>142</v>
      </c>
      <c r="D61" s="9" t="s">
        <v>105</v>
      </c>
      <c r="E61" s="89" t="s">
        <v>154</v>
      </c>
      <c r="F61" s="65"/>
      <c r="G61" s="10">
        <f>(G55+G57)*1%</f>
        <v>7.5733122023809524E-2</v>
      </c>
      <c r="H61" s="10">
        <f t="shared" si="13"/>
        <v>0.75733122023809529</v>
      </c>
      <c r="I61" s="10">
        <f t="shared" si="6"/>
        <v>21.205274166666669</v>
      </c>
      <c r="J61" s="10">
        <f>(J55+J57)*1%</f>
        <v>8.3306374999999988E-2</v>
      </c>
      <c r="K61" s="10">
        <f t="shared" si="14"/>
        <v>2.4991912499999995</v>
      </c>
      <c r="L61" s="10">
        <f t="shared" si="7"/>
        <v>69.977354999999989</v>
      </c>
      <c r="M61" s="10">
        <f>(M55+M57)*1%</f>
        <v>0.10818492857142857</v>
      </c>
      <c r="N61" s="10">
        <f t="shared" si="15"/>
        <v>0.75729449999999998</v>
      </c>
      <c r="O61" s="10">
        <f t="shared" si="3"/>
        <v>21.204245999999998</v>
      </c>
      <c r="P61" s="10">
        <f>(P55+P57)*1%</f>
        <v>0.26296428571428571</v>
      </c>
      <c r="Q61" s="10">
        <f t="shared" si="16"/>
        <v>3.418535714285714</v>
      </c>
      <c r="R61" s="10">
        <f t="shared" si="8"/>
        <v>95.718999999999994</v>
      </c>
      <c r="S61" s="10">
        <f>(S55+S57)*1%</f>
        <v>0.13148214285714285</v>
      </c>
      <c r="T61" s="10">
        <f t="shared" si="17"/>
        <v>18.933428571428571</v>
      </c>
      <c r="U61" s="10">
        <f t="shared" si="9"/>
        <v>530.13599999999997</v>
      </c>
      <c r="V61" s="10">
        <f t="shared" si="10"/>
        <v>26.365781255952378</v>
      </c>
      <c r="W61" s="10">
        <f t="shared" si="11"/>
        <v>738.24187516666655</v>
      </c>
    </row>
    <row r="62" spans="1:24">
      <c r="A62" s="102"/>
      <c r="B62" s="56"/>
      <c r="C62" s="19" t="s">
        <v>143</v>
      </c>
      <c r="D62" s="9" t="s">
        <v>106</v>
      </c>
      <c r="E62" s="89" t="s">
        <v>155</v>
      </c>
      <c r="F62" s="65"/>
      <c r="G62" s="10">
        <f>(G55+G57)*1.5%</f>
        <v>0.11359968303571429</v>
      </c>
      <c r="H62" s="10">
        <f t="shared" si="13"/>
        <v>1.1359968303571428</v>
      </c>
      <c r="I62" s="10">
        <f t="shared" si="6"/>
        <v>31.80791125</v>
      </c>
      <c r="J62" s="10">
        <f>(J55+J57)*1.5%</f>
        <v>0.12495956249999997</v>
      </c>
      <c r="K62" s="10">
        <f t="shared" si="14"/>
        <v>3.7487868749999991</v>
      </c>
      <c r="L62" s="10">
        <f t="shared" si="7"/>
        <v>104.96603249999997</v>
      </c>
      <c r="M62" s="10">
        <f>(M55+M57)*1.5%</f>
        <v>0.16227739285714285</v>
      </c>
      <c r="N62" s="10">
        <f t="shared" si="15"/>
        <v>1.13594175</v>
      </c>
      <c r="O62" s="10">
        <f t="shared" si="3"/>
        <v>31.806369</v>
      </c>
      <c r="P62" s="10">
        <f>(P55+P57)*1.5%</f>
        <v>0.39444642857142853</v>
      </c>
      <c r="Q62" s="10">
        <f t="shared" si="16"/>
        <v>5.1278035714285712</v>
      </c>
      <c r="R62" s="10">
        <f t="shared" si="8"/>
        <v>143.57849999999999</v>
      </c>
      <c r="S62" s="10">
        <f>(S55+S57)*1.5%</f>
        <v>0.19722321428571427</v>
      </c>
      <c r="T62" s="10">
        <f t="shared" si="17"/>
        <v>28.400142857142853</v>
      </c>
      <c r="U62" s="10">
        <f t="shared" si="9"/>
        <v>795.20399999999995</v>
      </c>
      <c r="V62" s="10">
        <f t="shared" si="10"/>
        <v>39.548671883928563</v>
      </c>
      <c r="W62" s="10">
        <f t="shared" si="11"/>
        <v>1107.3628127499996</v>
      </c>
    </row>
    <row r="63" spans="1:24">
      <c r="A63" s="102"/>
      <c r="B63" s="56"/>
      <c r="C63" s="19" t="s">
        <v>144</v>
      </c>
      <c r="D63" s="9" t="s">
        <v>107</v>
      </c>
      <c r="E63" s="89" t="s">
        <v>156</v>
      </c>
      <c r="F63" s="65"/>
      <c r="G63" s="10">
        <f>(G55+G57)*0.6%</f>
        <v>4.5439873214285713E-2</v>
      </c>
      <c r="H63" s="10">
        <f t="shared" si="13"/>
        <v>0.45439873214285714</v>
      </c>
      <c r="I63" s="10">
        <f t="shared" si="6"/>
        <v>12.723164499999999</v>
      </c>
      <c r="J63" s="10">
        <f>(J55+J57)*0.6%</f>
        <v>4.9983824999999989E-2</v>
      </c>
      <c r="K63" s="10">
        <f t="shared" si="14"/>
        <v>1.4995147499999997</v>
      </c>
      <c r="L63" s="10">
        <f t="shared" si="7"/>
        <v>41.986412999999992</v>
      </c>
      <c r="M63" s="10">
        <f>(M55+M57)*0.6%</f>
        <v>6.4910957142857148E-2</v>
      </c>
      <c r="N63" s="10">
        <f t="shared" si="15"/>
        <v>0.45437670000000002</v>
      </c>
      <c r="O63" s="10">
        <f t="shared" si="3"/>
        <v>12.7225476</v>
      </c>
      <c r="P63" s="10">
        <f>(P55+P57)*0.6%</f>
        <v>0.15777857142857143</v>
      </c>
      <c r="Q63" s="10">
        <f t="shared" si="16"/>
        <v>2.0511214285714288</v>
      </c>
      <c r="R63" s="10">
        <f t="shared" si="8"/>
        <v>57.431400000000004</v>
      </c>
      <c r="S63" s="10">
        <f>(S55+S57)*0.6%</f>
        <v>7.8889285714285717E-2</v>
      </c>
      <c r="T63" s="10">
        <f t="shared" si="17"/>
        <v>11.360057142857144</v>
      </c>
      <c r="U63" s="10">
        <f t="shared" si="9"/>
        <v>318.08160000000004</v>
      </c>
      <c r="V63" s="10">
        <f t="shared" si="10"/>
        <v>15.81946875357143</v>
      </c>
      <c r="W63" s="10">
        <f t="shared" si="11"/>
        <v>442.94512510000004</v>
      </c>
    </row>
    <row r="64" spans="1:24">
      <c r="A64" s="102"/>
      <c r="B64" s="56"/>
      <c r="C64" s="19" t="s">
        <v>145</v>
      </c>
      <c r="D64" s="9" t="s">
        <v>14</v>
      </c>
      <c r="E64" s="89" t="s">
        <v>152</v>
      </c>
      <c r="F64" s="65"/>
      <c r="G64" s="10">
        <f>(G55+G57)*2.5%</f>
        <v>0.18933280505952382</v>
      </c>
      <c r="H64" s="10">
        <f t="shared" si="13"/>
        <v>1.8933280505952381</v>
      </c>
      <c r="I64" s="10">
        <f t="shared" si="6"/>
        <v>53.013185416666666</v>
      </c>
      <c r="J64" s="10">
        <f>(J55+J57)*2.5%</f>
        <v>0.20826593749999997</v>
      </c>
      <c r="K64" s="10">
        <f t="shared" si="14"/>
        <v>6.2479781249999995</v>
      </c>
      <c r="L64" s="10">
        <f t="shared" si="7"/>
        <v>174.94338749999997</v>
      </c>
      <c r="M64" s="10">
        <f>(M55+M57)*2.5%</f>
        <v>0.27046232142857146</v>
      </c>
      <c r="N64" s="10">
        <f t="shared" si="15"/>
        <v>1.8932362500000002</v>
      </c>
      <c r="O64" s="10">
        <f t="shared" si="3"/>
        <v>53.010615000000001</v>
      </c>
      <c r="P64" s="10">
        <f>(P55+P57)*2.5%</f>
        <v>0.65741071428571429</v>
      </c>
      <c r="Q64" s="10">
        <f t="shared" si="16"/>
        <v>8.5463392857142857</v>
      </c>
      <c r="R64" s="10">
        <f t="shared" si="8"/>
        <v>239.29750000000001</v>
      </c>
      <c r="S64" s="10">
        <f>(S55+S57)*2.5%</f>
        <v>0.32870535714285715</v>
      </c>
      <c r="T64" s="10">
        <f t="shared" si="17"/>
        <v>47.333571428571432</v>
      </c>
      <c r="U64" s="10">
        <f t="shared" si="9"/>
        <v>1325.3400000000001</v>
      </c>
      <c r="V64" s="10">
        <f t="shared" si="10"/>
        <v>65.914453139880948</v>
      </c>
      <c r="W64" s="10">
        <f t="shared" si="11"/>
        <v>1845.6046879166665</v>
      </c>
    </row>
    <row r="65" spans="1:30">
      <c r="A65" s="102"/>
      <c r="B65" s="56"/>
      <c r="C65" s="19" t="s">
        <v>146</v>
      </c>
      <c r="D65" s="9" t="s">
        <v>16</v>
      </c>
      <c r="E65" s="89" t="s">
        <v>193</v>
      </c>
      <c r="F65" s="65"/>
      <c r="G65" s="10">
        <f>(G55+G57)*2.4546%</f>
        <v>0.18589452131964287</v>
      </c>
      <c r="H65" s="10">
        <f t="shared" si="13"/>
        <v>1.8589452131964288</v>
      </c>
      <c r="I65" s="10">
        <f t="shared" si="6"/>
        <v>52.05046596950001</v>
      </c>
      <c r="J65" s="10">
        <f>(J55+J57)*2.4546%</f>
        <v>0.20448382807499996</v>
      </c>
      <c r="K65" s="10">
        <f t="shared" si="14"/>
        <v>6.1345148422499989</v>
      </c>
      <c r="L65" s="10">
        <f t="shared" si="7"/>
        <v>171.76641558299997</v>
      </c>
      <c r="M65" s="10">
        <f>(M55+M57)*2.4546%</f>
        <v>0.26555072567142857</v>
      </c>
      <c r="N65" s="10">
        <f t="shared" si="15"/>
        <v>1.8588550797000001</v>
      </c>
      <c r="O65" s="10">
        <f t="shared" si="3"/>
        <v>52.047942231600004</v>
      </c>
      <c r="P65" s="10">
        <f>(P55+P57)*2.4546%</f>
        <v>0.64547213571428574</v>
      </c>
      <c r="Q65" s="10">
        <f t="shared" si="16"/>
        <v>8.3911377642857143</v>
      </c>
      <c r="R65" s="10">
        <f t="shared" si="8"/>
        <v>234.95185739999999</v>
      </c>
      <c r="S65" s="10">
        <f>(S55+S57)*2.4546%</f>
        <v>0.32273606785714287</v>
      </c>
      <c r="T65" s="10">
        <f t="shared" si="17"/>
        <v>46.473993771428574</v>
      </c>
      <c r="U65" s="10">
        <f t="shared" si="9"/>
        <v>1301.2718256000001</v>
      </c>
      <c r="V65" s="10">
        <f t="shared" si="10"/>
        <v>64.71744667086071</v>
      </c>
      <c r="W65" s="10">
        <f t="shared" si="11"/>
        <v>1812.0885067841</v>
      </c>
    </row>
    <row r="66" spans="1:30">
      <c r="A66" s="102"/>
      <c r="B66" s="56"/>
      <c r="C66" s="19" t="s">
        <v>147</v>
      </c>
      <c r="D66" s="9" t="s">
        <v>43</v>
      </c>
      <c r="E66" s="87" t="s">
        <v>168</v>
      </c>
      <c r="F66" s="88"/>
      <c r="G66" s="10">
        <f>((G7+G23+G33+G46+G58)*40%)*85.43%</f>
        <v>40.872132372927311</v>
      </c>
      <c r="H66" s="10">
        <f t="shared" si="13"/>
        <v>408.72132372927308</v>
      </c>
      <c r="I66" s="10">
        <f t="shared" si="6"/>
        <v>11444.197064419646</v>
      </c>
      <c r="J66" s="10">
        <f>((J7+J23+J33+J46+J58)*40%)*85.43%</f>
        <v>44.959313646653328</v>
      </c>
      <c r="K66" s="10">
        <f t="shared" si="14"/>
        <v>1348.7794093995999</v>
      </c>
      <c r="L66" s="10">
        <f t="shared" si="7"/>
        <v>37765.823463188797</v>
      </c>
      <c r="M66" s="10">
        <f>((M7+M23+M33+M46+M58)*40%)*85.43%</f>
        <v>58.38592947398859</v>
      </c>
      <c r="N66" s="10">
        <f t="shared" si="15"/>
        <v>408.70150631792012</v>
      </c>
      <c r="O66" s="10">
        <f t="shared" si="3"/>
        <v>11443.642176901763</v>
      </c>
      <c r="P66" s="10">
        <f>((P7+P23+P33+P46+P58)*40%)*85.43%</f>
        <v>141.91823614095242</v>
      </c>
      <c r="Q66" s="10">
        <f t="shared" si="16"/>
        <v>1844.9370698323814</v>
      </c>
      <c r="R66" s="10">
        <f t="shared" si="8"/>
        <v>51658.237955306678</v>
      </c>
      <c r="S66" s="10">
        <f>((S7+S23+S33+S46+S58)*40%)*85.43%</f>
        <v>70.959118070476208</v>
      </c>
      <c r="T66" s="10">
        <f t="shared" si="17"/>
        <v>10218.113002148573</v>
      </c>
      <c r="U66" s="10">
        <f t="shared" si="9"/>
        <v>286107.16406016005</v>
      </c>
      <c r="V66" s="10">
        <f t="shared" si="10"/>
        <v>14229.252311427748</v>
      </c>
      <c r="W66" s="10">
        <f t="shared" si="11"/>
        <v>398419.06471997697</v>
      </c>
    </row>
    <row r="67" spans="1:30">
      <c r="A67" s="103"/>
      <c r="B67" s="57"/>
      <c r="C67" s="11" t="s">
        <v>148</v>
      </c>
      <c r="D67" s="12" t="s">
        <v>7</v>
      </c>
      <c r="E67" s="66" t="s">
        <v>149</v>
      </c>
      <c r="F67" s="67"/>
      <c r="G67" s="13">
        <f>SUM(G55:G66)</f>
        <v>56.2653646527787</v>
      </c>
      <c r="H67" s="13">
        <f t="shared" si="13"/>
        <v>562.65364652778703</v>
      </c>
      <c r="I67" s="13">
        <f t="shared" si="6"/>
        <v>15754.302102778038</v>
      </c>
      <c r="J67" s="13">
        <f>SUM(J55:J66)</f>
        <v>61.891857116394988</v>
      </c>
      <c r="K67" s="13">
        <f t="shared" si="14"/>
        <v>1856.7557134918497</v>
      </c>
      <c r="L67" s="13">
        <f t="shared" si="7"/>
        <v>51989.159977771793</v>
      </c>
      <c r="M67" s="13">
        <f>SUM(M55:M66)</f>
        <v>80.375195071088598</v>
      </c>
      <c r="N67" s="13">
        <f t="shared" si="15"/>
        <v>562.62636549762021</v>
      </c>
      <c r="O67" s="13">
        <f t="shared" si="3"/>
        <v>15753.538233933366</v>
      </c>
      <c r="P67" s="13">
        <f>SUM(P55:P66)</f>
        <v>195.36737732428574</v>
      </c>
      <c r="Q67" s="13">
        <f t="shared" si="16"/>
        <v>2539.7759052157148</v>
      </c>
      <c r="R67" s="13">
        <f t="shared" si="8"/>
        <v>71113.72534604001</v>
      </c>
      <c r="S67" s="13">
        <f>SUM(S55:S66)</f>
        <v>97.68368866214287</v>
      </c>
      <c r="T67" s="13">
        <f t="shared" si="17"/>
        <v>14066.451167348574</v>
      </c>
      <c r="U67" s="13">
        <f t="shared" si="9"/>
        <v>393860.63268576009</v>
      </c>
      <c r="V67" s="39">
        <f t="shared" si="10"/>
        <v>19588.262798081545</v>
      </c>
      <c r="W67" s="13">
        <f t="shared" si="11"/>
        <v>548471.3583462832</v>
      </c>
    </row>
    <row r="68" spans="1:30" ht="15" customHeight="1">
      <c r="A68" s="104" t="s">
        <v>82</v>
      </c>
      <c r="B68" s="105"/>
      <c r="C68" s="19" t="s">
        <v>157</v>
      </c>
      <c r="D68" s="17" t="s">
        <v>52</v>
      </c>
      <c r="E68" s="64">
        <v>80</v>
      </c>
      <c r="F68" s="65"/>
      <c r="G68" s="5">
        <f>E68*6/28</f>
        <v>17.142857142857142</v>
      </c>
      <c r="H68" s="5">
        <f t="shared" si="13"/>
        <v>171.42857142857142</v>
      </c>
      <c r="I68" s="5">
        <f t="shared" si="6"/>
        <v>4800</v>
      </c>
      <c r="J68" s="5">
        <f>E68*6/28</f>
        <v>17.142857142857142</v>
      </c>
      <c r="K68" s="5">
        <f t="shared" si="14"/>
        <v>514.28571428571422</v>
      </c>
      <c r="L68" s="5">
        <f t="shared" si="7"/>
        <v>14399.999999999998</v>
      </c>
      <c r="M68" s="5">
        <f>E68*6/28</f>
        <v>17.142857142857142</v>
      </c>
      <c r="N68" s="5">
        <f t="shared" si="15"/>
        <v>120</v>
      </c>
      <c r="O68" s="5">
        <f t="shared" si="3"/>
        <v>3360</v>
      </c>
      <c r="P68" s="5">
        <f>E68*10/28</f>
        <v>28.571428571428573</v>
      </c>
      <c r="Q68" s="5">
        <f t="shared" si="16"/>
        <v>371.42857142857144</v>
      </c>
      <c r="R68" s="5">
        <f t="shared" si="8"/>
        <v>10400</v>
      </c>
      <c r="S68" s="5">
        <f>E68*10/28</f>
        <v>28.571428571428573</v>
      </c>
      <c r="T68" s="5">
        <f t="shared" si="17"/>
        <v>4114.2857142857147</v>
      </c>
      <c r="U68" s="5">
        <f t="shared" si="9"/>
        <v>115200.00000000001</v>
      </c>
      <c r="V68" s="10">
        <f t="shared" si="10"/>
        <v>5291.4285714285716</v>
      </c>
      <c r="W68" s="5">
        <f t="shared" si="11"/>
        <v>148160</v>
      </c>
    </row>
    <row r="69" spans="1:30">
      <c r="A69" s="106"/>
      <c r="B69" s="107"/>
      <c r="C69" s="11" t="s">
        <v>158</v>
      </c>
      <c r="D69" s="12" t="s">
        <v>7</v>
      </c>
      <c r="E69" s="66" t="s">
        <v>157</v>
      </c>
      <c r="F69" s="67"/>
      <c r="G69" s="13">
        <f>SUM(G68)</f>
        <v>17.142857142857142</v>
      </c>
      <c r="H69" s="13">
        <f t="shared" si="13"/>
        <v>171.42857142857142</v>
      </c>
      <c r="I69" s="13">
        <f t="shared" si="6"/>
        <v>4800</v>
      </c>
      <c r="J69" s="13">
        <f>SUM(J68)</f>
        <v>17.142857142857142</v>
      </c>
      <c r="K69" s="13">
        <f t="shared" si="14"/>
        <v>514.28571428571422</v>
      </c>
      <c r="L69" s="13">
        <f t="shared" si="7"/>
        <v>14399.999999999998</v>
      </c>
      <c r="M69" s="13">
        <f>SUM(M68)</f>
        <v>17.142857142857142</v>
      </c>
      <c r="N69" s="13">
        <f t="shared" si="15"/>
        <v>120</v>
      </c>
      <c r="O69" s="13">
        <f t="shared" si="3"/>
        <v>3360</v>
      </c>
      <c r="P69" s="13">
        <f>SUM(P68)</f>
        <v>28.571428571428573</v>
      </c>
      <c r="Q69" s="13">
        <f t="shared" si="16"/>
        <v>371.42857142857144</v>
      </c>
      <c r="R69" s="13">
        <f t="shared" si="8"/>
        <v>10400</v>
      </c>
      <c r="S69" s="13">
        <f>SUM(S68)</f>
        <v>28.571428571428573</v>
      </c>
      <c r="T69" s="13">
        <f t="shared" si="17"/>
        <v>4114.2857142857147</v>
      </c>
      <c r="U69" s="13">
        <f t="shared" si="9"/>
        <v>115200.00000000001</v>
      </c>
      <c r="V69" s="39">
        <f t="shared" si="10"/>
        <v>5291.4285714285716</v>
      </c>
      <c r="W69" s="13">
        <f t="shared" si="11"/>
        <v>148160</v>
      </c>
    </row>
    <row r="70" spans="1:30">
      <c r="A70" s="59" t="s">
        <v>86</v>
      </c>
      <c r="B70" s="76"/>
      <c r="C70" s="76"/>
      <c r="D70" s="76"/>
      <c r="E70" s="76"/>
      <c r="F70" s="60"/>
      <c r="G70" s="13">
        <f>SUM(G69,G67,G54,G41,G31,G21,G15)</f>
        <v>2885.3919790485288</v>
      </c>
      <c r="H70" s="13">
        <f t="shared" ref="H70:U70" si="18">SUM(H69,H67,H54,H41,H31,H21,H15)</f>
        <v>28853.919790485288</v>
      </c>
      <c r="I70" s="13">
        <f t="shared" si="18"/>
        <v>807909.75413358817</v>
      </c>
      <c r="J70" s="13">
        <f>SUM(J69,J67,J54,J41,J31,J21,J15)</f>
        <v>3086.3360197677521</v>
      </c>
      <c r="K70" s="13">
        <f t="shared" si="18"/>
        <v>92590.080593032559</v>
      </c>
      <c r="L70" s="13">
        <f t="shared" si="18"/>
        <v>2592522.2566049118</v>
      </c>
      <c r="M70" s="13">
        <f>SUM(M69,M67,M54,M41,M31,M21,M15)</f>
        <v>3746.4482724033751</v>
      </c>
      <c r="N70" s="13">
        <f t="shared" si="18"/>
        <v>26225.137906823627</v>
      </c>
      <c r="O70" s="13">
        <f t="shared" si="18"/>
        <v>734303.86139106157</v>
      </c>
      <c r="P70" s="13">
        <f>SUM(P69,P67,P54,P41,P31,P21,P15)</f>
        <v>7938.9643374671432</v>
      </c>
      <c r="Q70" s="13">
        <f t="shared" si="18"/>
        <v>103206.53638707288</v>
      </c>
      <c r="R70" s="13">
        <f t="shared" si="18"/>
        <v>2889783.0188380405</v>
      </c>
      <c r="S70" s="13">
        <f>SUM(S69,S67,S54,S41,S31,S21,S15)</f>
        <v>4376.0308115907146</v>
      </c>
      <c r="T70" s="13">
        <f t="shared" si="18"/>
        <v>630148.43686906295</v>
      </c>
      <c r="U70" s="13">
        <f t="shared" si="18"/>
        <v>17644156.232333761</v>
      </c>
      <c r="V70" s="39">
        <f t="shared" si="10"/>
        <v>881024.1115464773</v>
      </c>
      <c r="W70" s="13">
        <f t="shared" si="11"/>
        <v>24668675.123301364</v>
      </c>
    </row>
    <row r="71" spans="1:30" ht="14" customHeight="1">
      <c r="A71" s="98" t="s">
        <v>83</v>
      </c>
      <c r="B71" s="58" t="s">
        <v>69</v>
      </c>
      <c r="C71" s="20" t="s">
        <v>159</v>
      </c>
      <c r="D71" s="21" t="s">
        <v>55</v>
      </c>
      <c r="E71" s="52" t="s">
        <v>196</v>
      </c>
      <c r="F71" s="53"/>
      <c r="G71" s="30">
        <f>G70*$Z$71</f>
        <v>28.853919790485289</v>
      </c>
      <c r="H71" s="30">
        <f>G71*G4</f>
        <v>288.53919790485287</v>
      </c>
      <c r="I71" s="30">
        <f>H71*28</f>
        <v>8079.0975413358801</v>
      </c>
      <c r="J71" s="30">
        <f>J70*$Z$71</f>
        <v>30.863360197677522</v>
      </c>
      <c r="K71" s="30">
        <f>J71*J4</f>
        <v>925.90080593032565</v>
      </c>
      <c r="L71" s="30">
        <f>K71*28</f>
        <v>25925.222566049117</v>
      </c>
      <c r="M71" s="30">
        <f>M70*$Z$71</f>
        <v>37.464482724033751</v>
      </c>
      <c r="N71" s="30">
        <f>M71*M4</f>
        <v>262.25137906823625</v>
      </c>
      <c r="O71" s="30">
        <f>N71*28</f>
        <v>7343.0386139106149</v>
      </c>
      <c r="P71" s="30">
        <f>P70*$Z$71</f>
        <v>79.389643374671437</v>
      </c>
      <c r="Q71" s="30">
        <f>P71*P4</f>
        <v>1032.0653638707286</v>
      </c>
      <c r="R71" s="30">
        <f>Q71*28</f>
        <v>28897.830188380402</v>
      </c>
      <c r="S71" s="30">
        <f>S70*$Z$71</f>
        <v>43.760308115907144</v>
      </c>
      <c r="T71" s="30">
        <f>S71*S4</f>
        <v>6301.4843686906288</v>
      </c>
      <c r="U71" s="30">
        <f>T71*28</f>
        <v>176441.5623233376</v>
      </c>
      <c r="V71" s="10">
        <f t="shared" ref="V71:V80" si="19">H71+K71+N71+Q71+T71</f>
        <v>8810.2411154647725</v>
      </c>
      <c r="W71" s="22">
        <f t="shared" ref="W71:W80" si="20">V71*28</f>
        <v>246686.75123301364</v>
      </c>
      <c r="Y71" s="1" t="s">
        <v>177</v>
      </c>
      <c r="Z71" s="31">
        <v>0.01</v>
      </c>
      <c r="AA71" s="33"/>
    </row>
    <row r="72" spans="1:30">
      <c r="A72" s="99"/>
      <c r="B72" s="58"/>
      <c r="C72" s="23" t="s">
        <v>160</v>
      </c>
      <c r="D72" s="24" t="s">
        <v>7</v>
      </c>
      <c r="E72" s="59" t="s">
        <v>159</v>
      </c>
      <c r="F72" s="60"/>
      <c r="G72" s="25">
        <f t="shared" ref="G72:S72" si="21">SUM(G71)</f>
        <v>28.853919790485289</v>
      </c>
      <c r="H72" s="25">
        <f t="shared" si="21"/>
        <v>288.53919790485287</v>
      </c>
      <c r="I72" s="25">
        <f t="shared" si="21"/>
        <v>8079.0975413358801</v>
      </c>
      <c r="J72" s="25">
        <f t="shared" si="21"/>
        <v>30.863360197677522</v>
      </c>
      <c r="K72" s="25">
        <f t="shared" ref="K72:L72" si="22">SUM(K71)</f>
        <v>925.90080593032565</v>
      </c>
      <c r="L72" s="25">
        <f t="shared" si="22"/>
        <v>25925.222566049117</v>
      </c>
      <c r="M72" s="25">
        <f t="shared" si="21"/>
        <v>37.464482724033751</v>
      </c>
      <c r="N72" s="25">
        <f t="shared" ref="N72:O72" si="23">SUM(N71)</f>
        <v>262.25137906823625</v>
      </c>
      <c r="O72" s="25">
        <f t="shared" si="23"/>
        <v>7343.0386139106149</v>
      </c>
      <c r="P72" s="25">
        <f t="shared" si="21"/>
        <v>79.389643374671437</v>
      </c>
      <c r="Q72" s="25">
        <f t="shared" ref="Q72:R72" si="24">SUM(Q71)</f>
        <v>1032.0653638707286</v>
      </c>
      <c r="R72" s="25">
        <f t="shared" si="24"/>
        <v>28897.830188380402</v>
      </c>
      <c r="S72" s="25">
        <f t="shared" si="21"/>
        <v>43.760308115907144</v>
      </c>
      <c r="T72" s="25">
        <f t="shared" ref="T72:U72" si="25">SUM(T71)</f>
        <v>6301.4843686906288</v>
      </c>
      <c r="U72" s="25">
        <f t="shared" si="25"/>
        <v>176441.5623233376</v>
      </c>
      <c r="V72" s="39">
        <f t="shared" si="19"/>
        <v>8810.2411154647725</v>
      </c>
      <c r="W72" s="25">
        <f t="shared" si="20"/>
        <v>246686.75123301364</v>
      </c>
      <c r="Y72" s="1" t="s">
        <v>67</v>
      </c>
      <c r="Z72" s="31">
        <v>9.4999999999999998E-3</v>
      </c>
      <c r="AA72" s="31">
        <v>0.05</v>
      </c>
      <c r="AB72" s="31">
        <v>8.8000000000000005E-3</v>
      </c>
      <c r="AC72" s="31">
        <v>7.0000000000000001E-3</v>
      </c>
      <c r="AD72" s="31">
        <v>8.0000000000000002E-3</v>
      </c>
    </row>
    <row r="73" spans="1:30">
      <c r="A73" s="99"/>
      <c r="B73" s="58"/>
      <c r="C73" s="20" t="s">
        <v>161</v>
      </c>
      <c r="D73" s="21" t="s">
        <v>61</v>
      </c>
      <c r="E73" s="81" t="s">
        <v>186</v>
      </c>
      <c r="F73" s="82"/>
      <c r="G73" s="22">
        <f>((G70+G72+G78)/(1-$Z$77))*$Z$75</f>
        <v>171.43580347519367</v>
      </c>
      <c r="H73" s="22">
        <f>G73*G4</f>
        <v>1714.3580347519367</v>
      </c>
      <c r="I73" s="30">
        <f>H73*28</f>
        <v>48002.024973054227</v>
      </c>
      <c r="J73" s="22">
        <f>((J70+J72+J78)/(1-$Z$77))*$Z$75</f>
        <v>190.73170462288479</v>
      </c>
      <c r="K73" s="22">
        <f>J73*J4</f>
        <v>5721.9511386865433</v>
      </c>
      <c r="L73" s="30">
        <f>K73*28</f>
        <v>160214.63188322322</v>
      </c>
      <c r="M73" s="22">
        <f>((M70+M72+M78)/(1-$Z$77))*$Z$75</f>
        <v>222.44118393503135</v>
      </c>
      <c r="N73" s="22">
        <f>M73*M4</f>
        <v>1557.0882875452194</v>
      </c>
      <c r="O73" s="30">
        <f>N73*28</f>
        <v>43598.472051266144</v>
      </c>
      <c r="P73" s="22">
        <f>((P70+P72+P78)/(1-$Z$77))*$Z$75</f>
        <v>470.52608556716467</v>
      </c>
      <c r="Q73" s="22">
        <f>P73*P4</f>
        <v>6116.8391123731408</v>
      </c>
      <c r="R73" s="30">
        <f>Q73*28</f>
        <v>171271.49514644794</v>
      </c>
      <c r="S73" s="22">
        <f>((S70+S72+S78)/(1-$Z$77))*$Z$75</f>
        <v>259.61590001797003</v>
      </c>
      <c r="T73" s="22">
        <f>S73*S4</f>
        <v>37384.689602587685</v>
      </c>
      <c r="U73" s="30">
        <f>T73*28</f>
        <v>1046771.3088724551</v>
      </c>
      <c r="V73" s="10">
        <f t="shared" si="19"/>
        <v>52494.926175944522</v>
      </c>
      <c r="W73" s="22">
        <f t="shared" si="20"/>
        <v>1469857.9329264467</v>
      </c>
      <c r="Y73" s="1" t="s">
        <v>178</v>
      </c>
    </row>
    <row r="74" spans="1:30" ht="15">
      <c r="A74" s="99"/>
      <c r="B74" s="58"/>
      <c r="C74" s="20" t="s">
        <v>162</v>
      </c>
      <c r="D74" s="21" t="s">
        <v>63</v>
      </c>
      <c r="E74" s="81" t="s">
        <v>172</v>
      </c>
      <c r="F74" s="82"/>
      <c r="G74" s="22">
        <f>((G70+G72+G78)/(1-$Z$77))*5%</f>
        <v>165.79864939573855</v>
      </c>
      <c r="H74" s="22">
        <f>G74*G4</f>
        <v>1657.9864939573854</v>
      </c>
      <c r="I74" s="30">
        <f>H74*28</f>
        <v>46423.621830806791</v>
      </c>
      <c r="J74" s="22">
        <f>((J70+J72+J78)/(1-$Z$77))*5%</f>
        <v>184.46006249795434</v>
      </c>
      <c r="K74" s="22">
        <f>J74*J4</f>
        <v>5533.8018749386301</v>
      </c>
      <c r="L74" s="30">
        <f>K74*28</f>
        <v>154946.45249828164</v>
      </c>
      <c r="M74" s="22">
        <f>((M70+M72+M78)/(1-$Z$77))*5%</f>
        <v>215.12687034335718</v>
      </c>
      <c r="N74" s="22">
        <f>M74*M4</f>
        <v>1505.8880924035002</v>
      </c>
      <c r="O74" s="30">
        <f>N74*28</f>
        <v>42164.866587298005</v>
      </c>
      <c r="P74" s="22">
        <f>((P70+P72+P78)/(1-$Z$77))*5%</f>
        <v>455.05424136089425</v>
      </c>
      <c r="Q74" s="22">
        <f>P74*P4</f>
        <v>5915.7051376916252</v>
      </c>
      <c r="R74" s="30">
        <f>Q74*28</f>
        <v>165639.74385536549</v>
      </c>
      <c r="S74" s="22">
        <f>((S70+S72+S78)/(1-$Z$77))*5%</f>
        <v>251.07920698062864</v>
      </c>
      <c r="T74" s="22">
        <f>S74*S4</f>
        <v>36155.405805210525</v>
      </c>
      <c r="U74" s="30">
        <f>T74*28</f>
        <v>1012351.3625458947</v>
      </c>
      <c r="V74" s="10">
        <f t="shared" si="19"/>
        <v>50768.787404201663</v>
      </c>
      <c r="W74" s="22">
        <f t="shared" si="20"/>
        <v>1421526.0473176464</v>
      </c>
      <c r="Y74" s="1" t="s">
        <v>62</v>
      </c>
      <c r="Z74" s="32">
        <v>1.11E-2</v>
      </c>
    </row>
    <row r="75" spans="1:30" ht="15">
      <c r="A75" s="99"/>
      <c r="B75" s="58"/>
      <c r="C75" s="20" t="s">
        <v>163</v>
      </c>
      <c r="D75" s="21" t="s">
        <v>62</v>
      </c>
      <c r="E75" s="52" t="s">
        <v>185</v>
      </c>
      <c r="F75" s="53"/>
      <c r="G75" s="22">
        <f>((G70+G72+G78)/(1-$Z$77))*$Z$74</f>
        <v>36.80730016585396</v>
      </c>
      <c r="H75" s="22">
        <f>G75*G4</f>
        <v>368.07300165853962</v>
      </c>
      <c r="I75" s="30">
        <f>H75*28</f>
        <v>10306.04404643911</v>
      </c>
      <c r="J75" s="22">
        <f>((J70+J72+J78)/(1-$Z$77))*$Z$74</f>
        <v>40.950133874545863</v>
      </c>
      <c r="K75" s="22">
        <f>J75*J4</f>
        <v>1228.5040162363759</v>
      </c>
      <c r="L75" s="30">
        <f>K75*28</f>
        <v>34398.112454618524</v>
      </c>
      <c r="M75" s="22">
        <f>((M70+M72+M78)/(1-$Z$77))*$Z$74</f>
        <v>47.758165216225294</v>
      </c>
      <c r="N75" s="22">
        <f>M75*M4</f>
        <v>334.30715651357707</v>
      </c>
      <c r="O75" s="30">
        <f>N75*28</f>
        <v>9360.6003823801584</v>
      </c>
      <c r="P75" s="22">
        <f>((P70+P72+P78)/(1-$Z$77))*$Z$74</f>
        <v>101.02204158211852</v>
      </c>
      <c r="Q75" s="22">
        <f>P75*P4</f>
        <v>1313.2865405675407</v>
      </c>
      <c r="R75" s="30">
        <f>Q75*28</f>
        <v>36772.023135891141</v>
      </c>
      <c r="S75" s="22">
        <f>((S70+S72+S78)/(1-$Z$77))*$Z$74</f>
        <v>55.739583949699558</v>
      </c>
      <c r="T75" s="22">
        <f>S75*S4</f>
        <v>8026.5000887567367</v>
      </c>
      <c r="U75" s="30">
        <f>T75*28</f>
        <v>224742.00248518863</v>
      </c>
      <c r="V75" s="10">
        <f t="shared" si="19"/>
        <v>11270.67080373277</v>
      </c>
      <c r="W75" s="22">
        <f t="shared" si="20"/>
        <v>315578.78250451759</v>
      </c>
      <c r="Y75" s="1" t="s">
        <v>61</v>
      </c>
      <c r="Z75" s="32">
        <v>5.1700000000000003E-2</v>
      </c>
    </row>
    <row r="76" spans="1:30" ht="15">
      <c r="A76" s="99"/>
      <c r="B76" s="58"/>
      <c r="C76" s="23" t="s">
        <v>164</v>
      </c>
      <c r="D76" s="24" t="s">
        <v>7</v>
      </c>
      <c r="E76" s="59" t="s">
        <v>167</v>
      </c>
      <c r="F76" s="60"/>
      <c r="G76" s="25">
        <f t="shared" ref="G76:S76" si="26">SUM(G73:G75)</f>
        <v>374.04175303678619</v>
      </c>
      <c r="H76" s="25">
        <f t="shared" si="26"/>
        <v>3740.4175303678612</v>
      </c>
      <c r="I76" s="25">
        <f t="shared" si="26"/>
        <v>104731.69085030013</v>
      </c>
      <c r="J76" s="25">
        <f t="shared" si="26"/>
        <v>416.14190099538501</v>
      </c>
      <c r="K76" s="25">
        <f t="shared" ref="K76:L76" si="27">SUM(K73:K75)</f>
        <v>12484.25702986155</v>
      </c>
      <c r="L76" s="25">
        <f t="shared" si="27"/>
        <v>349559.19683612336</v>
      </c>
      <c r="M76" s="25">
        <f t="shared" si="26"/>
        <v>485.32621949461384</v>
      </c>
      <c r="N76" s="25">
        <f t="shared" ref="N76:O76" si="28">SUM(N73:N75)</f>
        <v>3397.2835364622965</v>
      </c>
      <c r="O76" s="25">
        <f t="shared" si="28"/>
        <v>95123.939020944308</v>
      </c>
      <c r="P76" s="25">
        <f t="shared" si="26"/>
        <v>1026.6023685101775</v>
      </c>
      <c r="Q76" s="25">
        <f t="shared" ref="Q76:R76" si="29">SUM(Q73:Q75)</f>
        <v>13345.830790632306</v>
      </c>
      <c r="R76" s="25">
        <f t="shared" si="29"/>
        <v>373683.26213770459</v>
      </c>
      <c r="S76" s="25">
        <f t="shared" si="26"/>
        <v>566.43469094829823</v>
      </c>
      <c r="T76" s="25">
        <f t="shared" ref="T76:U76" si="30">SUM(T73:T75)</f>
        <v>81566.595496554946</v>
      </c>
      <c r="U76" s="25">
        <f t="shared" si="30"/>
        <v>2283864.6739035384</v>
      </c>
      <c r="V76" s="39">
        <f t="shared" si="19"/>
        <v>114534.38438387896</v>
      </c>
      <c r="W76" s="25">
        <f t="shared" si="20"/>
        <v>3206962.7627486112</v>
      </c>
      <c r="Y76" s="1" t="s">
        <v>63</v>
      </c>
      <c r="Z76" s="32">
        <v>0.05</v>
      </c>
    </row>
    <row r="77" spans="1:30" ht="37" customHeight="1">
      <c r="A77" s="99"/>
      <c r="B77" s="58"/>
      <c r="C77" s="20" t="s">
        <v>165</v>
      </c>
      <c r="D77" s="21" t="s">
        <v>67</v>
      </c>
      <c r="E77" s="71" t="s">
        <v>197</v>
      </c>
      <c r="F77" s="72"/>
      <c r="G77" s="22">
        <f>(G70+G72)*$Z$72</f>
        <v>27.685336038970632</v>
      </c>
      <c r="H77" s="22">
        <f>G77*G4</f>
        <v>276.85336038970632</v>
      </c>
      <c r="I77" s="30">
        <f>H77*28</f>
        <v>7751.8940909117773</v>
      </c>
      <c r="J77" s="22">
        <f>(J70+J72)*$AA$72</f>
        <v>155.85996899827148</v>
      </c>
      <c r="K77" s="22">
        <f>J77*J4</f>
        <v>4675.7990699481443</v>
      </c>
      <c r="L77" s="30">
        <f>K77*28</f>
        <v>130922.37395854804</v>
      </c>
      <c r="M77" s="22">
        <f>(M70+M72)*$AB$72</f>
        <v>33.298432245121198</v>
      </c>
      <c r="N77" s="22">
        <f>M77*M4</f>
        <v>233.08902571584838</v>
      </c>
      <c r="O77" s="30">
        <f>N77*28</f>
        <v>6526.4927200437542</v>
      </c>
      <c r="P77" s="22">
        <f>(P70+P72)*$AC$72</f>
        <v>56.128477865892705</v>
      </c>
      <c r="Q77" s="22">
        <f>P77*P4</f>
        <v>729.67021225660517</v>
      </c>
      <c r="R77" s="30">
        <f>Q77*28</f>
        <v>20430.765943184946</v>
      </c>
      <c r="S77" s="22">
        <f>(S70+S72)*$AD$72</f>
        <v>35.358328957652972</v>
      </c>
      <c r="T77" s="22">
        <f>S77*S4</f>
        <v>5091.5993699020282</v>
      </c>
      <c r="U77" s="30">
        <f>T77*28</f>
        <v>142564.7823572568</v>
      </c>
      <c r="V77" s="10">
        <f t="shared" si="19"/>
        <v>11007.011038212331</v>
      </c>
      <c r="W77" s="22">
        <f t="shared" si="20"/>
        <v>308196.30906994524</v>
      </c>
      <c r="Z77" s="28">
        <f>SUM(Z74:Z76)</f>
        <v>0.11280000000000001</v>
      </c>
    </row>
    <row r="78" spans="1:30">
      <c r="A78" s="100"/>
      <c r="B78" s="58"/>
      <c r="C78" s="23" t="s">
        <v>166</v>
      </c>
      <c r="D78" s="24" t="s">
        <v>7</v>
      </c>
      <c r="E78" s="59" t="s">
        <v>165</v>
      </c>
      <c r="F78" s="60"/>
      <c r="G78" s="25">
        <f t="shared" ref="G78:U78" si="31">SUM(G77)</f>
        <v>27.685336038970632</v>
      </c>
      <c r="H78" s="25">
        <f t="shared" si="31"/>
        <v>276.85336038970632</v>
      </c>
      <c r="I78" s="25">
        <f t="shared" si="31"/>
        <v>7751.8940909117773</v>
      </c>
      <c r="J78" s="25">
        <f t="shared" si="31"/>
        <v>155.85996899827148</v>
      </c>
      <c r="K78" s="25">
        <f t="shared" si="31"/>
        <v>4675.7990699481443</v>
      </c>
      <c r="L78" s="25">
        <f t="shared" si="31"/>
        <v>130922.37395854804</v>
      </c>
      <c r="M78" s="25">
        <f t="shared" si="31"/>
        <v>33.298432245121198</v>
      </c>
      <c r="N78" s="25">
        <f t="shared" si="31"/>
        <v>233.08902571584838</v>
      </c>
      <c r="O78" s="25">
        <f t="shared" si="31"/>
        <v>6526.4927200437542</v>
      </c>
      <c r="P78" s="25">
        <f t="shared" si="31"/>
        <v>56.128477865892705</v>
      </c>
      <c r="Q78" s="25">
        <f t="shared" si="31"/>
        <v>729.67021225660517</v>
      </c>
      <c r="R78" s="25">
        <f t="shared" si="31"/>
        <v>20430.765943184946</v>
      </c>
      <c r="S78" s="25">
        <f t="shared" si="31"/>
        <v>35.358328957652972</v>
      </c>
      <c r="T78" s="25">
        <f t="shared" si="31"/>
        <v>5091.5993699020282</v>
      </c>
      <c r="U78" s="25">
        <f t="shared" si="31"/>
        <v>142564.7823572568</v>
      </c>
      <c r="V78" s="39">
        <f t="shared" si="19"/>
        <v>11007.011038212331</v>
      </c>
      <c r="W78" s="25">
        <f t="shared" si="20"/>
        <v>308196.30906994524</v>
      </c>
    </row>
    <row r="79" spans="1:30">
      <c r="A79" s="59" t="s">
        <v>94</v>
      </c>
      <c r="B79" s="76"/>
      <c r="C79" s="76"/>
      <c r="D79" s="76"/>
      <c r="E79" s="76"/>
      <c r="F79" s="60"/>
      <c r="G79" s="25">
        <f t="shared" ref="G79:U79" si="32">G72+G76+G78</f>
        <v>430.58100886624209</v>
      </c>
      <c r="H79" s="25">
        <f t="shared" si="32"/>
        <v>4305.8100886624206</v>
      </c>
      <c r="I79" s="25">
        <f t="shared" si="32"/>
        <v>120562.6824825478</v>
      </c>
      <c r="J79" s="25">
        <f t="shared" si="32"/>
        <v>602.86523019133404</v>
      </c>
      <c r="K79" s="25">
        <f t="shared" si="32"/>
        <v>18085.956905740019</v>
      </c>
      <c r="L79" s="25">
        <f t="shared" si="32"/>
        <v>506406.79336072051</v>
      </c>
      <c r="M79" s="25">
        <f t="shared" si="32"/>
        <v>556.08913446376869</v>
      </c>
      <c r="N79" s="25">
        <f t="shared" si="32"/>
        <v>3892.6239412463815</v>
      </c>
      <c r="O79" s="25">
        <f t="shared" si="32"/>
        <v>108993.47035489867</v>
      </c>
      <c r="P79" s="25">
        <f t="shared" si="32"/>
        <v>1162.1204897507419</v>
      </c>
      <c r="Q79" s="25">
        <f t="shared" si="32"/>
        <v>15107.56636675964</v>
      </c>
      <c r="R79" s="25">
        <f t="shared" si="32"/>
        <v>423011.85826926993</v>
      </c>
      <c r="S79" s="25">
        <f t="shared" si="32"/>
        <v>645.55332802185831</v>
      </c>
      <c r="T79" s="25">
        <f t="shared" si="32"/>
        <v>92959.679235147603</v>
      </c>
      <c r="U79" s="25">
        <f t="shared" si="32"/>
        <v>2602871.0185841327</v>
      </c>
      <c r="V79" s="39">
        <f t="shared" si="19"/>
        <v>134351.63653755607</v>
      </c>
      <c r="W79" s="25">
        <f t="shared" si="20"/>
        <v>3761845.82305157</v>
      </c>
    </row>
    <row r="80" spans="1:30" ht="16" customHeight="1">
      <c r="A80" s="73" t="s">
        <v>68</v>
      </c>
      <c r="B80" s="74"/>
      <c r="C80" s="74"/>
      <c r="D80" s="74"/>
      <c r="E80" s="74"/>
      <c r="F80" s="75"/>
      <c r="G80" s="26">
        <f t="shared" ref="G80:U80" si="33">G70+G79</f>
        <v>3315.9729879147708</v>
      </c>
      <c r="H80" s="26">
        <f t="shared" si="33"/>
        <v>33159.729879147708</v>
      </c>
      <c r="I80" s="26">
        <f t="shared" si="33"/>
        <v>928472.43661613599</v>
      </c>
      <c r="J80" s="26">
        <f t="shared" si="33"/>
        <v>3689.201249959086</v>
      </c>
      <c r="K80" s="26">
        <f t="shared" si="33"/>
        <v>110676.03749877258</v>
      </c>
      <c r="L80" s="26">
        <f t="shared" si="33"/>
        <v>3098929.0499656321</v>
      </c>
      <c r="M80" s="26">
        <f t="shared" si="33"/>
        <v>4302.5374068671435</v>
      </c>
      <c r="N80" s="26">
        <f t="shared" si="33"/>
        <v>30117.761848070008</v>
      </c>
      <c r="O80" s="26">
        <f t="shared" si="33"/>
        <v>843297.33174596028</v>
      </c>
      <c r="P80" s="26">
        <f t="shared" si="33"/>
        <v>9101.0848272178846</v>
      </c>
      <c r="Q80" s="26">
        <f t="shared" si="33"/>
        <v>118314.10275383251</v>
      </c>
      <c r="R80" s="26">
        <f t="shared" si="33"/>
        <v>3312794.8771073106</v>
      </c>
      <c r="S80" s="26">
        <f t="shared" si="33"/>
        <v>5021.5841396125725</v>
      </c>
      <c r="T80" s="26">
        <f t="shared" si="33"/>
        <v>723108.11610421049</v>
      </c>
      <c r="U80" s="26">
        <f t="shared" si="33"/>
        <v>20247027.250917893</v>
      </c>
      <c r="V80" s="39">
        <f t="shared" si="19"/>
        <v>1015375.7480840334</v>
      </c>
      <c r="W80" s="26">
        <f t="shared" si="20"/>
        <v>28430520.946352936</v>
      </c>
    </row>
    <row r="82" spans="1:21" ht="26.25" customHeight="1">
      <c r="A82" s="97"/>
      <c r="B82" s="97"/>
      <c r="C82" s="97"/>
      <c r="D82" s="97"/>
      <c r="E82" s="97"/>
      <c r="F82" s="97"/>
      <c r="G82" s="97"/>
      <c r="H82" s="97"/>
      <c r="I82" s="97"/>
      <c r="J82" s="97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>
      <c r="G83" s="27"/>
    </row>
    <row r="84" spans="1:21">
      <c r="A84" s="97"/>
      <c r="B84" s="97"/>
      <c r="C84" s="97"/>
      <c r="D84" s="97"/>
      <c r="E84" s="97"/>
      <c r="F84" s="97"/>
      <c r="G84" s="97"/>
      <c r="H84" s="97"/>
      <c r="I84" s="97"/>
      <c r="J84" s="97"/>
    </row>
    <row r="85" spans="1:21" ht="15" customHeight="1">
      <c r="A85" s="97"/>
      <c r="B85" s="97"/>
      <c r="C85" s="97"/>
      <c r="D85" s="97"/>
      <c r="E85" s="97"/>
      <c r="F85" s="97"/>
      <c r="G85" s="97"/>
      <c r="H85" s="97"/>
      <c r="I85" s="97"/>
      <c r="J85" s="97"/>
    </row>
    <row r="86" spans="1:21" ht="15" customHeight="1">
      <c r="A86" s="97"/>
      <c r="B86" s="97"/>
      <c r="C86" s="97"/>
      <c r="D86" s="97"/>
      <c r="E86" s="97"/>
      <c r="F86" s="97"/>
      <c r="G86" s="97"/>
      <c r="H86" s="97"/>
      <c r="I86" s="97"/>
      <c r="J86" s="97"/>
    </row>
    <row r="87" spans="1:21" ht="15" customHeight="1">
      <c r="A87" s="97"/>
      <c r="B87" s="97"/>
      <c r="C87" s="97"/>
      <c r="D87" s="97"/>
      <c r="E87" s="97"/>
      <c r="F87" s="97"/>
      <c r="G87" s="97"/>
      <c r="H87" s="97"/>
      <c r="I87" s="97"/>
      <c r="J87" s="97"/>
    </row>
    <row r="88" spans="1:21" ht="15" customHeight="1">
      <c r="A88" s="97"/>
      <c r="B88" s="97"/>
      <c r="C88" s="97"/>
      <c r="D88" s="97"/>
      <c r="E88" s="97"/>
      <c r="F88" s="97"/>
      <c r="G88" s="97"/>
      <c r="H88" s="97"/>
      <c r="I88" s="97"/>
      <c r="J88" s="97"/>
    </row>
    <row r="89" spans="1:21" ht="15" customHeight="1">
      <c r="A89" s="97"/>
      <c r="B89" s="97"/>
      <c r="C89" s="97"/>
      <c r="D89" s="97"/>
      <c r="E89" s="97"/>
      <c r="F89" s="97"/>
      <c r="G89" s="97"/>
      <c r="H89" s="97"/>
      <c r="I89" s="97"/>
      <c r="J89" s="97"/>
    </row>
    <row r="90" spans="1:21" ht="101.25" customHeight="1">
      <c r="A90" s="97"/>
      <c r="B90" s="97"/>
      <c r="C90" s="97"/>
      <c r="D90" s="97"/>
      <c r="E90" s="97"/>
      <c r="F90" s="97"/>
      <c r="G90" s="97"/>
      <c r="H90" s="97"/>
      <c r="I90" s="97"/>
      <c r="J90" s="97"/>
    </row>
    <row r="91" spans="1:21">
      <c r="A91" s="38"/>
    </row>
    <row r="92" spans="1:21">
      <c r="A92" s="38"/>
    </row>
  </sheetData>
  <mergeCells count="111">
    <mergeCell ref="A84:J90"/>
    <mergeCell ref="A82:J82"/>
    <mergeCell ref="A71:A78"/>
    <mergeCell ref="A22:A67"/>
    <mergeCell ref="E56:F56"/>
    <mergeCell ref="E57:F57"/>
    <mergeCell ref="E58:F58"/>
    <mergeCell ref="E59:F59"/>
    <mergeCell ref="E64:F64"/>
    <mergeCell ref="E65:F65"/>
    <mergeCell ref="E67:F67"/>
    <mergeCell ref="E69:F69"/>
    <mergeCell ref="E52:F52"/>
    <mergeCell ref="E53:F53"/>
    <mergeCell ref="E54:F54"/>
    <mergeCell ref="E40:F40"/>
    <mergeCell ref="B32:B41"/>
    <mergeCell ref="E25:F25"/>
    <mergeCell ref="E26:F26"/>
    <mergeCell ref="E27:F27"/>
    <mergeCell ref="E28:F28"/>
    <mergeCell ref="E35:F35"/>
    <mergeCell ref="E36:F36"/>
    <mergeCell ref="A68:B69"/>
    <mergeCell ref="V3:W3"/>
    <mergeCell ref="V4:W4"/>
    <mergeCell ref="E9:F9"/>
    <mergeCell ref="E10:F10"/>
    <mergeCell ref="E11:F11"/>
    <mergeCell ref="E12:F12"/>
    <mergeCell ref="E48:F48"/>
    <mergeCell ref="T3:U3"/>
    <mergeCell ref="T4:U4"/>
    <mergeCell ref="E7:F7"/>
    <mergeCell ref="E8:F8"/>
    <mergeCell ref="E13:F13"/>
    <mergeCell ref="E14:F14"/>
    <mergeCell ref="E39:F39"/>
    <mergeCell ref="E24:F24"/>
    <mergeCell ref="E37:F37"/>
    <mergeCell ref="E38:F38"/>
    <mergeCell ref="E2:F5"/>
    <mergeCell ref="E6:F6"/>
    <mergeCell ref="M2:O2"/>
    <mergeCell ref="H3:I3"/>
    <mergeCell ref="H4:I4"/>
    <mergeCell ref="S2:U2"/>
    <mergeCell ref="Q3:R3"/>
    <mergeCell ref="P2:R2"/>
    <mergeCell ref="E29:F29"/>
    <mergeCell ref="E42:F42"/>
    <mergeCell ref="E43:F43"/>
    <mergeCell ref="E44:F44"/>
    <mergeCell ref="E45:F45"/>
    <mergeCell ref="E55:F55"/>
    <mergeCell ref="E66:F66"/>
    <mergeCell ref="E51:F51"/>
    <mergeCell ref="E60:F60"/>
    <mergeCell ref="E61:F61"/>
    <mergeCell ref="E62:F62"/>
    <mergeCell ref="E63:F63"/>
    <mergeCell ref="E49:F49"/>
    <mergeCell ref="E50:F50"/>
    <mergeCell ref="A80:F80"/>
    <mergeCell ref="A70:F70"/>
    <mergeCell ref="D2:D5"/>
    <mergeCell ref="B16:B21"/>
    <mergeCell ref="N3:O3"/>
    <mergeCell ref="N4:O4"/>
    <mergeCell ref="E30:F30"/>
    <mergeCell ref="E41:F41"/>
    <mergeCell ref="E31:F31"/>
    <mergeCell ref="E32:F32"/>
    <mergeCell ref="E33:F33"/>
    <mergeCell ref="E34:F34"/>
    <mergeCell ref="A2:A5"/>
    <mergeCell ref="B6:B15"/>
    <mergeCell ref="A6:A21"/>
    <mergeCell ref="B22:B31"/>
    <mergeCell ref="K3:L3"/>
    <mergeCell ref="K4:L4"/>
    <mergeCell ref="A79:F79"/>
    <mergeCell ref="B42:B54"/>
    <mergeCell ref="E46:F46"/>
    <mergeCell ref="E47:F47"/>
    <mergeCell ref="E73:F73"/>
    <mergeCell ref="E74:F74"/>
    <mergeCell ref="V2:W2"/>
    <mergeCell ref="A1:W1"/>
    <mergeCell ref="E71:F71"/>
    <mergeCell ref="B2:B5"/>
    <mergeCell ref="C2:C5"/>
    <mergeCell ref="B55:B67"/>
    <mergeCell ref="B71:B78"/>
    <mergeCell ref="E72:F72"/>
    <mergeCell ref="E78:F78"/>
    <mergeCell ref="G2:I2"/>
    <mergeCell ref="J2:L2"/>
    <mergeCell ref="E68:F68"/>
    <mergeCell ref="E15:F15"/>
    <mergeCell ref="E16:F16"/>
    <mergeCell ref="E17:F17"/>
    <mergeCell ref="E18:F18"/>
    <mergeCell ref="E20:F20"/>
    <mergeCell ref="E21:F21"/>
    <mergeCell ref="E22:F22"/>
    <mergeCell ref="E23:F23"/>
    <mergeCell ref="E75:F75"/>
    <mergeCell ref="E76:F76"/>
    <mergeCell ref="E77:F77"/>
    <mergeCell ref="Q4:R4"/>
  </mergeCells>
  <printOptions horizontalCentered="1" verticalCentered="1"/>
  <pageMargins left="0.511811024" right="0.511811024" top="0.78740157499999996" bottom="0.78740157499999996" header="0.31496062000000002" footer="0.31496062000000002"/>
  <pageSetup paperSize="9" scale="18" orientation="landscape" r:id="rId1"/>
  <ignoredErrors>
    <ignoredError sqref="G17 J17 M17 P17 S17 H70:J70 H72:J72 H78:J80 H76:J76 S70 S72 S78:S80 S76 Q70:R70 Q78:R80 P70 P72 P78:P80 P76 N70:O70 N78:O80 K70:M70 M72 K78:M80 M76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E414B-3FD9-134B-BB1C-93A403CCE621}">
  <dimension ref="A1:K8"/>
  <sheetViews>
    <sheetView workbookViewId="0">
      <selection activeCell="E11" sqref="E11"/>
    </sheetView>
  </sheetViews>
  <sheetFormatPr baseColWidth="10" defaultRowHeight="16"/>
  <cols>
    <col min="1" max="1" width="5.33203125" bestFit="1" customWidth="1"/>
    <col min="2" max="2" width="8.83203125" customWidth="1"/>
    <col min="3" max="3" width="5.33203125" bestFit="1" customWidth="1"/>
    <col min="4" max="4" width="22.5" bestFit="1" customWidth="1"/>
    <col min="5" max="5" width="10.1640625" bestFit="1" customWidth="1"/>
    <col min="6" max="6" width="16.33203125" customWidth="1"/>
    <col min="7" max="7" width="17.33203125" customWidth="1"/>
    <col min="8" max="8" width="20.1640625" customWidth="1"/>
    <col min="10" max="10" width="16.1640625" customWidth="1"/>
  </cols>
  <sheetData>
    <row r="1" spans="1:11" ht="34">
      <c r="A1" s="48" t="s">
        <v>179</v>
      </c>
      <c r="B1" s="48" t="s">
        <v>200</v>
      </c>
      <c r="C1" s="48" t="s">
        <v>180</v>
      </c>
      <c r="D1" s="48" t="s">
        <v>181</v>
      </c>
      <c r="E1" s="48" t="s">
        <v>198</v>
      </c>
      <c r="F1" s="49" t="s">
        <v>182</v>
      </c>
      <c r="G1" s="49" t="s">
        <v>190</v>
      </c>
      <c r="H1" s="49" t="s">
        <v>183</v>
      </c>
    </row>
    <row r="2" spans="1:11" ht="17">
      <c r="A2" s="108">
        <v>17</v>
      </c>
      <c r="B2" s="112" t="s">
        <v>199</v>
      </c>
      <c r="C2" s="40">
        <v>92</v>
      </c>
      <c r="D2" s="41" t="s">
        <v>36</v>
      </c>
      <c r="E2" s="40">
        <v>10</v>
      </c>
      <c r="F2" s="42">
        <f>'Precificação Total'!G80</f>
        <v>3315.9729879147708</v>
      </c>
      <c r="G2" s="42">
        <f>E2*F2</f>
        <v>33159.729879147708</v>
      </c>
      <c r="H2" s="43">
        <f t="shared" ref="H2:H6" si="0">F2*28</f>
        <v>92847.243661613582</v>
      </c>
      <c r="J2" s="46"/>
      <c r="K2" s="47"/>
    </row>
    <row r="3" spans="1:11" ht="17">
      <c r="A3" s="109"/>
      <c r="B3" s="113"/>
      <c r="C3" s="40">
        <v>93</v>
      </c>
      <c r="D3" s="41" t="s">
        <v>37</v>
      </c>
      <c r="E3" s="40">
        <v>30</v>
      </c>
      <c r="F3" s="42">
        <f>'Precificação Total'!J80</f>
        <v>3689.201249959086</v>
      </c>
      <c r="G3" s="42">
        <f t="shared" ref="G3:G6" si="1">E3*F3</f>
        <v>110676.03749877258</v>
      </c>
      <c r="H3" s="43">
        <f t="shared" si="0"/>
        <v>103297.63499885441</v>
      </c>
      <c r="J3" s="46"/>
      <c r="K3" s="47"/>
    </row>
    <row r="4" spans="1:11" ht="17">
      <c r="A4" s="109"/>
      <c r="B4" s="113"/>
      <c r="C4" s="40">
        <v>94</v>
      </c>
      <c r="D4" s="41" t="s">
        <v>38</v>
      </c>
      <c r="E4" s="40">
        <v>7</v>
      </c>
      <c r="F4" s="42">
        <f>'Precificação Total'!M80</f>
        <v>4302.5374068671435</v>
      </c>
      <c r="G4" s="42">
        <f t="shared" si="1"/>
        <v>30117.761848070004</v>
      </c>
      <c r="H4" s="43">
        <f t="shared" si="0"/>
        <v>120471.04739228002</v>
      </c>
      <c r="J4" s="46"/>
      <c r="K4" s="47"/>
    </row>
    <row r="5" spans="1:11" ht="17">
      <c r="A5" s="109"/>
      <c r="B5" s="113"/>
      <c r="C5" s="40">
        <v>95</v>
      </c>
      <c r="D5" s="41" t="s">
        <v>39</v>
      </c>
      <c r="E5" s="40">
        <v>13</v>
      </c>
      <c r="F5" s="42">
        <f>'Precificação Total'!P80</f>
        <v>9101.0848272178846</v>
      </c>
      <c r="G5" s="42">
        <f t="shared" si="1"/>
        <v>118314.1027538325</v>
      </c>
      <c r="H5" s="43">
        <f t="shared" si="0"/>
        <v>254830.37516210077</v>
      </c>
      <c r="J5" s="46"/>
      <c r="K5" s="47"/>
    </row>
    <row r="6" spans="1:11" ht="17">
      <c r="A6" s="110"/>
      <c r="B6" s="114"/>
      <c r="C6" s="40">
        <v>96</v>
      </c>
      <c r="D6" s="41" t="s">
        <v>40</v>
      </c>
      <c r="E6" s="40">
        <v>144</v>
      </c>
      <c r="F6" s="42">
        <f>'Precificação Total'!S80</f>
        <v>5021.5841396125725</v>
      </c>
      <c r="G6" s="42">
        <f t="shared" si="1"/>
        <v>723108.11610421049</v>
      </c>
      <c r="H6" s="43">
        <f t="shared" si="0"/>
        <v>140604.35590915201</v>
      </c>
      <c r="J6" s="46"/>
      <c r="K6" s="47"/>
    </row>
    <row r="7" spans="1:11">
      <c r="A7" s="111" t="s">
        <v>192</v>
      </c>
      <c r="B7" s="111"/>
      <c r="C7" s="111"/>
      <c r="D7" s="111"/>
      <c r="E7" s="111"/>
      <c r="F7" s="111"/>
      <c r="G7" s="44"/>
      <c r="H7" s="45">
        <f>SUM(G2:G6)</f>
        <v>1015375.7480840333</v>
      </c>
    </row>
    <row r="8" spans="1:11">
      <c r="A8" s="111" t="s">
        <v>191</v>
      </c>
      <c r="B8" s="111"/>
      <c r="C8" s="111"/>
      <c r="D8" s="111"/>
      <c r="E8" s="111"/>
      <c r="F8" s="111"/>
      <c r="G8" s="44"/>
      <c r="H8" s="45">
        <f>H7*28</f>
        <v>28430520.946352933</v>
      </c>
    </row>
  </sheetData>
  <mergeCells count="4">
    <mergeCell ref="A2:A6"/>
    <mergeCell ref="A7:F7"/>
    <mergeCell ref="A8:F8"/>
    <mergeCell ref="B2:B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38889-0EB2-6F47-BF69-40873672729B}">
  <dimension ref="A1:T9"/>
  <sheetViews>
    <sheetView tabSelected="1" workbookViewId="0">
      <selection activeCell="P8" sqref="P8"/>
    </sheetView>
  </sheetViews>
  <sheetFormatPr baseColWidth="10" defaultRowHeight="16"/>
  <cols>
    <col min="1" max="1" width="8.5" bestFit="1" customWidth="1"/>
    <col min="2" max="2" width="31" bestFit="1" customWidth="1"/>
    <col min="3" max="3" width="5.6640625" bestFit="1" customWidth="1"/>
    <col min="4" max="4" width="10.33203125" bestFit="1" customWidth="1"/>
    <col min="5" max="5" width="10.6640625" bestFit="1" customWidth="1"/>
    <col min="6" max="6" width="5.6640625" bestFit="1" customWidth="1"/>
    <col min="7" max="7" width="10.33203125" bestFit="1" customWidth="1"/>
    <col min="8" max="8" width="13.1640625" bestFit="1" customWidth="1"/>
    <col min="9" max="9" width="5.6640625" bestFit="1" customWidth="1"/>
    <col min="10" max="10" width="10.33203125" bestFit="1" customWidth="1"/>
    <col min="11" max="11" width="11.6640625" bestFit="1" customWidth="1"/>
    <col min="12" max="12" width="5.6640625" bestFit="1" customWidth="1"/>
    <col min="13" max="13" width="10.33203125" bestFit="1" customWidth="1"/>
    <col min="14" max="14" width="11.83203125" bestFit="1" customWidth="1"/>
    <col min="15" max="15" width="5.6640625" bestFit="1" customWidth="1"/>
    <col min="16" max="16" width="10.33203125" bestFit="1" customWidth="1"/>
    <col min="17" max="17" width="11.83203125" bestFit="1" customWidth="1"/>
    <col min="18" max="18" width="15" bestFit="1" customWidth="1"/>
    <col min="19" max="19" width="16.5" bestFit="1" customWidth="1"/>
  </cols>
  <sheetData>
    <row r="1" spans="1:20">
      <c r="A1" s="115" t="s">
        <v>201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</row>
    <row r="2" spans="1:20">
      <c r="A2" s="115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</row>
    <row r="3" spans="1:20">
      <c r="A3" s="116" t="s">
        <v>202</v>
      </c>
      <c r="B3" s="117" t="s">
        <v>203</v>
      </c>
      <c r="C3" s="118" t="s">
        <v>204</v>
      </c>
      <c r="D3" s="119"/>
      <c r="E3" s="120"/>
      <c r="F3" s="118" t="s">
        <v>205</v>
      </c>
      <c r="G3" s="119"/>
      <c r="H3" s="120"/>
      <c r="I3" s="118" t="s">
        <v>206</v>
      </c>
      <c r="J3" s="119"/>
      <c r="K3" s="120"/>
      <c r="L3" s="118" t="s">
        <v>207</v>
      </c>
      <c r="M3" s="119"/>
      <c r="N3" s="120"/>
      <c r="O3" s="118" t="s">
        <v>208</v>
      </c>
      <c r="P3" s="119"/>
      <c r="Q3" s="120"/>
      <c r="R3" s="119" t="s">
        <v>170</v>
      </c>
      <c r="S3" s="121"/>
      <c r="T3" s="122"/>
    </row>
    <row r="4" spans="1:20" ht="18">
      <c r="A4" s="123"/>
      <c r="B4" s="124"/>
      <c r="C4" s="118" t="s">
        <v>36</v>
      </c>
      <c r="D4" s="119"/>
      <c r="E4" s="120"/>
      <c r="F4" s="118" t="s">
        <v>37</v>
      </c>
      <c r="G4" s="119"/>
      <c r="H4" s="120"/>
      <c r="I4" s="118" t="s">
        <v>38</v>
      </c>
      <c r="J4" s="119"/>
      <c r="K4" s="120"/>
      <c r="L4" s="118" t="s">
        <v>39</v>
      </c>
      <c r="M4" s="119"/>
      <c r="N4" s="120"/>
      <c r="O4" s="118" t="s">
        <v>40</v>
      </c>
      <c r="P4" s="119"/>
      <c r="Q4" s="120"/>
      <c r="R4" s="125" t="s">
        <v>82</v>
      </c>
      <c r="S4" s="126" t="s">
        <v>209</v>
      </c>
      <c r="T4" s="122"/>
    </row>
    <row r="5" spans="1:20" ht="47">
      <c r="A5" s="123"/>
      <c r="B5" s="124"/>
      <c r="C5" s="127" t="s">
        <v>1</v>
      </c>
      <c r="D5" s="126" t="s">
        <v>3</v>
      </c>
      <c r="E5" s="128" t="s">
        <v>210</v>
      </c>
      <c r="F5" s="127" t="s">
        <v>5</v>
      </c>
      <c r="G5" s="126" t="s">
        <v>6</v>
      </c>
      <c r="H5" s="128" t="s">
        <v>211</v>
      </c>
      <c r="I5" s="127" t="s">
        <v>10</v>
      </c>
      <c r="J5" s="126" t="s">
        <v>11</v>
      </c>
      <c r="K5" s="128" t="s">
        <v>212</v>
      </c>
      <c r="L5" s="127" t="s">
        <v>19</v>
      </c>
      <c r="M5" s="126" t="s">
        <v>20</v>
      </c>
      <c r="N5" s="128" t="s">
        <v>213</v>
      </c>
      <c r="O5" s="127" t="s">
        <v>114</v>
      </c>
      <c r="P5" s="126" t="s">
        <v>30</v>
      </c>
      <c r="Q5" s="128" t="s">
        <v>214</v>
      </c>
      <c r="R5" s="129" t="s">
        <v>215</v>
      </c>
      <c r="S5" s="130" t="s">
        <v>216</v>
      </c>
      <c r="T5" s="122"/>
    </row>
    <row r="6" spans="1:20" ht="47">
      <c r="A6" s="131"/>
      <c r="B6" s="132"/>
      <c r="C6" s="133" t="s">
        <v>217</v>
      </c>
      <c r="D6" s="134" t="s">
        <v>218</v>
      </c>
      <c r="E6" s="135" t="s">
        <v>219</v>
      </c>
      <c r="F6" s="133" t="s">
        <v>217</v>
      </c>
      <c r="G6" s="134" t="s">
        <v>218</v>
      </c>
      <c r="H6" s="135" t="s">
        <v>169</v>
      </c>
      <c r="I6" s="133" t="s">
        <v>217</v>
      </c>
      <c r="J6" s="134" t="s">
        <v>218</v>
      </c>
      <c r="K6" s="135" t="s">
        <v>169</v>
      </c>
      <c r="L6" s="133" t="s">
        <v>217</v>
      </c>
      <c r="M6" s="134" t="s">
        <v>218</v>
      </c>
      <c r="N6" s="135" t="s">
        <v>169</v>
      </c>
      <c r="O6" s="133" t="s">
        <v>217</v>
      </c>
      <c r="P6" s="134" t="s">
        <v>218</v>
      </c>
      <c r="Q6" s="135" t="s">
        <v>169</v>
      </c>
      <c r="R6" s="136" t="s">
        <v>220</v>
      </c>
      <c r="S6" s="137" t="s">
        <v>220</v>
      </c>
      <c r="T6" s="122"/>
    </row>
    <row r="7" spans="1:20">
      <c r="A7" s="138">
        <v>17</v>
      </c>
      <c r="B7" s="139" t="s">
        <v>222</v>
      </c>
      <c r="C7" s="140">
        <v>10</v>
      </c>
      <c r="D7" s="141">
        <f>Resumo!F2</f>
        <v>3315.9729879147708</v>
      </c>
      <c r="E7" s="142">
        <f>D7*C7</f>
        <v>33159.729879147708</v>
      </c>
      <c r="F7" s="140">
        <v>0</v>
      </c>
      <c r="G7" s="141">
        <f>Resumo!F3</f>
        <v>3689.201249959086</v>
      </c>
      <c r="H7" s="142">
        <f>G7*F7</f>
        <v>0</v>
      </c>
      <c r="I7" s="140">
        <v>4</v>
      </c>
      <c r="J7" s="141">
        <f>Resumo!F4</f>
        <v>4302.5374068671435</v>
      </c>
      <c r="K7" s="142">
        <f>J7*I7</f>
        <v>17210.149627468574</v>
      </c>
      <c r="L7" s="140">
        <v>13</v>
      </c>
      <c r="M7" s="141">
        <f>Resumo!F5</f>
        <v>9101.0848272178846</v>
      </c>
      <c r="N7" s="142">
        <f>M7*L7</f>
        <v>118314.1027538325</v>
      </c>
      <c r="O7" s="140">
        <v>134</v>
      </c>
      <c r="P7" s="141">
        <f>Resumo!F6</f>
        <v>5021.5841396125725</v>
      </c>
      <c r="Q7" s="142">
        <f>P7*O7</f>
        <v>672892.27470808476</v>
      </c>
      <c r="R7" s="144">
        <f>E7+H7+K7+N7+Q7</f>
        <v>841576.25696853362</v>
      </c>
      <c r="S7" s="141">
        <f>R7*28</f>
        <v>23564135.195118941</v>
      </c>
      <c r="T7" s="122"/>
    </row>
    <row r="8" spans="1:20" ht="17" thickBot="1">
      <c r="A8" s="145"/>
      <c r="B8" s="146" t="s">
        <v>223</v>
      </c>
      <c r="C8" s="147">
        <v>0</v>
      </c>
      <c r="D8" s="143">
        <f>D7</f>
        <v>3315.9729879147708</v>
      </c>
      <c r="E8" s="143">
        <f>D8*C8</f>
        <v>0</v>
      </c>
      <c r="F8" s="147">
        <v>30</v>
      </c>
      <c r="G8" s="143">
        <f>G7</f>
        <v>3689.201249959086</v>
      </c>
      <c r="H8" s="143">
        <f>G8*F8</f>
        <v>110676.03749877258</v>
      </c>
      <c r="I8" s="147">
        <v>3</v>
      </c>
      <c r="J8" s="143">
        <f>J7</f>
        <v>4302.5374068671435</v>
      </c>
      <c r="K8" s="143">
        <f>J8*I8</f>
        <v>12907.61222060143</v>
      </c>
      <c r="L8" s="147">
        <v>0</v>
      </c>
      <c r="M8" s="143">
        <f>M7</f>
        <v>9101.0848272178846</v>
      </c>
      <c r="N8" s="143">
        <f>M8*L8</f>
        <v>0</v>
      </c>
      <c r="O8" s="147">
        <v>10</v>
      </c>
      <c r="P8" s="148">
        <f>P7</f>
        <v>5021.5841396125725</v>
      </c>
      <c r="Q8" s="149">
        <f>P8*O8</f>
        <v>50215.841396125725</v>
      </c>
      <c r="R8" s="150">
        <f>E8+H8+K8+N8+Q8</f>
        <v>173799.49111549972</v>
      </c>
      <c r="S8" s="148">
        <f>R8*28</f>
        <v>4866385.7512339922</v>
      </c>
      <c r="T8" s="122"/>
    </row>
    <row r="9" spans="1:20" ht="17" thickBot="1">
      <c r="A9" s="151" t="s">
        <v>221</v>
      </c>
      <c r="B9" s="119"/>
      <c r="C9" s="152">
        <f>SUM(C7:C8)</f>
        <v>10</v>
      </c>
      <c r="D9" s="153"/>
      <c r="E9" s="154">
        <f>SUM(E7:E8)</f>
        <v>33159.729879147708</v>
      </c>
      <c r="F9" s="152">
        <f>SUM(F7:F8)</f>
        <v>30</v>
      </c>
      <c r="G9" s="153"/>
      <c r="H9" s="154">
        <f>SUM(H7:H8)</f>
        <v>110676.03749877258</v>
      </c>
      <c r="I9" s="152">
        <f>SUM(I7:I8)</f>
        <v>7</v>
      </c>
      <c r="J9" s="153"/>
      <c r="K9" s="154">
        <f>SUM(K7:K8)</f>
        <v>30117.761848070004</v>
      </c>
      <c r="L9" s="152">
        <f>SUM(L7:L8)</f>
        <v>13</v>
      </c>
      <c r="M9" s="153"/>
      <c r="N9" s="154">
        <f>SUM(N7:N8)</f>
        <v>118314.1027538325</v>
      </c>
      <c r="O9" s="152">
        <f>SUM(O7:O8)</f>
        <v>144</v>
      </c>
      <c r="P9" s="153"/>
      <c r="Q9" s="154">
        <f>SUM(Q7:Q8)</f>
        <v>723108.11610421049</v>
      </c>
      <c r="R9" s="155">
        <f>SUM(R7:R8)</f>
        <v>1015375.7480840334</v>
      </c>
      <c r="S9" s="156">
        <f>SUM(S7:S8)</f>
        <v>28430520.946352933</v>
      </c>
      <c r="T9" s="157"/>
    </row>
  </sheetData>
  <mergeCells count="17">
    <mergeCell ref="A7:A8"/>
    <mergeCell ref="A9:B9"/>
    <mergeCell ref="R3:S3"/>
    <mergeCell ref="C4:E4"/>
    <mergeCell ref="F4:H4"/>
    <mergeCell ref="I4:K4"/>
    <mergeCell ref="L4:N4"/>
    <mergeCell ref="O4:Q4"/>
    <mergeCell ref="A1:T1"/>
    <mergeCell ref="A2:T2"/>
    <mergeCell ref="A3:A6"/>
    <mergeCell ref="B3:B6"/>
    <mergeCell ref="C3:E3"/>
    <mergeCell ref="F3:H3"/>
    <mergeCell ref="I3:K3"/>
    <mergeCell ref="L3:N3"/>
    <mergeCell ref="O3:Q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Precificação Total</vt:lpstr>
      <vt:lpstr>Resumo</vt:lpstr>
      <vt:lpstr>QUADRO 7</vt:lpstr>
      <vt:lpstr>'Precificação Total'!Area_de_impressao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Fábio Vieira Ribeiro</dc:creator>
  <cp:lastModifiedBy>Microsoft Office User</cp:lastModifiedBy>
  <cp:lastPrinted>2020-12-04T01:43:07Z</cp:lastPrinted>
  <dcterms:created xsi:type="dcterms:W3CDTF">2020-08-03T17:19:56Z</dcterms:created>
  <dcterms:modified xsi:type="dcterms:W3CDTF">2021-06-23T14:36:02Z</dcterms:modified>
</cp:coreProperties>
</file>