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selly.muller\Downloads\"/>
    </mc:Choice>
  </mc:AlternateContent>
  <xr:revisionPtr revIDLastSave="0" documentId="13_ncr:1_{C464E65B-3F0D-4771-9B87-FE78C9A76899}" xr6:coauthVersionLast="47" xr6:coauthVersionMax="47" xr10:uidLastSave="{00000000-0000-0000-0000-000000000000}"/>
  <bookViews>
    <workbookView xWindow="-120" yWindow="-120" windowWidth="29040" windowHeight="15840" tabRatio="873" xr2:uid="{1D13B799-F302-4053-A76C-D861CA32E7FE}"/>
  </bookViews>
  <sheets>
    <sheet name="Receitas" sheetId="1" r:id="rId1"/>
    <sheet name="Despesas Empenhadas" sheetId="2" r:id="rId2"/>
    <sheet name="EPI's Empenhados" sheetId="4" r:id="rId3"/>
    <sheet name="Gases Medicinais Empenhados" sheetId="6" r:id="rId4"/>
    <sheet name="Principais Contratos Empenhados" sheetId="5" r:id="rId5"/>
    <sheet name="PAR 21" sheetId="3" state="hidden" r:id="rId6"/>
  </sheets>
  <definedNames>
    <definedName name="_xlnm._FilterDatabase" localSheetId="1" hidden="1">'Despesas Empenhadas'!$A$14:$S$37</definedName>
    <definedName name="_xlnm._FilterDatabase" localSheetId="4" hidden="1">'Principais Contratos Empenhados'!$A$13:$S$13</definedName>
    <definedName name="_xlnm.Print_Titles" localSheetId="1">'Despesas Empenhadas'!$13:$14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6" l="1"/>
  <c r="N41" i="1"/>
  <c r="N22" i="1"/>
  <c r="L22" i="1"/>
  <c r="N40" i="1"/>
  <c r="N18" i="1"/>
  <c r="N17" i="1"/>
  <c r="N23" i="1"/>
  <c r="M17" i="1"/>
  <c r="J22" i="1"/>
  <c r="H22" i="1"/>
  <c r="S25" i="5"/>
  <c r="S24" i="5"/>
  <c r="S23" i="5"/>
  <c r="S22" i="5"/>
  <c r="S21" i="5"/>
  <c r="S20" i="5"/>
  <c r="S19" i="5"/>
  <c r="S18" i="5"/>
  <c r="S17" i="5"/>
  <c r="S16" i="5"/>
  <c r="S15" i="5"/>
  <c r="S14" i="5"/>
  <c r="R14" i="5"/>
  <c r="R15" i="5"/>
  <c r="R16" i="5"/>
  <c r="R17" i="5"/>
  <c r="R18" i="5"/>
  <c r="R19" i="5"/>
  <c r="R20" i="5"/>
  <c r="R21" i="5"/>
  <c r="R22" i="5"/>
  <c r="R23" i="5"/>
  <c r="R24" i="5"/>
  <c r="R25" i="5"/>
  <c r="F25" i="5"/>
  <c r="G25" i="5"/>
  <c r="H25" i="5"/>
  <c r="I25" i="5"/>
  <c r="J25" i="5"/>
  <c r="K25" i="5"/>
  <c r="L25" i="5"/>
  <c r="M25" i="5"/>
  <c r="N25" i="5"/>
  <c r="O25" i="5"/>
  <c r="P25" i="5"/>
  <c r="Q25" i="5"/>
  <c r="Q14" i="6"/>
  <c r="R14" i="6"/>
  <c r="R15" i="6"/>
  <c r="Q15" i="6"/>
  <c r="P16" i="6"/>
  <c r="P14" i="4"/>
  <c r="O14" i="4"/>
  <c r="T15" i="2"/>
  <c r="S15" i="2"/>
  <c r="N15" i="2"/>
  <c r="S95" i="2"/>
  <c r="T95" i="2" s="1"/>
  <c r="R95" i="2"/>
  <c r="O95" i="2"/>
  <c r="M41" i="1"/>
  <c r="M16" i="1"/>
  <c r="S94" i="2"/>
  <c r="T94" i="2" s="1"/>
  <c r="R94" i="2"/>
  <c r="S93" i="2"/>
  <c r="R93" i="2"/>
  <c r="S92" i="2"/>
  <c r="R92" i="2"/>
  <c r="O94" i="2"/>
  <c r="O93" i="2"/>
  <c r="O92" i="2"/>
  <c r="M15" i="2"/>
  <c r="L15" i="2"/>
  <c r="K15" i="2"/>
  <c r="J15" i="2"/>
  <c r="I15" i="2"/>
  <c r="H15" i="2"/>
  <c r="G15" i="2"/>
  <c r="F15" i="2"/>
  <c r="E15" i="2"/>
  <c r="D15" i="2"/>
  <c r="R15" i="2" s="1"/>
  <c r="C15" i="2"/>
  <c r="F21" i="1"/>
  <c r="L41" i="1"/>
  <c r="L40" i="1"/>
  <c r="L16" i="1"/>
  <c r="S91" i="2"/>
  <c r="T91" i="2" s="1"/>
  <c r="R91" i="2"/>
  <c r="O91" i="2"/>
  <c r="S90" i="2"/>
  <c r="T90" i="2" s="1"/>
  <c r="R90" i="2"/>
  <c r="O90" i="2"/>
  <c r="S89" i="2"/>
  <c r="T89" i="2" s="1"/>
  <c r="R89" i="2"/>
  <c r="O89" i="2"/>
  <c r="K41" i="1"/>
  <c r="K16" i="1"/>
  <c r="L16" i="6"/>
  <c r="M16" i="6"/>
  <c r="Q95" i="2" l="1"/>
  <c r="Q92" i="2"/>
  <c r="Q93" i="2"/>
  <c r="Q94" i="2"/>
  <c r="T92" i="2"/>
  <c r="T93" i="2"/>
  <c r="Q89" i="2"/>
  <c r="Q90" i="2"/>
  <c r="Q91" i="2"/>
  <c r="S24" i="2"/>
  <c r="S88" i="2" l="1"/>
  <c r="T88" i="2" s="1"/>
  <c r="S87" i="2"/>
  <c r="T87" i="2" s="1"/>
  <c r="S86" i="2"/>
  <c r="T86" i="2" s="1"/>
  <c r="S85" i="2"/>
  <c r="T85" i="2" s="1"/>
  <c r="S84" i="2"/>
  <c r="T84" i="2" s="1"/>
  <c r="O82" i="2"/>
  <c r="O83" i="2"/>
  <c r="O84" i="2"/>
  <c r="S16" i="2"/>
  <c r="R88" i="2"/>
  <c r="O88" i="2"/>
  <c r="Q88" i="2" s="1"/>
  <c r="R87" i="2"/>
  <c r="O87" i="2"/>
  <c r="Q87" i="2" s="1"/>
  <c r="R86" i="2"/>
  <c r="O86" i="2"/>
  <c r="Q86" i="2" s="1"/>
  <c r="R85" i="2"/>
  <c r="O85" i="2"/>
  <c r="R84" i="2"/>
  <c r="O16" i="6"/>
  <c r="N16" i="6"/>
  <c r="K16" i="6"/>
  <c r="J16" i="6"/>
  <c r="I16" i="6"/>
  <c r="H16" i="6"/>
  <c r="G16" i="6"/>
  <c r="F16" i="6"/>
  <c r="E16" i="6"/>
  <c r="J20" i="1"/>
  <c r="O15" i="1"/>
  <c r="J41" i="1"/>
  <c r="J23" i="1"/>
  <c r="J21" i="1" s="1"/>
  <c r="J24" i="1" s="1"/>
  <c r="J46" i="1" s="1"/>
  <c r="J16" i="1"/>
  <c r="S83" i="2"/>
  <c r="T83" i="2" s="1"/>
  <c r="R83" i="2"/>
  <c r="S82" i="2"/>
  <c r="T82" i="2" s="1"/>
  <c r="R82" i="2"/>
  <c r="S81" i="2"/>
  <c r="R81" i="2"/>
  <c r="O81" i="2"/>
  <c r="R16" i="2"/>
  <c r="I41" i="1"/>
  <c r="I16" i="1"/>
  <c r="I14" i="1" s="1"/>
  <c r="S80" i="2"/>
  <c r="T80" i="2" s="1"/>
  <c r="R80" i="2"/>
  <c r="O80" i="2"/>
  <c r="S79" i="2"/>
  <c r="T79" i="2" s="1"/>
  <c r="R79" i="2"/>
  <c r="O79" i="2"/>
  <c r="S78" i="2"/>
  <c r="T78" i="2" s="1"/>
  <c r="R78" i="2"/>
  <c r="O78" i="2"/>
  <c r="S77" i="2"/>
  <c r="T77" i="2" s="1"/>
  <c r="R77" i="2"/>
  <c r="O77" i="2"/>
  <c r="O76" i="2"/>
  <c r="H44" i="1"/>
  <c r="H42" i="1"/>
  <c r="H41" i="1"/>
  <c r="H20" i="1"/>
  <c r="H16" i="1"/>
  <c r="S76" i="2"/>
  <c r="T76" i="2" s="1"/>
  <c r="S75" i="2"/>
  <c r="T75" i="2" s="1"/>
  <c r="S74" i="2"/>
  <c r="T74" i="2" s="1"/>
  <c r="S73" i="2"/>
  <c r="T73" i="2" s="1"/>
  <c r="S72" i="2"/>
  <c r="T72" i="2" s="1"/>
  <c r="S71" i="2"/>
  <c r="R76" i="2"/>
  <c r="R75" i="2"/>
  <c r="O75" i="2"/>
  <c r="S19" i="2"/>
  <c r="G42" i="1"/>
  <c r="G44" i="1" s="1"/>
  <c r="G46" i="1" s="1"/>
  <c r="D44" i="1"/>
  <c r="D42" i="1"/>
  <c r="G41" i="1"/>
  <c r="G22" i="1"/>
  <c r="G21" i="1" s="1"/>
  <c r="G20" i="1"/>
  <c r="G14" i="1"/>
  <c r="C14" i="1"/>
  <c r="G16" i="1"/>
  <c r="O19" i="1"/>
  <c r="F24" i="1"/>
  <c r="F20" i="1"/>
  <c r="N20" i="1"/>
  <c r="E20" i="1"/>
  <c r="D20" i="1"/>
  <c r="C20" i="1"/>
  <c r="C24" i="1" s="1"/>
  <c r="R74" i="2"/>
  <c r="O74" i="2"/>
  <c r="R73" i="2"/>
  <c r="O73" i="2"/>
  <c r="R72" i="2"/>
  <c r="O72" i="2"/>
  <c r="R71" i="2"/>
  <c r="O71" i="2"/>
  <c r="S22" i="2"/>
  <c r="T22" i="2" s="1"/>
  <c r="S70" i="2"/>
  <c r="T70" i="2" s="1"/>
  <c r="R70" i="2"/>
  <c r="O70" i="2"/>
  <c r="S69" i="2"/>
  <c r="T69" i="2" s="1"/>
  <c r="R69" i="2"/>
  <c r="O69" i="2"/>
  <c r="F41" i="1"/>
  <c r="F42" i="1" s="1"/>
  <c r="F44" i="1" s="1"/>
  <c r="O18" i="1"/>
  <c r="O22" i="1"/>
  <c r="O23" i="1"/>
  <c r="N21" i="1"/>
  <c r="M21" i="1"/>
  <c r="L21" i="1"/>
  <c r="K21" i="1"/>
  <c r="I21" i="1"/>
  <c r="H21" i="1"/>
  <c r="H24" i="1" s="1"/>
  <c r="H46" i="1" s="1"/>
  <c r="D21" i="1"/>
  <c r="C21" i="1"/>
  <c r="E21" i="1"/>
  <c r="F16" i="1"/>
  <c r="F14" i="1" s="1"/>
  <c r="F15" i="1"/>
  <c r="O66" i="2"/>
  <c r="S68" i="2"/>
  <c r="T68" i="2" s="1"/>
  <c r="R68" i="2"/>
  <c r="O68" i="2"/>
  <c r="S67" i="2"/>
  <c r="T67" i="2" s="1"/>
  <c r="R67" i="2"/>
  <c r="O67" i="2"/>
  <c r="S66" i="2"/>
  <c r="T66" i="2" s="1"/>
  <c r="R66" i="2"/>
  <c r="S65" i="2"/>
  <c r="T65" i="2" s="1"/>
  <c r="R65" i="2"/>
  <c r="O65" i="2"/>
  <c r="S64" i="2"/>
  <c r="T64" i="2" s="1"/>
  <c r="R64" i="2"/>
  <c r="O64" i="2"/>
  <c r="C30" i="1"/>
  <c r="C29" i="1"/>
  <c r="C28" i="1"/>
  <c r="B15" i="1"/>
  <c r="B16" i="1"/>
  <c r="B40" i="1"/>
  <c r="E16" i="1"/>
  <c r="E14" i="1" s="1"/>
  <c r="R17" i="2"/>
  <c r="D41" i="1"/>
  <c r="O41" i="1" s="1"/>
  <c r="P41" i="1" s="1"/>
  <c r="D16" i="1"/>
  <c r="D14" i="1" s="1"/>
  <c r="S63" i="2"/>
  <c r="T63" i="2" s="1"/>
  <c r="R63" i="2"/>
  <c r="O63" i="2"/>
  <c r="S62" i="2"/>
  <c r="T62" i="2" s="1"/>
  <c r="R62" i="2"/>
  <c r="O62" i="2"/>
  <c r="S61" i="2"/>
  <c r="T61" i="2" s="1"/>
  <c r="R61" i="2"/>
  <c r="O61" i="2"/>
  <c r="S60" i="2"/>
  <c r="T60" i="2" s="1"/>
  <c r="R60" i="2"/>
  <c r="O60" i="2"/>
  <c r="S59" i="2"/>
  <c r="T59" i="2" s="1"/>
  <c r="R59" i="2"/>
  <c r="O59" i="2"/>
  <c r="S58" i="2"/>
  <c r="T58" i="2" s="1"/>
  <c r="R58" i="2"/>
  <c r="O58" i="2"/>
  <c r="S57" i="2"/>
  <c r="T57" i="2" s="1"/>
  <c r="R57" i="2"/>
  <c r="O57" i="2"/>
  <c r="S56" i="2"/>
  <c r="T56" i="2" s="1"/>
  <c r="R56" i="2"/>
  <c r="O56" i="2"/>
  <c r="S55" i="2"/>
  <c r="T55" i="2" s="1"/>
  <c r="R55" i="2"/>
  <c r="O55" i="2"/>
  <c r="S54" i="2"/>
  <c r="T54" i="2" s="1"/>
  <c r="R54" i="2"/>
  <c r="O54" i="2"/>
  <c r="S53" i="2"/>
  <c r="T53" i="2" s="1"/>
  <c r="R53" i="2"/>
  <c r="O53" i="2"/>
  <c r="S52" i="2"/>
  <c r="T52" i="2" s="1"/>
  <c r="R52" i="2"/>
  <c r="O52" i="2"/>
  <c r="S51" i="2"/>
  <c r="T51" i="2" s="1"/>
  <c r="R51" i="2"/>
  <c r="O51" i="2"/>
  <c r="S50" i="2"/>
  <c r="T50" i="2" s="1"/>
  <c r="R50" i="2"/>
  <c r="O50" i="2"/>
  <c r="S49" i="2"/>
  <c r="T49" i="2" s="1"/>
  <c r="R49" i="2"/>
  <c r="O49" i="2"/>
  <c r="S48" i="2"/>
  <c r="T48" i="2" s="1"/>
  <c r="R48" i="2"/>
  <c r="O48" i="2"/>
  <c r="S47" i="2"/>
  <c r="T47" i="2" s="1"/>
  <c r="R47" i="2"/>
  <c r="O47" i="2"/>
  <c r="S46" i="2"/>
  <c r="T46" i="2" s="1"/>
  <c r="R46" i="2"/>
  <c r="O46" i="2"/>
  <c r="S45" i="2"/>
  <c r="T45" i="2" s="1"/>
  <c r="R45" i="2"/>
  <c r="O45" i="2"/>
  <c r="S44" i="2"/>
  <c r="T44" i="2" s="1"/>
  <c r="R44" i="2"/>
  <c r="O44" i="2"/>
  <c r="S43" i="2"/>
  <c r="T43" i="2" s="1"/>
  <c r="R43" i="2"/>
  <c r="O43" i="2"/>
  <c r="S42" i="2"/>
  <c r="T42" i="2" s="1"/>
  <c r="R42" i="2"/>
  <c r="O42" i="2"/>
  <c r="S41" i="2"/>
  <c r="T41" i="2" s="1"/>
  <c r="R41" i="2"/>
  <c r="O41" i="2"/>
  <c r="S40" i="2"/>
  <c r="T40" i="2" s="1"/>
  <c r="R40" i="2"/>
  <c r="O40" i="2"/>
  <c r="S39" i="2"/>
  <c r="T39" i="2" s="1"/>
  <c r="R39" i="2"/>
  <c r="O39" i="2"/>
  <c r="S38" i="2"/>
  <c r="T38" i="2" s="1"/>
  <c r="R38" i="2"/>
  <c r="O38" i="2"/>
  <c r="S37" i="2"/>
  <c r="T37" i="2" s="1"/>
  <c r="R37" i="2"/>
  <c r="O37" i="2"/>
  <c r="B44" i="1"/>
  <c r="S18" i="2"/>
  <c r="T18" i="2" s="1"/>
  <c r="S20" i="2"/>
  <c r="T20" i="2" s="1"/>
  <c r="S21" i="2"/>
  <c r="T21" i="2" s="1"/>
  <c r="S23" i="2"/>
  <c r="T23" i="2" s="1"/>
  <c r="T24" i="2"/>
  <c r="S25" i="2"/>
  <c r="T25" i="2" s="1"/>
  <c r="S26" i="2"/>
  <c r="T26" i="2" s="1"/>
  <c r="S27" i="2"/>
  <c r="T27" i="2" s="1"/>
  <c r="S28" i="2"/>
  <c r="T28" i="2" s="1"/>
  <c r="S29" i="2"/>
  <c r="T29" i="2" s="1"/>
  <c r="S30" i="2"/>
  <c r="T30" i="2" s="1"/>
  <c r="S31" i="2"/>
  <c r="T31" i="2" s="1"/>
  <c r="S32" i="2"/>
  <c r="T32" i="2" s="1"/>
  <c r="S33" i="2"/>
  <c r="T33" i="2" s="1"/>
  <c r="S34" i="2"/>
  <c r="T34" i="2" s="1"/>
  <c r="S35" i="2"/>
  <c r="T35" i="2" s="1"/>
  <c r="S36" i="2"/>
  <c r="T36" i="2" s="1"/>
  <c r="S17" i="2"/>
  <c r="T17" i="2" s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3" i="3"/>
  <c r="O36" i="2"/>
  <c r="O35" i="2"/>
  <c r="O34" i="2"/>
  <c r="O33" i="2"/>
  <c r="O32" i="2"/>
  <c r="O31" i="2"/>
  <c r="O30" i="2"/>
  <c r="O29" i="2"/>
  <c r="O28" i="2"/>
  <c r="O27" i="2"/>
  <c r="O26" i="2"/>
  <c r="O25" i="2"/>
  <c r="Q25" i="2" s="1"/>
  <c r="O24" i="2"/>
  <c r="O23" i="2"/>
  <c r="O22" i="2"/>
  <c r="O21" i="2"/>
  <c r="Q21" i="2" s="1"/>
  <c r="O20" i="2"/>
  <c r="Q20" i="2" s="1"/>
  <c r="O19" i="2"/>
  <c r="O18" i="2"/>
  <c r="O17" i="2"/>
  <c r="Q17" i="2" s="1"/>
  <c r="O16" i="2"/>
  <c r="O43" i="1"/>
  <c r="P43" i="1" s="1"/>
  <c r="O40" i="1"/>
  <c r="P40" i="1" s="1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N42" i="1"/>
  <c r="N44" i="1" s="1"/>
  <c r="M42" i="1"/>
  <c r="M44" i="1" s="1"/>
  <c r="L42" i="1"/>
  <c r="L44" i="1" s="1"/>
  <c r="K42" i="1"/>
  <c r="K44" i="1" s="1"/>
  <c r="J42" i="1"/>
  <c r="J44" i="1" s="1"/>
  <c r="I42" i="1"/>
  <c r="I44" i="1" s="1"/>
  <c r="E42" i="1"/>
  <c r="E44" i="1" s="1"/>
  <c r="C42" i="1"/>
  <c r="C44" i="1" s="1"/>
  <c r="N14" i="1"/>
  <c r="M14" i="1"/>
  <c r="L14" i="1"/>
  <c r="L20" i="1" s="1"/>
  <c r="K14" i="1"/>
  <c r="J14" i="1"/>
  <c r="H14" i="1"/>
  <c r="O15" i="2" l="1"/>
  <c r="M20" i="1"/>
  <c r="M24" i="1" s="1"/>
  <c r="M46" i="1" s="1"/>
  <c r="Q16" i="2"/>
  <c r="P88" i="2"/>
  <c r="Q85" i="2"/>
  <c r="Q84" i="2"/>
  <c r="T16" i="2"/>
  <c r="L24" i="1"/>
  <c r="L46" i="1" s="1"/>
  <c r="O14" i="1"/>
  <c r="R16" i="6"/>
  <c r="K20" i="1"/>
  <c r="K24" i="1" s="1"/>
  <c r="K46" i="1" s="1"/>
  <c r="Q83" i="2"/>
  <c r="Q81" i="2"/>
  <c r="Q77" i="2"/>
  <c r="Q82" i="2"/>
  <c r="T81" i="2"/>
  <c r="Q18" i="2"/>
  <c r="Q79" i="2"/>
  <c r="I20" i="1"/>
  <c r="I24" i="1" s="1"/>
  <c r="I46" i="1" s="1"/>
  <c r="Q78" i="2"/>
  <c r="Q80" i="2"/>
  <c r="Q19" i="2"/>
  <c r="Q75" i="2"/>
  <c r="T71" i="2"/>
  <c r="Q71" i="2"/>
  <c r="Q73" i="2"/>
  <c r="Q76" i="2"/>
  <c r="Q70" i="2"/>
  <c r="Q72" i="2"/>
  <c r="Q74" i="2"/>
  <c r="T19" i="2"/>
  <c r="O21" i="1"/>
  <c r="D24" i="1"/>
  <c r="E24" i="1"/>
  <c r="Q69" i="2"/>
  <c r="Q29" i="2"/>
  <c r="Q33" i="2"/>
  <c r="Q68" i="2"/>
  <c r="Q26" i="2"/>
  <c r="Q30" i="2"/>
  <c r="Q34" i="2"/>
  <c r="Q63" i="2"/>
  <c r="Q22" i="2"/>
  <c r="Q23" i="2"/>
  <c r="Q27" i="2"/>
  <c r="Q31" i="2"/>
  <c r="Q35" i="2"/>
  <c r="Q38" i="2"/>
  <c r="Q42" i="2"/>
  <c r="Q46" i="2"/>
  <c r="Q50" i="2"/>
  <c r="Q54" i="2"/>
  <c r="Q58" i="2"/>
  <c r="Q62" i="2"/>
  <c r="Q64" i="2"/>
  <c r="Q65" i="2"/>
  <c r="Q66" i="2"/>
  <c r="Q67" i="2"/>
  <c r="Q39" i="2"/>
  <c r="Q43" i="2"/>
  <c r="Q47" i="2"/>
  <c r="Q51" i="2"/>
  <c r="Q55" i="2"/>
  <c r="Q59" i="2"/>
  <c r="Q24" i="2"/>
  <c r="Q28" i="2"/>
  <c r="Q32" i="2"/>
  <c r="Q36" i="2"/>
  <c r="Q37" i="2"/>
  <c r="Q41" i="2"/>
  <c r="Q45" i="2"/>
  <c r="Q49" i="2"/>
  <c r="Q53" i="2"/>
  <c r="Q57" i="2"/>
  <c r="Q61" i="2"/>
  <c r="Q40" i="2"/>
  <c r="Q44" i="2"/>
  <c r="Q48" i="2"/>
  <c r="Q52" i="2"/>
  <c r="Q56" i="2"/>
  <c r="Q60" i="2"/>
  <c r="E46" i="1"/>
  <c r="O16" i="1"/>
  <c r="F46" i="1"/>
  <c r="N24" i="1"/>
  <c r="N46" i="1" s="1"/>
  <c r="G24" i="1"/>
  <c r="O17" i="1"/>
  <c r="C46" i="1"/>
  <c r="Q15" i="2" l="1"/>
  <c r="P95" i="2"/>
  <c r="P94" i="2"/>
  <c r="P92" i="2"/>
  <c r="P93" i="2"/>
  <c r="P16" i="2"/>
  <c r="P89" i="2"/>
  <c r="P91" i="2"/>
  <c r="P90" i="2"/>
  <c r="O20" i="1"/>
  <c r="O24" i="1" s="1"/>
  <c r="P79" i="2"/>
  <c r="P83" i="2"/>
  <c r="P78" i="2"/>
  <c r="P82" i="2"/>
  <c r="P85" i="2"/>
  <c r="P81" i="2"/>
  <c r="P87" i="2"/>
  <c r="P86" i="2"/>
  <c r="P84" i="2"/>
  <c r="P71" i="2"/>
  <c r="P77" i="2"/>
  <c r="P80" i="2"/>
  <c r="P73" i="2"/>
  <c r="P76" i="2"/>
  <c r="P74" i="2"/>
  <c r="P75" i="2"/>
  <c r="P70" i="2"/>
  <c r="P72" i="2"/>
  <c r="P68" i="2"/>
  <c r="P65" i="2"/>
  <c r="P67" i="2"/>
  <c r="P69" i="2"/>
  <c r="P64" i="2"/>
  <c r="P66" i="2"/>
  <c r="O42" i="1"/>
  <c r="P55" i="2"/>
  <c r="D46" i="1"/>
  <c r="P57" i="2"/>
  <c r="P53" i="2"/>
  <c r="P63" i="2"/>
  <c r="P18" i="2"/>
  <c r="P52" i="2"/>
  <c r="P17" i="2"/>
  <c r="P48" i="2"/>
  <c r="P49" i="2"/>
  <c r="P47" i="2"/>
  <c r="P41" i="2"/>
  <c r="P54" i="2"/>
  <c r="P38" i="2"/>
  <c r="P45" i="2"/>
  <c r="P43" i="2"/>
  <c r="P51" i="2"/>
  <c r="P50" i="2"/>
  <c r="P59" i="2"/>
  <c r="P58" i="2"/>
  <c r="P42" i="2"/>
  <c r="P60" i="2"/>
  <c r="P44" i="2"/>
  <c r="P56" i="2"/>
  <c r="P40" i="2"/>
  <c r="P37" i="2"/>
  <c r="P61" i="2"/>
  <c r="P62" i="2"/>
  <c r="P46" i="2"/>
  <c r="P39" i="2"/>
  <c r="P19" i="2"/>
  <c r="P32" i="2"/>
  <c r="P35" i="2"/>
  <c r="P28" i="2"/>
  <c r="P31" i="2"/>
  <c r="P26" i="2"/>
  <c r="P24" i="2"/>
  <c r="P23" i="2"/>
  <c r="P22" i="2"/>
  <c r="P29" i="2"/>
  <c r="P30" i="2"/>
  <c r="P25" i="2"/>
  <c r="P33" i="2"/>
  <c r="P21" i="2"/>
  <c r="P36" i="2"/>
  <c r="P20" i="2"/>
  <c r="P27" i="2"/>
  <c r="P34" i="2"/>
  <c r="P15" i="2" l="1"/>
  <c r="O44" i="1"/>
  <c r="P44" i="1" s="1"/>
  <c r="P42" i="1"/>
  <c r="P20" i="1"/>
  <c r="P19" i="1"/>
  <c r="P22" i="1"/>
  <c r="P17" i="1"/>
  <c r="P23" i="1"/>
  <c r="P18" i="1"/>
  <c r="P24" i="1"/>
  <c r="P21" i="1"/>
  <c r="P16" i="1"/>
  <c r="P14" i="1"/>
  <c r="P15" i="1"/>
  <c r="O46" i="1" l="1"/>
</calcChain>
</file>

<file path=xl/sharedStrings.xml><?xml version="1.0" encoding="utf-8"?>
<sst xmlns="http://schemas.openxmlformats.org/spreadsheetml/2006/main" count="236" uniqueCount="190">
  <si>
    <t>RECEITAS ORÇAMENTÁRIAS</t>
  </si>
  <si>
    <t>Tabela 1 -  Receitas arrecadadas no ano de 2021 - Custeio</t>
  </si>
  <si>
    <t>Discriminação</t>
  </si>
  <si>
    <t xml:space="preserve">Teto Mensal do Contrato </t>
  </si>
  <si>
    <t>Valores</t>
  </si>
  <si>
    <t>Total</t>
  </si>
  <si>
    <t>%</t>
  </si>
  <si>
    <t>a) Contratualização SUS</t>
  </si>
  <si>
    <t xml:space="preserve">    MAC (fixo + variável)</t>
  </si>
  <si>
    <t xml:space="preserve">    FAEC (variável)</t>
  </si>
  <si>
    <t>c) Diárias</t>
  </si>
  <si>
    <t xml:space="preserve">    COVID Leitos UTI</t>
  </si>
  <si>
    <t xml:space="preserve">    COVID Geral</t>
  </si>
  <si>
    <t>Contrato SUS vigente                   a partir de 01/04/2021</t>
  </si>
  <si>
    <t>Teto Mensal do Contrato Vigente</t>
  </si>
  <si>
    <t>Teto Anual do Contrato Vigente</t>
  </si>
  <si>
    <t xml:space="preserve">    MAC (fixo)</t>
  </si>
  <si>
    <t xml:space="preserve">    MAC (variável)</t>
  </si>
  <si>
    <t>Previsão REHUF para o ano de 2021</t>
  </si>
  <si>
    <t>REHUF</t>
  </si>
  <si>
    <t>Tabela 2 -  Receitas arrecadadas no ano de 2021 - Investimento</t>
  </si>
  <si>
    <t xml:space="preserve">Teto Anual do Contrato </t>
  </si>
  <si>
    <t>Total (Custeio + Investimento)</t>
  </si>
  <si>
    <t>Fonte: SIAFI 2021</t>
  </si>
  <si>
    <t>DESPESAS ORÇAMENTÁRIAS</t>
  </si>
  <si>
    <t>Tabela 1 -  Despesas Empenhadas por Natureza de Despesa no ano de 2021</t>
  </si>
  <si>
    <t>Obs: O total das depesas empenhadas inclui orçamento recebido para o combate ao COVID, podendo ultrapassar o valor do PAR 2021.</t>
  </si>
  <si>
    <t>Natureza</t>
  </si>
  <si>
    <t>Despesa Detalhada</t>
  </si>
  <si>
    <t>% Acumulado</t>
  </si>
  <si>
    <t>AH %</t>
  </si>
  <si>
    <t>Média Mensal</t>
  </si>
  <si>
    <t>PAR 2021 (teto)</t>
  </si>
  <si>
    <t>PAR 2021 mensal (teto)</t>
  </si>
  <si>
    <t>BOLSAS DE ESTUDO NO PAIS</t>
  </si>
  <si>
    <t>COMBUSTIVEIS E LUBRIFICANTES AUTOMOTIVOS</t>
  </si>
  <si>
    <t>COMBUSTIVEIS E LUBRIF. P/ OUTRAS FINALIDADES</t>
  </si>
  <si>
    <t>GAS E OUTROS MATERIAIS ENGARRAFADOS</t>
  </si>
  <si>
    <t>GENEROS DE ALIMENTACAO</t>
  </si>
  <si>
    <t>MATERIAL FARMACOLOGICO</t>
  </si>
  <si>
    <t>MATERIAL ODONTOLOGICO</t>
  </si>
  <si>
    <t>MATERIAL QUIMICO</t>
  </si>
  <si>
    <t>MATERIAL DE EXPEDIENTE</t>
  </si>
  <si>
    <t>MATERIAL DE TIC - MATERIAL DE CONSUMO</t>
  </si>
  <si>
    <t>MATERIAL DE ACONDICIONAMENTO E EMBALAGEM</t>
  </si>
  <si>
    <t>MATERIAL DE CAMA, MESA E BANHO</t>
  </si>
  <si>
    <t>MATERIAL DE COPA E COZINHA</t>
  </si>
  <si>
    <t>MATERIAL DE LIMPEZA E PROD. DE HIGIENIZACAO</t>
  </si>
  <si>
    <t>UNIFORMES, TECIDOS E AVIAMENTOS</t>
  </si>
  <si>
    <t>MATERIAL P/ MANUT.DE BENS IMOVEIS/INSTALACOES</t>
  </si>
  <si>
    <t>MATERIAL P/ MANUTENCAO DE BENS MOVEIS</t>
  </si>
  <si>
    <t>MATERIAL ELETRICO E ELETRONICO</t>
  </si>
  <si>
    <t>MATERIAL DE PROTECAO E SEGURANCA</t>
  </si>
  <si>
    <t>MATERIAL LABORATORIAL</t>
  </si>
  <si>
    <t>MATERIAL HOSPITALAR</t>
  </si>
  <si>
    <t>MATERIAL BIOLOGICO</t>
  </si>
  <si>
    <t>FERRAMENTAS</t>
  </si>
  <si>
    <t>MATERIAL DE CONSUMO - PAGTO ANTECIPADO</t>
  </si>
  <si>
    <t>APOIO ADMINISTRATIVO, TECNICO E OPERACIONAL</t>
  </si>
  <si>
    <t>LIMPEZA E CONSERVACAO</t>
  </si>
  <si>
    <t>VIGILANCIA OSTENSIVA</t>
  </si>
  <si>
    <t>MANUTENCAO E CONSERVACAO DE BENS IMOVEIS</t>
  </si>
  <si>
    <t>SERVICOS DE COPA E COZINHA</t>
  </si>
  <si>
    <t>MANUTENCAO E CONSERVACAO DE BENS MOVEIS</t>
  </si>
  <si>
    <t>LOCACAO DE MAQUINAS E EQUIPAMENTOS</t>
  </si>
  <si>
    <t>MANUTENCAO E CONSERV. DE BENS IMOVEIS</t>
  </si>
  <si>
    <t>MANUT. E CONSERV. DE MAQUINAS E EQUIPAMENTOS</t>
  </si>
  <si>
    <t>MANUTENCAO E CONSERV. DE VEICULOS</t>
  </si>
  <si>
    <t>TAXA DE ADMINISTRACAO</t>
  </si>
  <si>
    <t>SERVICOS DE ENERGIA ELETRICA</t>
  </si>
  <si>
    <t>SERVICOS DE AGUA E ESGOTO</t>
  </si>
  <si>
    <t>SERVICOS DOMESTICOS</t>
  </si>
  <si>
    <t>SERVICOS DE COMUNICACAO EM GERAL</t>
  </si>
  <si>
    <t>SERV.MEDICO-HOSPITAL.,ODONTOL.E LABORATORIAIS</t>
  </si>
  <si>
    <t>SERVICOS DE ANALISES E PESQUISAS CIENTIFICAS</t>
  </si>
  <si>
    <t>SERVICOS DE TELECOMUNICACOES</t>
  </si>
  <si>
    <t>CONFECCAO DE UNIFORMES, BANDEIRAS E FLAMULAS</t>
  </si>
  <si>
    <t>FRETES E TRANSPORTES DE ENCOMENDAS</t>
  </si>
  <si>
    <t>SERVICO DE INCINERACAO,DESTRUICAO E DEMOLICAO</t>
  </si>
  <si>
    <t>SERV. DE APOIO ADMIN., TECNICO E OPERACIONAL</t>
  </si>
  <si>
    <t>OUTROS SERV.DE TERCEIROS PJ- PAGTO ANTECIPADO</t>
  </si>
  <si>
    <t>LOCACAO DE SOFTWARES</t>
  </si>
  <si>
    <t>SUPORTE A USUARIOS DE TIC</t>
  </si>
  <si>
    <t>OUTSOURCING DE IMPRESSAO</t>
  </si>
  <si>
    <t>SERVICOS TECNICOS PROFISSIONAIS DE TIC</t>
  </si>
  <si>
    <t>TAXAS</t>
  </si>
  <si>
    <t>CONTRIBUICAO P/ CUSTEIO DE ILUMINACAO PUBLICA</t>
  </si>
  <si>
    <t>EPI's EMPENHADOS</t>
  </si>
  <si>
    <t>Tabela 1 -  Despesas Empenhadas com EPI's - Material de Proteção e Segurança no ano de 2021</t>
  </si>
  <si>
    <t>GASES MEDICINAIS EMPENHADOS</t>
  </si>
  <si>
    <t>Tabela 1 -  Despesas Empenhadas com Gases medicinais no ano de 2021</t>
  </si>
  <si>
    <t>Atividade</t>
  </si>
  <si>
    <t>Gás medicinal</t>
  </si>
  <si>
    <t>CONTRATOS MAIS ONEROSOS EMPENHADOS</t>
  </si>
  <si>
    <t>Tabela 1 -  Despesas Empenhadas com os 10 Contratos mais onerosos no ano de 2021</t>
  </si>
  <si>
    <t>Contrato</t>
  </si>
  <si>
    <t>CNPJ</t>
  </si>
  <si>
    <t>Empresa</t>
  </si>
  <si>
    <t>Serviço</t>
  </si>
  <si>
    <t>Higienização</t>
  </si>
  <si>
    <t>02.531.343/0001-08</t>
  </si>
  <si>
    <t>ADSERVI ADMINISTRADORA DE SERVIÇOS LTDA.</t>
  </si>
  <si>
    <t>Prestação de serviços de asseio hospitalar, com a limpeza, higienização e desinfecção de superfícies de ambientes clínicos e administrativos, serviços de hotelaria hospitalar para a limpeza e organização de leitos, e outros serviços afins.</t>
  </si>
  <si>
    <t>Vigilância</t>
  </si>
  <si>
    <t>105/2017</t>
  </si>
  <si>
    <t>03.130.750/0001-76</t>
  </si>
  <si>
    <t>EMBRASP EMPR.BRAS. DE SEG. PATRIM. LTDA.</t>
  </si>
  <si>
    <t>Prestação de serviço de vigilância armada, com arma não letal e vigilância desarmada nas dependências internas e externas deste H. U.</t>
  </si>
  <si>
    <t>Recepção</t>
  </si>
  <si>
    <t>014/2020</t>
  </si>
  <si>
    <t>79.283.065/0001-41</t>
  </si>
  <si>
    <t>ORBENK - ADMINISTRACAO E SERVICOS LTDA.</t>
  </si>
  <si>
    <t>Prestação de serviços continuados de recepção com dedicação exclusiva de mão-de-obra.</t>
  </si>
  <si>
    <t>CELESC</t>
  </si>
  <si>
    <t>016/2020</t>
  </si>
  <si>
    <t>08.336/783/0001-90</t>
  </si>
  <si>
    <t>CELESC DISTRIBUIÇÃO S/A</t>
  </si>
  <si>
    <t>Prestação de serviço de contratação de concessionaria para fornecimento de energia elétrica.</t>
  </si>
  <si>
    <t>CASAN</t>
  </si>
  <si>
    <t>031/2020</t>
  </si>
  <si>
    <t>82.508.433/0001-17</t>
  </si>
  <si>
    <t>CASAN S/A</t>
  </si>
  <si>
    <t>Fornecimento de água tratada.</t>
  </si>
  <si>
    <t>Lavanderia</t>
  </si>
  <si>
    <t>121/2020</t>
  </si>
  <si>
    <t>03.140.518/0001-19</t>
  </si>
  <si>
    <t>CLINILAVES LAVANDERIA INDUSTRIAL EIRELI</t>
  </si>
  <si>
    <t>Prestação de serviços continuados de locação e higienização de enxoval hospitalar.</t>
  </si>
  <si>
    <t>Nutrição</t>
  </si>
  <si>
    <t>170/2019</t>
  </si>
  <si>
    <t>Prestação de serviços de preparo e distribuição de refeições, com dedicação exclusiva de mão-de-obra.</t>
  </si>
  <si>
    <t>Apoio Operacional</t>
  </si>
  <si>
    <t>304/2019</t>
  </si>
  <si>
    <t>10.398.338/0001-05</t>
  </si>
  <si>
    <t>TOTALCOB SERVICOS TERCEIRIZADOS EIRELI</t>
  </si>
  <si>
    <t>Serviços continuados de apoio às atividades administrativas de técnico em secretariado, auxiliar de arquivo, almoxarife e maqueiro.</t>
  </si>
  <si>
    <t>Manutenção Predial</t>
  </si>
  <si>
    <t>014/2017</t>
  </si>
  <si>
    <t>09.249.662/0001-74</t>
  </si>
  <si>
    <t>SETUP SERVICOS ESPECIALIZADOS LTDA</t>
  </si>
  <si>
    <t>Prestação de serviços de manutenção corretiva e preventiva nas áreas de mecânica, elétrica, hidráulica, predial e telefonia.</t>
  </si>
  <si>
    <t>Engenharia Clínica</t>
  </si>
  <si>
    <t>005/2018</t>
  </si>
  <si>
    <t>05.808.800/0001-57</t>
  </si>
  <si>
    <t>TECHNOCARE ENG. CLINICOS ASSOCIADOS LTDA</t>
  </si>
  <si>
    <t>Prestação de serviços técnicos no ramo de engenharia clínica, para manutenção preventiva e corretiva, incluindo treinamento de operadores e eleboração de especificações técnicas de equipamentos médico-hospitalares.</t>
  </si>
  <si>
    <t>Rótulos de Linha</t>
  </si>
  <si>
    <t>Soma de Soma de Valor Anual do Contrato (R$)</t>
  </si>
  <si>
    <t>(vazio)</t>
  </si>
  <si>
    <t>Total Geral</t>
  </si>
  <si>
    <t>Soma de Valor Total (R$)</t>
  </si>
  <si>
    <t>Informar a Natureza de Despesa Detalhada</t>
  </si>
  <si>
    <t>DIARIAS NO PAIS</t>
  </si>
  <si>
    <t>MATERIAL PARA COMUNICACOES</t>
  </si>
  <si>
    <t>SERVICOS TECNICOS PROFISSIONAIS</t>
  </si>
  <si>
    <t>ESTUDOS E PROJETOS</t>
  </si>
  <si>
    <t>d) Capacitação</t>
  </si>
  <si>
    <t>Soma (a+b+c+d)</t>
  </si>
  <si>
    <t>e) COVID Total</t>
  </si>
  <si>
    <t>Total Custeio (a+b+c+d+e)</t>
  </si>
  <si>
    <t>g) Receita Própria</t>
  </si>
  <si>
    <t>h) COVID Investimento</t>
  </si>
  <si>
    <t>Soma (f+g)</t>
  </si>
  <si>
    <t>Total Investimento (f+g+h)</t>
  </si>
  <si>
    <t>MULTAS INDEDUTIVEIS</t>
  </si>
  <si>
    <t>MAQUINAS E EQUIPAMENTOS ENERGETICOS</t>
  </si>
  <si>
    <t>024/2021</t>
  </si>
  <si>
    <t>023/2015</t>
  </si>
  <si>
    <t>ENCARGOS FINANCEIROS INDEDUTIVEIS</t>
  </si>
  <si>
    <t>SEGUROS EM GERAL</t>
  </si>
  <si>
    <t>APAR.EQUIP.UTENS.MED.,ODONT,LABOR.HOSPIT.</t>
  </si>
  <si>
    <t>APARELHOS E UTENSILIOS DOMESTICOS</t>
  </si>
  <si>
    <t>SERVICO DE SELECAO E TREINAMENTO</t>
  </si>
  <si>
    <t>APARELHOS DE MEDICAO E ORIENTACAO</t>
  </si>
  <si>
    <t>MOBILIARIO EM GERAL</t>
  </si>
  <si>
    <t>Convênio</t>
  </si>
  <si>
    <t>-</t>
  </si>
  <si>
    <t>Gás medicinal - Recurso COVID</t>
  </si>
  <si>
    <t>MATERIAL P/ MANUTENCAO DE VEICULOS</t>
  </si>
  <si>
    <t>BANDEIRAS, FLAMULAS E INSIGNIAS</t>
  </si>
  <si>
    <t>DESCONTOS FINANCEIROS CONCEDIDOS</t>
  </si>
  <si>
    <t>VISTOS CONSULARES</t>
  </si>
  <si>
    <t>SERVICOS GRAFICOS E EDITORIAIS</t>
  </si>
  <si>
    <t>MATERIAL DE TIC (PERMANENTE)</t>
  </si>
  <si>
    <t>EQUIPAMENTOS DE TIC - COMPUTADORES</t>
  </si>
  <si>
    <t>ASSINATURAS DE PERIODICOS E ANUIDADES</t>
  </si>
  <si>
    <t>EQUIPAMENTOS PARA AUDIO, VIDEO E FOTO</t>
  </si>
  <si>
    <t>b) REHUF Custeio/Ação 4086</t>
  </si>
  <si>
    <t>GRATIFICACAO POR ENCARGO DE CURSO E CONCURSO - GECC</t>
  </si>
  <si>
    <t>f) REHUF Invest./Ação4086-Sede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</si>
</sst>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92D050"/>
        <bgColor rgb="FF000000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rgb="FF92D050"/>
      </bottom>
      <diagonal/>
    </border>
    <border>
      <left/>
      <right/>
      <top style="hair">
        <color rgb="FF92D050"/>
      </top>
      <bottom style="hair">
        <color rgb="FF92D050"/>
      </bottom>
      <diagonal/>
    </border>
    <border>
      <left style="thin">
        <color rgb="FF92D050"/>
      </left>
      <right style="thin">
        <color rgb="FF92D050"/>
      </right>
      <top/>
      <bottom style="hair">
        <color rgb="FF92D050"/>
      </bottom>
      <diagonal/>
    </border>
    <border>
      <left style="thin">
        <color rgb="FF92D050"/>
      </left>
      <right style="thin">
        <color rgb="FF92D050"/>
      </right>
      <top style="hair">
        <color rgb="FF92D050"/>
      </top>
      <bottom style="hair">
        <color rgb="FF92D050"/>
      </bottom>
      <diagonal/>
    </border>
    <border>
      <left/>
      <right style="thin">
        <color rgb="FF92D050"/>
      </right>
      <top/>
      <bottom style="hair">
        <color rgb="FF92D050"/>
      </bottom>
      <diagonal/>
    </border>
    <border>
      <left/>
      <right style="thin">
        <color rgb="FF92D050"/>
      </right>
      <top/>
      <bottom/>
      <diagonal/>
    </border>
    <border>
      <left/>
      <right/>
      <top style="hair">
        <color rgb="FF92D050"/>
      </top>
      <bottom/>
      <diagonal/>
    </border>
    <border>
      <left/>
      <right style="thin">
        <color rgb="FF92D050"/>
      </right>
      <top style="hair">
        <color rgb="FF92D050"/>
      </top>
      <bottom style="hair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rgb="FF92D050"/>
      </left>
      <right/>
      <top/>
      <bottom/>
      <diagonal/>
    </border>
    <border>
      <left style="thin">
        <color rgb="FF92D050"/>
      </left>
      <right/>
      <top style="hair">
        <color rgb="FF92D050"/>
      </top>
      <bottom style="hair">
        <color rgb="FF92D050"/>
      </bottom>
      <diagonal/>
    </border>
    <border>
      <left style="thin">
        <color rgb="FF92D050"/>
      </left>
      <right style="thin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hair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hair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hair">
        <color rgb="FF92D050"/>
      </top>
      <bottom style="hair">
        <color rgb="FF92D050"/>
      </bottom>
      <diagonal/>
    </border>
    <border>
      <left style="thin">
        <color rgb="FF92D050"/>
      </left>
      <right style="medium">
        <color rgb="FF92D050"/>
      </right>
      <top style="hair">
        <color rgb="FF92D050"/>
      </top>
      <bottom style="hair">
        <color rgb="FF92D050"/>
      </bottom>
      <diagonal/>
    </border>
    <border>
      <left style="medium">
        <color rgb="FF92D050"/>
      </left>
      <right style="thin">
        <color rgb="FF92D050"/>
      </right>
      <top style="hair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hair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hair">
        <color rgb="FF92D050"/>
      </top>
      <bottom/>
      <diagonal/>
    </border>
    <border>
      <left style="thin">
        <color rgb="FF92D050"/>
      </left>
      <right style="thin">
        <color rgb="FF92D050"/>
      </right>
      <top style="hair">
        <color rgb="FF92D050"/>
      </top>
      <bottom/>
      <diagonal/>
    </border>
    <border>
      <left style="thin">
        <color rgb="FF92D050"/>
      </left>
      <right style="medium">
        <color rgb="FF92D050"/>
      </right>
      <top style="hair">
        <color rgb="FF92D050"/>
      </top>
      <bottom/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hair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hair">
        <color rgb="FF92D050"/>
      </bottom>
      <diagonal/>
    </border>
    <border>
      <left style="medium">
        <color rgb="FF92D050"/>
      </left>
      <right style="thin">
        <color rgb="FF92D050"/>
      </right>
      <top/>
      <bottom style="hair">
        <color rgb="FF92D050"/>
      </bottom>
      <diagonal/>
    </border>
    <border>
      <left style="thin">
        <color rgb="FF92D050"/>
      </left>
      <right style="medium">
        <color rgb="FF92D050"/>
      </right>
      <top/>
      <bottom style="hair">
        <color rgb="FF92D050"/>
      </bottom>
      <diagonal/>
    </border>
    <border>
      <left style="medium">
        <color rgb="FF92D050"/>
      </left>
      <right/>
      <top style="hair">
        <color rgb="FF92D050"/>
      </top>
      <bottom style="hair">
        <color rgb="FF92D050"/>
      </bottom>
      <diagonal/>
    </border>
    <border>
      <left style="medium">
        <color rgb="FF92D050"/>
      </left>
      <right/>
      <top style="hair">
        <color rgb="FF92D050"/>
      </top>
      <bottom style="medium">
        <color rgb="FF92D050"/>
      </bottom>
      <diagonal/>
    </border>
    <border>
      <left/>
      <right/>
      <top style="hair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/>
      <bottom style="hair">
        <color rgb="FF92D050"/>
      </bottom>
      <diagonal/>
    </border>
    <border>
      <left style="medium">
        <color rgb="FF92D050"/>
      </left>
      <right/>
      <top style="thin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medium">
        <color rgb="FF92D050"/>
      </bottom>
      <diagonal/>
    </border>
    <border>
      <left/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9" xfId="0" applyBorder="1"/>
    <xf numFmtId="0" fontId="0" fillId="0" borderId="0" xfId="0" applyFont="1"/>
    <xf numFmtId="17" fontId="1" fillId="2" borderId="0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0" fillId="0" borderId="0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2" borderId="4" xfId="0" applyFont="1" applyFill="1" applyBorder="1"/>
    <xf numFmtId="43" fontId="1" fillId="0" borderId="5" xfId="0" applyNumberFormat="1" applyFont="1" applyFill="1" applyBorder="1"/>
    <xf numFmtId="43" fontId="1" fillId="0" borderId="6" xfId="0" applyNumberFormat="1" applyFont="1" applyBorder="1"/>
    <xf numFmtId="43" fontId="1" fillId="3" borderId="6" xfId="0" applyNumberFormat="1" applyFont="1" applyFill="1" applyBorder="1"/>
    <xf numFmtId="43" fontId="0" fillId="0" borderId="6" xfId="0" applyNumberFormat="1" applyBorder="1"/>
    <xf numFmtId="43" fontId="0" fillId="0" borderId="5" xfId="0" applyNumberFormat="1" applyFont="1" applyBorder="1"/>
    <xf numFmtId="43" fontId="1" fillId="3" borderId="5" xfId="0" applyNumberFormat="1" applyFont="1" applyFill="1" applyBorder="1"/>
    <xf numFmtId="0" fontId="1" fillId="0" borderId="3" xfId="0" applyFont="1" applyFill="1" applyBorder="1"/>
    <xf numFmtId="43" fontId="1" fillId="2" borderId="6" xfId="0" applyNumberFormat="1" applyFont="1" applyFill="1" applyBorder="1"/>
    <xf numFmtId="43" fontId="1" fillId="0" borderId="5" xfId="0" applyNumberFormat="1" applyFont="1" applyBorder="1"/>
    <xf numFmtId="0" fontId="2" fillId="4" borderId="1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7" fontId="2" fillId="4" borderId="0" xfId="0" applyNumberFormat="1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right" vertical="center"/>
    </xf>
    <xf numFmtId="43" fontId="3" fillId="3" borderId="6" xfId="0" applyNumberFormat="1" applyFont="1" applyFill="1" applyBorder="1" applyAlignment="1">
      <alignment horizontal="right" vertical="center"/>
    </xf>
    <xf numFmtId="10" fontId="0" fillId="0" borderId="0" xfId="0" applyNumberFormat="1"/>
    <xf numFmtId="10" fontId="1" fillId="2" borderId="13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43" fontId="1" fillId="3" borderId="14" xfId="0" applyNumberFormat="1" applyFont="1" applyFill="1" applyBorder="1"/>
    <xf numFmtId="10" fontId="1" fillId="2" borderId="0" xfId="0" applyNumberFormat="1" applyFont="1" applyFill="1" applyAlignment="1">
      <alignment horizontal="center"/>
    </xf>
    <xf numFmtId="4" fontId="0" fillId="0" borderId="0" xfId="0" applyNumberFormat="1"/>
    <xf numFmtId="10" fontId="1" fillId="2" borderId="0" xfId="0" applyNumberFormat="1" applyFont="1" applyFill="1" applyBorder="1" applyAlignment="1">
      <alignment horizontal="center"/>
    </xf>
    <xf numFmtId="10" fontId="3" fillId="3" borderId="6" xfId="0" applyNumberFormat="1" applyFont="1" applyFill="1" applyBorder="1" applyAlignment="1">
      <alignment horizontal="right" vertical="center"/>
    </xf>
    <xf numFmtId="43" fontId="0" fillId="0" borderId="0" xfId="0" applyNumberFormat="1"/>
    <xf numFmtId="4" fontId="6" fillId="0" borderId="6" xfId="0" applyNumberFormat="1" applyFont="1" applyBorder="1"/>
    <xf numFmtId="43" fontId="1" fillId="2" borderId="0" xfId="0" applyNumberFormat="1" applyFont="1" applyFill="1" applyBorder="1" applyAlignment="1">
      <alignment horizontal="center"/>
    </xf>
    <xf numFmtId="8" fontId="6" fillId="0" borderId="0" xfId="0" applyNumberFormat="1" applyFont="1"/>
    <xf numFmtId="43" fontId="1" fillId="3" borderId="3" xfId="1" applyFont="1" applyFill="1" applyBorder="1"/>
    <xf numFmtId="43" fontId="3" fillId="0" borderId="7" xfId="0" applyNumberFormat="1" applyFont="1" applyFill="1" applyBorder="1"/>
    <xf numFmtId="43" fontId="3" fillId="0" borderId="10" xfId="1" applyFont="1" applyFill="1" applyBorder="1"/>
    <xf numFmtId="43" fontId="1" fillId="0" borderId="0" xfId="0" applyNumberFormat="1" applyFont="1" applyBorder="1"/>
    <xf numFmtId="43" fontId="1" fillId="0" borderId="3" xfId="1" applyFont="1" applyFill="1" applyBorder="1"/>
    <xf numFmtId="4" fontId="1" fillId="0" borderId="0" xfId="0" applyNumberFormat="1" applyFont="1"/>
    <xf numFmtId="0" fontId="1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4" borderId="13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3" fontId="0" fillId="0" borderId="17" xfId="0" applyNumberFormat="1" applyBorder="1" applyAlignment="1">
      <alignment horizontal="center" vertical="center"/>
    </xf>
    <xf numFmtId="43" fontId="1" fillId="3" borderId="17" xfId="0" applyNumberFormat="1" applyFont="1" applyFill="1" applyBorder="1" applyAlignment="1">
      <alignment horizontal="center" vertical="center"/>
    </xf>
    <xf numFmtId="43" fontId="0" fillId="0" borderId="6" xfId="0" applyNumberFormat="1" applyBorder="1" applyAlignment="1">
      <alignment horizontal="center" vertical="center"/>
    </xf>
    <xf numFmtId="43" fontId="1" fillId="3" borderId="6" xfId="0" applyNumberFormat="1" applyFont="1" applyFill="1" applyBorder="1" applyAlignment="1">
      <alignment horizontal="center" vertical="center"/>
    </xf>
    <xf numFmtId="43" fontId="0" fillId="0" borderId="6" xfId="0" applyNumberFormat="1" applyBorder="1" applyAlignment="1">
      <alignment vertical="center"/>
    </xf>
    <xf numFmtId="43" fontId="0" fillId="0" borderId="15" xfId="0" applyNumberFormat="1" applyBorder="1" applyAlignment="1">
      <alignment horizontal="center" vertical="center"/>
    </xf>
    <xf numFmtId="43" fontId="1" fillId="3" borderId="15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/>
    <xf numFmtId="43" fontId="0" fillId="0" borderId="6" xfId="0" applyNumberFormat="1" applyFont="1" applyBorder="1"/>
    <xf numFmtId="43" fontId="0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2" fillId="0" borderId="0" xfId="0" applyFont="1"/>
    <xf numFmtId="43" fontId="1" fillId="3" borderId="5" xfId="0" applyNumberFormat="1" applyFont="1" applyFill="1" applyBorder="1" applyAlignment="1">
      <alignment vertical="center"/>
    </xf>
    <xf numFmtId="10" fontId="1" fillId="3" borderId="6" xfId="0" applyNumberFormat="1" applyFont="1" applyFill="1" applyBorder="1" applyAlignment="1">
      <alignment vertical="center"/>
    </xf>
    <xf numFmtId="43" fontId="1" fillId="3" borderId="6" xfId="0" applyNumberFormat="1" applyFont="1" applyFill="1" applyBorder="1" applyAlignment="1">
      <alignment vertical="center"/>
    </xf>
    <xf numFmtId="0" fontId="2" fillId="4" borderId="0" xfId="0" applyFont="1" applyFill="1" applyAlignment="1">
      <alignment horizontal="center"/>
    </xf>
    <xf numFmtId="10" fontId="3" fillId="3" borderId="5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horizontal="center"/>
    </xf>
    <xf numFmtId="43" fontId="2" fillId="3" borderId="6" xfId="0" applyNumberFormat="1" applyFont="1" applyFill="1" applyBorder="1"/>
    <xf numFmtId="43" fontId="4" fillId="0" borderId="6" xfId="0" applyNumberFormat="1" applyFont="1" applyFill="1" applyBorder="1"/>
    <xf numFmtId="43" fontId="4" fillId="0" borderId="0" xfId="0" applyNumberFormat="1" applyFont="1" applyFill="1" applyBorder="1"/>
    <xf numFmtId="43" fontId="5" fillId="0" borderId="15" xfId="1" applyFont="1" applyBorder="1"/>
    <xf numFmtId="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43" fontId="4" fillId="0" borderId="15" xfId="0" applyNumberFormat="1" applyFont="1" applyFill="1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43" fontId="1" fillId="0" borderId="6" xfId="0" applyNumberFormat="1" applyFont="1" applyFill="1" applyBorder="1"/>
    <xf numFmtId="43" fontId="0" fillId="0" borderId="6" xfId="0" applyNumberFormat="1" applyFont="1" applyFill="1" applyBorder="1"/>
    <xf numFmtId="0" fontId="1" fillId="0" borderId="6" xfId="0" applyFont="1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43" fontId="4" fillId="0" borderId="6" xfId="0" applyNumberFormat="1" applyFont="1" applyBorder="1" applyAlignment="1">
      <alignment horizontal="right" vertical="center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22" xfId="0" applyFont="1" applyBorder="1"/>
    <xf numFmtId="43" fontId="3" fillId="3" borderId="22" xfId="0" applyNumberFormat="1" applyFont="1" applyFill="1" applyBorder="1" applyAlignment="1">
      <alignment horizontal="right" vertical="center"/>
    </xf>
    <xf numFmtId="10" fontId="1" fillId="3" borderId="22" xfId="0" applyNumberFormat="1" applyFont="1" applyFill="1" applyBorder="1" applyAlignment="1">
      <alignment vertical="center"/>
    </xf>
    <xf numFmtId="10" fontId="3" fillId="3" borderId="22" xfId="0" applyNumberFormat="1" applyFont="1" applyFill="1" applyBorder="1" applyAlignment="1">
      <alignment horizontal="right" vertical="center"/>
    </xf>
    <xf numFmtId="43" fontId="1" fillId="3" borderId="22" xfId="0" applyNumberFormat="1" applyFont="1" applyFill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43" fontId="2" fillId="3" borderId="24" xfId="0" applyNumberFormat="1" applyFont="1" applyFill="1" applyBorder="1"/>
    <xf numFmtId="43" fontId="2" fillId="3" borderId="26" xfId="0" applyNumberFormat="1" applyFont="1" applyFill="1" applyBorder="1"/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43" fontId="0" fillId="0" borderId="5" xfId="0" applyNumberFormat="1" applyBorder="1" applyAlignment="1">
      <alignment horizontal="center" vertical="center"/>
    </xf>
    <xf numFmtId="43" fontId="0" fillId="0" borderId="5" xfId="0" applyNumberFormat="1" applyBorder="1" applyAlignment="1">
      <alignment vertical="center"/>
    </xf>
    <xf numFmtId="43" fontId="0" fillId="0" borderId="22" xfId="0" applyNumberFormat="1" applyBorder="1"/>
    <xf numFmtId="0" fontId="1" fillId="0" borderId="28" xfId="0" applyFont="1" applyBorder="1"/>
    <xf numFmtId="43" fontId="0" fillId="0" borderId="28" xfId="0" applyNumberFormat="1" applyBorder="1"/>
    <xf numFmtId="43" fontId="3" fillId="3" borderId="28" xfId="0" applyNumberFormat="1" applyFont="1" applyFill="1" applyBorder="1" applyAlignment="1">
      <alignment horizontal="right" vertical="center"/>
    </xf>
    <xf numFmtId="10" fontId="1" fillId="3" borderId="28" xfId="0" applyNumberFormat="1" applyFont="1" applyFill="1" applyBorder="1" applyAlignment="1">
      <alignment vertical="center"/>
    </xf>
    <xf numFmtId="10" fontId="3" fillId="3" borderId="28" xfId="0" applyNumberFormat="1" applyFont="1" applyFill="1" applyBorder="1" applyAlignment="1">
      <alignment horizontal="right" vertical="center"/>
    </xf>
    <xf numFmtId="43" fontId="1" fillId="3" borderId="28" xfId="0" applyNumberFormat="1" applyFont="1" applyFill="1" applyBorder="1" applyAlignment="1">
      <alignment vertical="center"/>
    </xf>
    <xf numFmtId="43" fontId="2" fillId="3" borderId="29" xfId="0" applyNumberFormat="1" applyFont="1" applyFill="1" applyBorder="1"/>
    <xf numFmtId="43" fontId="0" fillId="0" borderId="0" xfId="0" applyNumberFormat="1" applyAlignment="1">
      <alignment vertical="center"/>
    </xf>
    <xf numFmtId="43" fontId="1" fillId="3" borderId="31" xfId="0" applyNumberFormat="1" applyFont="1" applyFill="1" applyBorder="1"/>
    <xf numFmtId="43" fontId="1" fillId="3" borderId="32" xfId="0" applyNumberFormat="1" applyFont="1" applyFill="1" applyBorder="1"/>
    <xf numFmtId="0" fontId="1" fillId="0" borderId="3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43" fontId="1" fillId="0" borderId="3" xfId="0" applyNumberFormat="1" applyFont="1" applyFill="1" applyBorder="1"/>
    <xf numFmtId="0" fontId="1" fillId="0" borderId="35" xfId="0" applyFont="1" applyFill="1" applyBorder="1"/>
    <xf numFmtId="10" fontId="1" fillId="3" borderId="36" xfId="0" applyNumberFormat="1" applyFont="1" applyFill="1" applyBorder="1"/>
    <xf numFmtId="0" fontId="1" fillId="0" borderId="23" xfId="0" applyFont="1" applyFill="1" applyBorder="1"/>
    <xf numFmtId="0" fontId="1" fillId="3" borderId="37" xfId="0" applyFont="1" applyFill="1" applyBorder="1"/>
    <xf numFmtId="0" fontId="1" fillId="0" borderId="37" xfId="0" applyFont="1" applyFill="1" applyBorder="1"/>
    <xf numFmtId="0" fontId="1" fillId="3" borderId="38" xfId="0" applyFont="1" applyFill="1" applyBorder="1"/>
    <xf numFmtId="43" fontId="1" fillId="3" borderId="39" xfId="0" applyNumberFormat="1" applyFont="1" applyFill="1" applyBorder="1"/>
    <xf numFmtId="10" fontId="1" fillId="3" borderId="40" xfId="0" applyNumberFormat="1" applyFont="1" applyFill="1" applyBorder="1"/>
    <xf numFmtId="0" fontId="1" fillId="0" borderId="41" xfId="0" applyFont="1" applyFill="1" applyBorder="1"/>
    <xf numFmtId="0" fontId="0" fillId="0" borderId="37" xfId="0" applyFill="1" applyBorder="1"/>
    <xf numFmtId="0" fontId="0" fillId="0" borderId="37" xfId="0" applyFont="1" applyFill="1" applyBorder="1"/>
    <xf numFmtId="43" fontId="1" fillId="3" borderId="22" xfId="0" applyNumberFormat="1" applyFont="1" applyFill="1" applyBorder="1"/>
    <xf numFmtId="10" fontId="1" fillId="3" borderId="26" xfId="0" applyNumberFormat="1" applyFont="1" applyFill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43" fontId="0" fillId="0" borderId="17" xfId="0" applyNumberFormat="1" applyBorder="1"/>
    <xf numFmtId="43" fontId="1" fillId="3" borderId="17" xfId="0" applyNumberFormat="1" applyFont="1" applyFill="1" applyBorder="1"/>
    <xf numFmtId="43" fontId="1" fillId="3" borderId="34" xfId="0" applyNumberFormat="1" applyFont="1" applyFill="1" applyBorder="1"/>
    <xf numFmtId="43" fontId="1" fillId="3" borderId="28" xfId="0" applyNumberFormat="1" applyFont="1" applyFill="1" applyBorder="1"/>
    <xf numFmtId="43" fontId="1" fillId="3" borderId="29" xfId="0" applyNumberFormat="1" applyFont="1" applyFill="1" applyBorder="1"/>
    <xf numFmtId="0" fontId="3" fillId="0" borderId="5" xfId="0" applyFont="1" applyBorder="1" applyAlignment="1">
      <alignment horizontal="left" vertical="center" wrapText="1"/>
    </xf>
    <xf numFmtId="43" fontId="4" fillId="0" borderId="5" xfId="0" applyNumberFormat="1" applyFont="1" applyBorder="1" applyAlignment="1">
      <alignment horizontal="right" vertical="center"/>
    </xf>
    <xf numFmtId="43" fontId="4" fillId="0" borderId="5" xfId="0" applyNumberFormat="1" applyFont="1" applyFill="1" applyBorder="1" applyAlignment="1">
      <alignment horizontal="right" vertical="center"/>
    </xf>
    <xf numFmtId="43" fontId="3" fillId="3" borderId="5" xfId="0" applyNumberFormat="1" applyFont="1" applyFill="1" applyBorder="1" applyAlignment="1">
      <alignment horizontal="right" vertical="center"/>
    </xf>
    <xf numFmtId="10" fontId="1" fillId="3" borderId="5" xfId="0" applyNumberFormat="1" applyFont="1" applyFill="1" applyBorder="1" applyAlignment="1">
      <alignment vertical="center"/>
    </xf>
    <xf numFmtId="43" fontId="2" fillId="3" borderId="5" xfId="0" applyNumberFormat="1" applyFont="1" applyFill="1" applyBorder="1"/>
    <xf numFmtId="43" fontId="3" fillId="3" borderId="16" xfId="0" applyNumberFormat="1" applyFont="1" applyFill="1" applyBorder="1" applyAlignment="1">
      <alignment horizontal="right" vertical="center"/>
    </xf>
    <xf numFmtId="10" fontId="3" fillId="3" borderId="16" xfId="0" applyNumberFormat="1" applyFont="1" applyFill="1" applyBorder="1" applyAlignment="1">
      <alignment horizontal="right" vertical="center"/>
    </xf>
    <xf numFmtId="43" fontId="1" fillId="3" borderId="16" xfId="0" applyNumberFormat="1" applyFont="1" applyFill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43" fontId="1" fillId="3" borderId="34" xfId="0" applyNumberFormat="1" applyFont="1" applyFill="1" applyBorder="1" applyAlignment="1">
      <alignment horizontal="center" vertical="center"/>
    </xf>
    <xf numFmtId="43" fontId="1" fillId="3" borderId="24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3" fontId="1" fillId="3" borderId="46" xfId="0" applyNumberFormat="1" applyFont="1" applyFill="1" applyBorder="1" applyAlignment="1">
      <alignment horizontal="center" vertical="center"/>
    </xf>
    <xf numFmtId="43" fontId="1" fillId="3" borderId="22" xfId="0" applyNumberFormat="1" applyFont="1" applyFill="1" applyBorder="1" applyAlignment="1">
      <alignment horizontal="center" vertical="center"/>
    </xf>
    <xf numFmtId="43" fontId="1" fillId="3" borderId="26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23" xfId="0" applyNumberFormat="1" applyFont="1" applyBorder="1"/>
    <xf numFmtId="0" fontId="1" fillId="0" borderId="27" xfId="0" applyNumberFormat="1" applyFont="1" applyBorder="1"/>
    <xf numFmtId="0" fontId="1" fillId="0" borderId="23" xfId="0" applyFont="1" applyBorder="1"/>
    <xf numFmtId="0" fontId="1" fillId="0" borderId="25" xfId="0" applyFont="1" applyBorder="1"/>
    <xf numFmtId="43" fontId="4" fillId="0" borderId="22" xfId="0" applyNumberFormat="1" applyFont="1" applyBorder="1" applyAlignment="1">
      <alignment horizontal="right" vertical="center"/>
    </xf>
    <xf numFmtId="43" fontId="4" fillId="0" borderId="22" xfId="0" applyNumberFormat="1" applyFont="1" applyFill="1" applyBorder="1" applyAlignment="1">
      <alignment horizontal="right" vertical="center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43" fontId="1" fillId="3" borderId="31" xfId="0" applyNumberFormat="1" applyFont="1" applyFill="1" applyBorder="1" applyAlignment="1">
      <alignment vertical="center"/>
    </xf>
    <xf numFmtId="43" fontId="1" fillId="3" borderId="32" xfId="0" applyNumberFormat="1" applyFont="1" applyFill="1" applyBorder="1" applyAlignment="1">
      <alignment vertical="center"/>
    </xf>
    <xf numFmtId="43" fontId="0" fillId="0" borderId="31" xfId="0" applyNumberForma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3" fontId="1" fillId="3" borderId="42" xfId="0" applyNumberFormat="1" applyFont="1" applyFill="1" applyBorder="1" applyAlignment="1">
      <alignment horizontal="center"/>
    </xf>
    <xf numFmtId="43" fontId="1" fillId="3" borderId="43" xfId="0" applyNumberFormat="1" applyFont="1" applyFill="1" applyBorder="1" applyAlignment="1">
      <alignment horizontal="center"/>
    </xf>
    <xf numFmtId="43" fontId="1" fillId="3" borderId="44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28575</xdr:rowOff>
    </xdr:from>
    <xdr:to>
      <xdr:col>11</xdr:col>
      <xdr:colOff>865653</xdr:colOff>
      <xdr:row>4</xdr:row>
      <xdr:rowOff>66575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9E8B56-88DC-4A24-9C44-1C1E45D4B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075" y="28575"/>
          <a:ext cx="8971428" cy="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527050</xdr:colOff>
      <xdr:row>0</xdr:row>
      <xdr:rowOff>28575</xdr:rowOff>
    </xdr:from>
    <xdr:to>
      <xdr:col>14</xdr:col>
      <xdr:colOff>373528</xdr:colOff>
      <xdr:row>4</xdr:row>
      <xdr:rowOff>66575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3C7F25A-DAB9-4FAF-AF7B-0EEBB4C6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0125" y="28575"/>
          <a:ext cx="8971428" cy="8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1889125</xdr:colOff>
      <xdr:row>0</xdr:row>
      <xdr:rowOff>28575</xdr:rowOff>
    </xdr:from>
    <xdr:to>
      <xdr:col>13</xdr:col>
      <xdr:colOff>21103</xdr:colOff>
      <xdr:row>4</xdr:row>
      <xdr:rowOff>66575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116F089-CB7F-455E-B5FE-240A00F35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4450" y="28575"/>
          <a:ext cx="8971428" cy="8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1250950</xdr:colOff>
      <xdr:row>0</xdr:row>
      <xdr:rowOff>28575</xdr:rowOff>
    </xdr:from>
    <xdr:to>
      <xdr:col>14</xdr:col>
      <xdr:colOff>68728</xdr:colOff>
      <xdr:row>4</xdr:row>
      <xdr:rowOff>66575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5C23D2-C9AC-4B4B-8168-FFB0F8E48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3100" y="28575"/>
          <a:ext cx="8971428" cy="8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1002180</xdr:colOff>
      <xdr:row>0</xdr:row>
      <xdr:rowOff>38100</xdr:rowOff>
    </xdr:from>
    <xdr:to>
      <xdr:col>12</xdr:col>
      <xdr:colOff>102035</xdr:colOff>
      <xdr:row>4</xdr:row>
      <xdr:rowOff>76100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0C53C8-488C-4665-8A86-A7E3E0FFD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5130" y="38100"/>
          <a:ext cx="8981513" cy="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2944-47BE-4752-9EC1-C7F2DB48A6A1}">
  <sheetPr>
    <tabColor rgb="FF0070C0"/>
    <pageSetUpPr fitToPage="1"/>
  </sheetPr>
  <dimension ref="A7:T49"/>
  <sheetViews>
    <sheetView showGridLines="0" tabSelected="1" zoomScale="85" zoomScaleNormal="85" workbookViewId="0">
      <selection activeCell="P34" sqref="P34"/>
    </sheetView>
  </sheetViews>
  <sheetFormatPr defaultRowHeight="15" x14ac:dyDescent="0.25"/>
  <cols>
    <col min="1" max="1" width="29" customWidth="1"/>
    <col min="2" max="2" width="16" customWidth="1"/>
    <col min="3" max="3" width="17.42578125" customWidth="1"/>
    <col min="4" max="5" width="13.28515625" bestFit="1" customWidth="1"/>
    <col min="6" max="7" width="14.28515625" bestFit="1" customWidth="1"/>
    <col min="8" max="9" width="13.28515625" bestFit="1" customWidth="1"/>
    <col min="10" max="10" width="14.28515625" bestFit="1" customWidth="1"/>
    <col min="11" max="11" width="13.28515625" bestFit="1" customWidth="1"/>
    <col min="12" max="12" width="14.28515625" bestFit="1" customWidth="1"/>
    <col min="13" max="14" width="13.28515625" bestFit="1" customWidth="1"/>
    <col min="15" max="15" width="14.28515625" style="1" bestFit="1" customWidth="1"/>
    <col min="16" max="16" width="8.140625" style="26" bestFit="1" customWidth="1"/>
    <col min="17" max="17" width="12.140625" bestFit="1" customWidth="1"/>
    <col min="18" max="18" width="8" bestFit="1" customWidth="1"/>
    <col min="19" max="19" width="16.28515625" customWidth="1"/>
    <col min="20" max="20" width="14.7109375" customWidth="1"/>
  </cols>
  <sheetData>
    <row r="7" spans="1:17" x14ac:dyDescent="0.25">
      <c r="A7" s="181" t="s">
        <v>0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</row>
    <row r="10" spans="1:17" x14ac:dyDescent="0.25">
      <c r="A10" s="1" t="s">
        <v>1</v>
      </c>
      <c r="B10" s="1"/>
    </row>
    <row r="11" spans="1:17" ht="15" customHeight="1" x14ac:dyDescent="0.25"/>
    <row r="12" spans="1:17" s="2" customFormat="1" x14ac:dyDescent="0.25">
      <c r="A12" s="179" t="s">
        <v>2</v>
      </c>
      <c r="B12" s="182" t="s">
        <v>3</v>
      </c>
      <c r="C12" s="178" t="s">
        <v>4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89"/>
    </row>
    <row r="13" spans="1:17" s="2" customFormat="1" x14ac:dyDescent="0.25">
      <c r="A13" s="180"/>
      <c r="B13" s="182"/>
      <c r="C13" s="5">
        <v>44197</v>
      </c>
      <c r="D13" s="5">
        <v>44228</v>
      </c>
      <c r="E13" s="5">
        <v>44256</v>
      </c>
      <c r="F13" s="5">
        <v>44287</v>
      </c>
      <c r="G13" s="5">
        <v>44317</v>
      </c>
      <c r="H13" s="5">
        <v>44348</v>
      </c>
      <c r="I13" s="5">
        <v>44378</v>
      </c>
      <c r="J13" s="5">
        <v>44409</v>
      </c>
      <c r="K13" s="5">
        <v>44440</v>
      </c>
      <c r="L13" s="5">
        <v>44470</v>
      </c>
      <c r="M13" s="5">
        <v>44501</v>
      </c>
      <c r="N13" s="5">
        <v>44531</v>
      </c>
      <c r="O13" s="6" t="s">
        <v>5</v>
      </c>
      <c r="P13" s="27" t="s">
        <v>6</v>
      </c>
      <c r="Q13" s="83"/>
    </row>
    <row r="14" spans="1:17" s="1" customFormat="1" x14ac:dyDescent="0.25">
      <c r="A14" s="134" t="s">
        <v>7</v>
      </c>
      <c r="B14" s="11"/>
      <c r="C14" s="68">
        <f>SUM(C15:C16)</f>
        <v>7360860.3700000001</v>
      </c>
      <c r="D14" s="12">
        <f t="shared" ref="D14:N14" si="0">SUM(D15:D16)</f>
        <v>4688000.84</v>
      </c>
      <c r="E14" s="12">
        <f t="shared" si="0"/>
        <v>3149641.71</v>
      </c>
      <c r="F14" s="12">
        <f t="shared" si="0"/>
        <v>4463967.8099999996</v>
      </c>
      <c r="G14" s="12">
        <f>SUM(G15:G16)</f>
        <v>4278776.8</v>
      </c>
      <c r="H14" s="12">
        <f t="shared" si="0"/>
        <v>4314726.3499999996</v>
      </c>
      <c r="I14" s="12">
        <f t="shared" si="0"/>
        <v>4255443.87</v>
      </c>
      <c r="J14" s="12">
        <f t="shared" si="0"/>
        <v>5366006.0999999996</v>
      </c>
      <c r="K14" s="12">
        <f t="shared" si="0"/>
        <v>3856656.8200000003</v>
      </c>
      <c r="L14" s="12">
        <f t="shared" si="0"/>
        <v>4695505.68</v>
      </c>
      <c r="M14" s="12">
        <f t="shared" si="0"/>
        <v>4326670.24</v>
      </c>
      <c r="N14" s="12">
        <f t="shared" si="0"/>
        <v>0</v>
      </c>
      <c r="O14" s="29">
        <f>SUM(C14:N14)</f>
        <v>50756256.590000004</v>
      </c>
      <c r="P14" s="127">
        <f t="shared" ref="P14:P22" si="1">O14/$O$24</f>
        <v>0.66807004624900279</v>
      </c>
      <c r="Q14" s="84"/>
    </row>
    <row r="15" spans="1:17" x14ac:dyDescent="0.25">
      <c r="A15" s="135" t="s">
        <v>8</v>
      </c>
      <c r="B15" s="91">
        <f>B28+B29</f>
        <v>3883432.1799999997</v>
      </c>
      <c r="C15" s="35">
        <v>7360860.3700000001</v>
      </c>
      <c r="D15" s="14">
        <v>3823428.07</v>
      </c>
      <c r="E15" s="14">
        <v>3094807.23</v>
      </c>
      <c r="F15" s="14">
        <f>3533588.35+358479.63</f>
        <v>3892067.98</v>
      </c>
      <c r="G15" s="14">
        <v>3786319.86</v>
      </c>
      <c r="H15" s="14">
        <v>4026472.48</v>
      </c>
      <c r="I15" s="14">
        <v>3778203.6</v>
      </c>
      <c r="J15" s="14">
        <v>4833963.8</v>
      </c>
      <c r="K15" s="14">
        <v>3371494.95</v>
      </c>
      <c r="L15" s="14">
        <v>4323321.05</v>
      </c>
      <c r="M15" s="14">
        <v>4119889.4</v>
      </c>
      <c r="N15" s="14"/>
      <c r="O15" s="29">
        <f>SUM(C15:N15)</f>
        <v>46410828.789999999</v>
      </c>
      <c r="P15" s="127">
        <f t="shared" si="1"/>
        <v>0.61087413886032305</v>
      </c>
      <c r="Q15" s="34"/>
    </row>
    <row r="16" spans="1:17" s="4" customFormat="1" x14ac:dyDescent="0.25">
      <c r="A16" s="136" t="s">
        <v>9</v>
      </c>
      <c r="B16" s="11">
        <f>B30</f>
        <v>596461.49</v>
      </c>
      <c r="C16" s="15"/>
      <c r="D16" s="15">
        <f>136144.04+7757.5+70081.8+106819.66+333057.68+9029.56+201682.53</f>
        <v>864572.77</v>
      </c>
      <c r="E16" s="15">
        <f>10073.59+2743.51+8880.56+33136.82</f>
        <v>54834.479999999996</v>
      </c>
      <c r="F16" s="15">
        <f>236188.59+2883.05+332828.19</f>
        <v>571899.82999999996</v>
      </c>
      <c r="G16" s="15">
        <f>SUM(112683.05+304803.61+44905.05+30065.23)</f>
        <v>492456.93999999994</v>
      </c>
      <c r="H16" s="15">
        <f>64930.93+75446.92+46761.19+101114.83</f>
        <v>288253.87</v>
      </c>
      <c r="I16" s="15">
        <f>110302.28+9003.11+40656.38+317278.5</f>
        <v>477240.27</v>
      </c>
      <c r="J16" s="15">
        <f>222236.42+46874.66+242712.6+20218.62</f>
        <v>532042.30000000005</v>
      </c>
      <c r="K16" s="15">
        <f>5787.16+55079.09+302038.23+122257.39</f>
        <v>485161.87</v>
      </c>
      <c r="L16" s="15">
        <f>185698.18+66773.47+21147.15+98565.83</f>
        <v>372184.63</v>
      </c>
      <c r="M16" s="15">
        <f>2396.7+1433.82+1198.35+1771.31+52784.14+118219.65+28976.87</f>
        <v>206780.84</v>
      </c>
      <c r="N16" s="15"/>
      <c r="O16" s="29">
        <f t="shared" ref="O16:O19" si="2">SUM(C16:N16)</f>
        <v>4345427.8</v>
      </c>
      <c r="P16" s="127">
        <f t="shared" si="1"/>
        <v>5.7195907388679662E-2</v>
      </c>
    </row>
    <row r="17" spans="1:20" s="1" customFormat="1" x14ac:dyDescent="0.25">
      <c r="A17" s="130" t="s">
        <v>187</v>
      </c>
      <c r="B17" s="11"/>
      <c r="C17" s="11"/>
      <c r="D17" s="11"/>
      <c r="E17" s="11">
        <v>1000000</v>
      </c>
      <c r="F17" s="11">
        <v>0</v>
      </c>
      <c r="G17" s="11">
        <v>4834218.84</v>
      </c>
      <c r="H17" s="11">
        <v>1750265.65</v>
      </c>
      <c r="I17" s="11">
        <v>1750266</v>
      </c>
      <c r="J17" s="11">
        <v>0</v>
      </c>
      <c r="K17" s="11">
        <v>2333687.19</v>
      </c>
      <c r="L17" s="11">
        <v>1500000</v>
      </c>
      <c r="M17" s="11">
        <f>375000-0.01</f>
        <v>374999.99</v>
      </c>
      <c r="N17" s="11">
        <f>618658+59425.7+686066.96-2.77-159.9-27.48-0.47-9.41-22.83-4.2</f>
        <v>1363923.6</v>
      </c>
      <c r="O17" s="29">
        <f t="shared" si="2"/>
        <v>14907361.27</v>
      </c>
      <c r="P17" s="127">
        <f t="shared" si="1"/>
        <v>0.19621544617736142</v>
      </c>
      <c r="S17" s="8"/>
      <c r="T17" s="8"/>
    </row>
    <row r="18" spans="1:20" s="1" customFormat="1" x14ac:dyDescent="0.25">
      <c r="A18" s="130" t="s">
        <v>10</v>
      </c>
      <c r="B18" s="11"/>
      <c r="C18" s="11"/>
      <c r="D18" s="11">
        <v>4541.6000000000004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f>-2293.92</f>
        <v>-2293.92</v>
      </c>
      <c r="O18" s="29">
        <f t="shared" si="2"/>
        <v>2247.6800000000003</v>
      </c>
      <c r="P18" s="127">
        <f t="shared" si="1"/>
        <v>2.9584681425241385E-5</v>
      </c>
      <c r="S18" s="8"/>
      <c r="T18" s="8"/>
    </row>
    <row r="19" spans="1:20" s="1" customFormat="1" x14ac:dyDescent="0.25">
      <c r="A19" s="130" t="s">
        <v>156</v>
      </c>
      <c r="B19" s="70"/>
      <c r="C19" s="11">
        <v>0</v>
      </c>
      <c r="D19" s="11">
        <v>0</v>
      </c>
      <c r="E19" s="11">
        <v>0</v>
      </c>
      <c r="F19" s="11">
        <v>0</v>
      </c>
      <c r="G19" s="11">
        <v>35000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-1443.68</v>
      </c>
      <c r="O19" s="29">
        <f t="shared" si="2"/>
        <v>33556.32</v>
      </c>
      <c r="P19" s="127">
        <f t="shared" si="1"/>
        <v>4.4167899211785297E-4</v>
      </c>
      <c r="S19" s="8"/>
      <c r="T19" s="8"/>
    </row>
    <row r="20" spans="1:20" s="1" customFormat="1" x14ac:dyDescent="0.25">
      <c r="A20" s="129" t="s">
        <v>157</v>
      </c>
      <c r="B20" s="16"/>
      <c r="C20" s="16">
        <f>SUM(C14,C17,C18,C19)</f>
        <v>7360860.3700000001</v>
      </c>
      <c r="D20" s="16">
        <f t="shared" ref="D20:O20" si="3">SUM(D14,D17,D18,D19)</f>
        <v>4692542.4399999995</v>
      </c>
      <c r="E20" s="16">
        <f t="shared" si="3"/>
        <v>4149641.71</v>
      </c>
      <c r="F20" s="16">
        <f>SUM(F14,F17,F18,F19)</f>
        <v>4463967.8099999996</v>
      </c>
      <c r="G20" s="16">
        <f>SUM(G14,G17,G18,G19)</f>
        <v>9147995.6400000006</v>
      </c>
      <c r="H20" s="16">
        <f>SUM(H14,H17,H18,H19)</f>
        <v>6064992</v>
      </c>
      <c r="I20" s="16">
        <f t="shared" si="3"/>
        <v>6005709.8700000001</v>
      </c>
      <c r="J20" s="16">
        <f>SUM(J14,J17,J18,J19)</f>
        <v>5366006.0999999996</v>
      </c>
      <c r="K20" s="16">
        <f t="shared" si="3"/>
        <v>6190344.0099999998</v>
      </c>
      <c r="L20" s="16">
        <f t="shared" si="3"/>
        <v>6195505.6799999997</v>
      </c>
      <c r="M20" s="16">
        <f t="shared" si="3"/>
        <v>4701670.2300000004</v>
      </c>
      <c r="N20" s="16">
        <f t="shared" si="3"/>
        <v>1360186.0000000002</v>
      </c>
      <c r="O20" s="16">
        <f t="shared" si="3"/>
        <v>65699421.859999999</v>
      </c>
      <c r="P20" s="127">
        <f t="shared" si="1"/>
        <v>0.86475675609990721</v>
      </c>
      <c r="S20" s="8"/>
      <c r="T20" s="8"/>
    </row>
    <row r="21" spans="1:20" s="1" customFormat="1" x14ac:dyDescent="0.25">
      <c r="A21" s="130" t="s">
        <v>158</v>
      </c>
      <c r="B21" s="11"/>
      <c r="C21" s="11">
        <f t="shared" ref="C21:D21" si="4">SUM(C22:C23)</f>
        <v>0</v>
      </c>
      <c r="D21" s="11">
        <f t="shared" si="4"/>
        <v>0</v>
      </c>
      <c r="E21" s="11">
        <f>SUM(E22:E23)</f>
        <v>1591065.5</v>
      </c>
      <c r="F21" s="11">
        <f>SUM(F22:F23)</f>
        <v>100787.2</v>
      </c>
      <c r="G21" s="11">
        <f t="shared" ref="G21:N21" si="5">SUM(G22:G23)</f>
        <v>1632000</v>
      </c>
      <c r="H21" s="11">
        <f t="shared" si="5"/>
        <v>712273.38</v>
      </c>
      <c r="I21" s="11">
        <f t="shared" si="5"/>
        <v>864000</v>
      </c>
      <c r="J21" s="11">
        <f t="shared" si="5"/>
        <v>2303568.81</v>
      </c>
      <c r="K21" s="11">
        <f t="shared" si="5"/>
        <v>864000</v>
      </c>
      <c r="L21" s="11">
        <f t="shared" si="5"/>
        <v>863940</v>
      </c>
      <c r="M21" s="11">
        <f t="shared" si="5"/>
        <v>864000</v>
      </c>
      <c r="N21" s="11">
        <f t="shared" si="5"/>
        <v>479396.64</v>
      </c>
      <c r="O21" s="29">
        <f>SUM(C21:N21)</f>
        <v>10275031.530000001</v>
      </c>
      <c r="P21" s="127">
        <f t="shared" si="1"/>
        <v>0.13524324390009279</v>
      </c>
    </row>
    <row r="22" spans="1:20" s="1" customFormat="1" x14ac:dyDescent="0.25">
      <c r="A22" s="136" t="s">
        <v>11</v>
      </c>
      <c r="B22" s="91"/>
      <c r="C22" s="91"/>
      <c r="D22" s="91">
        <v>0</v>
      </c>
      <c r="E22" s="92">
        <v>768000</v>
      </c>
      <c r="F22" s="92">
        <v>96000</v>
      </c>
      <c r="G22" s="92">
        <f>SUM(768000+864000)</f>
        <v>1632000</v>
      </c>
      <c r="H22" s="92">
        <f>-11.2-11.02-4.4</f>
        <v>-26.619999999999997</v>
      </c>
      <c r="I22" s="92">
        <v>864000</v>
      </c>
      <c r="J22" s="92">
        <f>864000-38-341.5-20.75-0.43</f>
        <v>863599.32</v>
      </c>
      <c r="K22" s="92">
        <v>864000</v>
      </c>
      <c r="L22" s="92">
        <f>864000-60</f>
        <v>863940</v>
      </c>
      <c r="M22" s="92">
        <v>864000</v>
      </c>
      <c r="N22" s="92">
        <f>480000-293.04-90.71-14.96-4.56-22.86-10.49</f>
        <v>479563.38</v>
      </c>
      <c r="O22" s="29">
        <f>SUM(C22:N22)</f>
        <v>7295076.0800000001</v>
      </c>
      <c r="P22" s="127">
        <f t="shared" si="1"/>
        <v>9.6020119322901262E-2</v>
      </c>
    </row>
    <row r="23" spans="1:20" s="1" customFormat="1" x14ac:dyDescent="0.25">
      <c r="A23" s="136" t="s">
        <v>12</v>
      </c>
      <c r="B23" s="91"/>
      <c r="C23" s="91"/>
      <c r="D23" s="91">
        <v>0</v>
      </c>
      <c r="E23" s="92">
        <v>823065.5</v>
      </c>
      <c r="F23" s="92">
        <v>4787.2</v>
      </c>
      <c r="G23" s="92">
        <v>0</v>
      </c>
      <c r="H23" s="92">
        <v>712300</v>
      </c>
      <c r="I23" s="92">
        <v>0</v>
      </c>
      <c r="J23" s="92">
        <f>938549.84+501419.65</f>
        <v>1439969.49</v>
      </c>
      <c r="K23" s="92">
        <v>0</v>
      </c>
      <c r="L23" s="92">
        <v>0</v>
      </c>
      <c r="M23" s="92">
        <v>0</v>
      </c>
      <c r="N23" s="92">
        <f>-14.28-7.2-145.26</f>
        <v>-166.73999999999998</v>
      </c>
      <c r="O23" s="29">
        <f t="shared" ref="O23" si="6">SUM(C23:N23)</f>
        <v>2979955.4499999997</v>
      </c>
      <c r="P23" s="127">
        <f t="shared" ref="P23" si="7">O23/$O$24</f>
        <v>3.9223124577191508E-2</v>
      </c>
    </row>
    <row r="24" spans="1:20" s="1" customFormat="1" ht="15.75" thickBot="1" x14ac:dyDescent="0.3">
      <c r="A24" s="131" t="s">
        <v>159</v>
      </c>
      <c r="B24" s="137"/>
      <c r="C24" s="137">
        <f>SUM(C20+C21)</f>
        <v>7360860.3700000001</v>
      </c>
      <c r="D24" s="137">
        <f t="shared" ref="D24:O24" si="8">SUM(D20+D21)</f>
        <v>4692542.4399999995</v>
      </c>
      <c r="E24" s="137">
        <f>SUM(E20+E21)</f>
        <v>5740707.21</v>
      </c>
      <c r="F24" s="137">
        <f>SUM(F20+F21)</f>
        <v>4564755.01</v>
      </c>
      <c r="G24" s="137">
        <f t="shared" si="8"/>
        <v>10779995.640000001</v>
      </c>
      <c r="H24" s="137">
        <f>SUM(H20+H21)</f>
        <v>6777265.3799999999</v>
      </c>
      <c r="I24" s="137">
        <f t="shared" si="8"/>
        <v>6869709.8700000001</v>
      </c>
      <c r="J24" s="137">
        <f>SUM(J20+J21)</f>
        <v>7669574.9100000001</v>
      </c>
      <c r="K24" s="137">
        <f t="shared" si="8"/>
        <v>7054344.0099999998</v>
      </c>
      <c r="L24" s="137">
        <f t="shared" si="8"/>
        <v>7059445.6799999997</v>
      </c>
      <c r="M24" s="137">
        <f t="shared" si="8"/>
        <v>5565670.2300000004</v>
      </c>
      <c r="N24" s="137">
        <f t="shared" si="8"/>
        <v>1839582.6400000001</v>
      </c>
      <c r="O24" s="137">
        <f t="shared" si="8"/>
        <v>75974453.390000001</v>
      </c>
      <c r="P24" s="138">
        <f>O24/$O$24</f>
        <v>1</v>
      </c>
    </row>
    <row r="25" spans="1:20" s="1" customForma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  <c r="P25" s="28"/>
    </row>
    <row r="26" spans="1:20" s="1" customFormat="1" x14ac:dyDescent="0.25">
      <c r="A26" s="183" t="s">
        <v>13</v>
      </c>
      <c r="B26" s="182" t="s">
        <v>14</v>
      </c>
      <c r="C26" s="182" t="s">
        <v>15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  <c r="P26" s="28"/>
    </row>
    <row r="27" spans="1:20" s="1" customFormat="1" x14ac:dyDescent="0.25">
      <c r="A27" s="184"/>
      <c r="B27" s="182"/>
      <c r="C27" s="18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28"/>
    </row>
    <row r="28" spans="1:20" s="1" customFormat="1" x14ac:dyDescent="0.25">
      <c r="A28" s="71" t="s">
        <v>16</v>
      </c>
      <c r="B28" s="80">
        <v>3220116.09</v>
      </c>
      <c r="C28" s="80">
        <f>B28*12</f>
        <v>38641393.079999998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28"/>
    </row>
    <row r="29" spans="1:20" s="1" customFormat="1" x14ac:dyDescent="0.25">
      <c r="A29" s="71" t="s">
        <v>17</v>
      </c>
      <c r="B29" s="80">
        <v>663316.09</v>
      </c>
      <c r="C29" s="80">
        <f>B29*12</f>
        <v>7959793.0800000001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28"/>
    </row>
    <row r="30" spans="1:20" s="1" customFormat="1" x14ac:dyDescent="0.25">
      <c r="A30" s="86" t="s">
        <v>9</v>
      </c>
      <c r="B30" s="87">
        <v>596461.49</v>
      </c>
      <c r="C30" s="87">
        <f>B30*12</f>
        <v>7157537.8799999999</v>
      </c>
      <c r="D30" s="41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28"/>
    </row>
    <row r="31" spans="1:20" s="1" customFormat="1" x14ac:dyDescent="0.25">
      <c r="A31" s="85"/>
      <c r="B31" s="81"/>
      <c r="C31" s="81"/>
      <c r="D31" s="41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28"/>
    </row>
    <row r="32" spans="1:20" s="1" customFormat="1" x14ac:dyDescent="0.25">
      <c r="A32" s="183" t="s">
        <v>18</v>
      </c>
      <c r="B32" s="183"/>
      <c r="C32" s="41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  <c r="O32" s="28"/>
    </row>
    <row r="33" spans="1:20" s="1" customFormat="1" x14ac:dyDescent="0.25">
      <c r="A33" s="184"/>
      <c r="B33" s="184"/>
      <c r="C33" s="41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28"/>
    </row>
    <row r="34" spans="1:20" s="1" customFormat="1" x14ac:dyDescent="0.25">
      <c r="A34" s="78" t="s">
        <v>19</v>
      </c>
      <c r="B34" s="82">
        <v>9250000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28"/>
    </row>
    <row r="35" spans="1:20" s="1" customForma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  <c r="P35" s="28"/>
    </row>
    <row r="36" spans="1:20" s="1" customFormat="1" x14ac:dyDescent="0.25">
      <c r="A36" s="1" t="s">
        <v>20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  <c r="P36" s="28"/>
    </row>
    <row r="37" spans="1:20" s="1" customFormat="1" ht="9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  <c r="P37" s="28"/>
    </row>
    <row r="38" spans="1:20" s="1" customFormat="1" x14ac:dyDescent="0.25">
      <c r="A38" s="178" t="s">
        <v>2</v>
      </c>
      <c r="B38" s="182" t="s">
        <v>21</v>
      </c>
      <c r="C38" s="178" t="s">
        <v>4</v>
      </c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</row>
    <row r="39" spans="1:20" s="1" customFormat="1" x14ac:dyDescent="0.25">
      <c r="A39" s="178"/>
      <c r="B39" s="182"/>
      <c r="C39" s="5">
        <v>44197</v>
      </c>
      <c r="D39" s="5">
        <v>44228</v>
      </c>
      <c r="E39" s="5">
        <v>44256</v>
      </c>
      <c r="F39" s="5">
        <v>44287</v>
      </c>
      <c r="G39" s="5">
        <v>44317</v>
      </c>
      <c r="H39" s="5">
        <v>44348</v>
      </c>
      <c r="I39" s="5">
        <v>44378</v>
      </c>
      <c r="J39" s="5">
        <v>44409</v>
      </c>
      <c r="K39" s="5">
        <v>44440</v>
      </c>
      <c r="L39" s="5">
        <v>44470</v>
      </c>
      <c r="M39" s="5">
        <v>44501</v>
      </c>
      <c r="N39" s="5">
        <v>44531</v>
      </c>
      <c r="O39" s="6" t="s">
        <v>5</v>
      </c>
      <c r="P39" s="30" t="s">
        <v>6</v>
      </c>
    </row>
    <row r="40" spans="1:20" s="1" customFormat="1" x14ac:dyDescent="0.25">
      <c r="A40" s="126" t="s">
        <v>189</v>
      </c>
      <c r="B40" s="39">
        <f>B42-B41</f>
        <v>2034096</v>
      </c>
      <c r="C40" s="19">
        <v>0</v>
      </c>
      <c r="D40" s="19">
        <v>0</v>
      </c>
      <c r="E40" s="19">
        <v>0</v>
      </c>
      <c r="F40" s="19">
        <v>30942.6</v>
      </c>
      <c r="G40" s="19">
        <v>733283.33</v>
      </c>
      <c r="H40" s="19">
        <v>0</v>
      </c>
      <c r="I40" s="19">
        <v>250000</v>
      </c>
      <c r="J40" s="19">
        <v>0</v>
      </c>
      <c r="K40" s="19">
        <v>0</v>
      </c>
      <c r="L40" s="19">
        <f>1185774.07+14598.32+5060+1815000</f>
        <v>3020432.39</v>
      </c>
      <c r="M40" s="19">
        <v>1418600</v>
      </c>
      <c r="N40" s="19">
        <f>220000-220000</f>
        <v>0</v>
      </c>
      <c r="O40" s="13">
        <f>SUM(C40:N40)</f>
        <v>5453258.3200000003</v>
      </c>
      <c r="P40" s="127">
        <f>IFERROR(O40/B40,0)</f>
        <v>2.6809247547805022</v>
      </c>
    </row>
    <row r="41" spans="1:20" s="1" customFormat="1" x14ac:dyDescent="0.25">
      <c r="A41" s="128" t="s">
        <v>160</v>
      </c>
      <c r="B41" s="40">
        <v>165904</v>
      </c>
      <c r="C41" s="12">
        <v>0</v>
      </c>
      <c r="D41" s="69">
        <f>12935.28+2949.24+1597.82+6467.64</f>
        <v>23949.98</v>
      </c>
      <c r="E41" s="12">
        <v>0</v>
      </c>
      <c r="F41" s="12">
        <f>7236.8+15673.73+1714.16+6467.64+1501.8</f>
        <v>32594.129999999997</v>
      </c>
      <c r="G41" s="12">
        <f>SUM(769.16+6467.64+16721.2+1690.13)</f>
        <v>25648.13</v>
      </c>
      <c r="H41" s="12">
        <f>769.16+665.38+6467.64+1069.93+2320.15</f>
        <v>11292.26</v>
      </c>
      <c r="I41" s="12">
        <f>365.58+7236.8+508.4+1500.72+769.16</f>
        <v>10380.66</v>
      </c>
      <c r="J41" s="12">
        <f>135.4+6467.64+727.84+1172.97</f>
        <v>8503.85</v>
      </c>
      <c r="K41" s="12">
        <f>7236.8+502.9+2800.5+1120.68+257.26</f>
        <v>11918.140000000001</v>
      </c>
      <c r="L41" s="12">
        <f>7236.8+460.36+1054.9+1250+769.16+284.33+7427.6</f>
        <v>18483.150000000001</v>
      </c>
      <c r="M41" s="12">
        <f>379.12+41330.69+48085.62+5601.67-47311+47311</f>
        <v>95397.1</v>
      </c>
      <c r="N41" s="12">
        <f>-151.52-0.48</f>
        <v>-152</v>
      </c>
      <c r="O41" s="13">
        <f>SUM(C41:N41)</f>
        <v>238015.40000000002</v>
      </c>
      <c r="P41" s="127">
        <f>IFERROR(O41/B41,0)</f>
        <v>1.4346573922268302</v>
      </c>
    </row>
    <row r="42" spans="1:20" s="1" customFormat="1" x14ac:dyDescent="0.25">
      <c r="A42" s="129" t="s">
        <v>162</v>
      </c>
      <c r="B42" s="38">
        <v>2200000</v>
      </c>
      <c r="C42" s="16">
        <f>SUM(C40:C41)</f>
        <v>0</v>
      </c>
      <c r="D42" s="16">
        <f>SUM(D40:D41)</f>
        <v>23949.98</v>
      </c>
      <c r="E42" s="16">
        <f t="shared" ref="E42:M42" si="9">SUM(E40:E41)</f>
        <v>0</v>
      </c>
      <c r="F42" s="16">
        <f>SUM(F40:F41)</f>
        <v>63536.729999999996</v>
      </c>
      <c r="G42" s="16">
        <f>SUM(G40:G41)</f>
        <v>758931.46</v>
      </c>
      <c r="H42" s="16">
        <f>SUM(H40:H41)</f>
        <v>11292.26</v>
      </c>
      <c r="I42" s="16">
        <f t="shared" si="9"/>
        <v>260380.66</v>
      </c>
      <c r="J42" s="16">
        <f t="shared" si="9"/>
        <v>8503.85</v>
      </c>
      <c r="K42" s="16">
        <f t="shared" si="9"/>
        <v>11918.140000000001</v>
      </c>
      <c r="L42" s="16">
        <f t="shared" si="9"/>
        <v>3038915.54</v>
      </c>
      <c r="M42" s="16">
        <f t="shared" si="9"/>
        <v>1513997.1</v>
      </c>
      <c r="N42" s="16">
        <f>SUM(N40:N41)</f>
        <v>-152</v>
      </c>
      <c r="O42" s="13">
        <f>SUM(C42:N42)</f>
        <v>5691273.7200000007</v>
      </c>
      <c r="P42" s="127">
        <f>IFERROR(O42/B42,0)</f>
        <v>2.5869426000000004</v>
      </c>
    </row>
    <row r="43" spans="1:20" s="1" customFormat="1" x14ac:dyDescent="0.25">
      <c r="A43" s="130" t="s">
        <v>161</v>
      </c>
      <c r="B43" s="42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/>
      <c r="O43" s="13">
        <f>SUM(C43:N43)</f>
        <v>0</v>
      </c>
      <c r="P43" s="127">
        <f>IFERROR(O43/B43,0)</f>
        <v>0</v>
      </c>
    </row>
    <row r="44" spans="1:20" s="1" customFormat="1" ht="15.75" thickBot="1" x14ac:dyDescent="0.3">
      <c r="A44" s="131" t="s">
        <v>163</v>
      </c>
      <c r="B44" s="132">
        <f>B42+B43</f>
        <v>2200000</v>
      </c>
      <c r="C44" s="132">
        <f t="shared" ref="C44:O44" si="10">C42+C43</f>
        <v>0</v>
      </c>
      <c r="D44" s="132">
        <f>D42+D43</f>
        <v>23949.98</v>
      </c>
      <c r="E44" s="132">
        <f t="shared" si="10"/>
        <v>0</v>
      </c>
      <c r="F44" s="132">
        <f>F42+F43</f>
        <v>63536.729999999996</v>
      </c>
      <c r="G44" s="132">
        <f>G42+G43</f>
        <v>758931.46</v>
      </c>
      <c r="H44" s="132">
        <f>H42+H43</f>
        <v>11292.26</v>
      </c>
      <c r="I44" s="132">
        <f t="shared" si="10"/>
        <v>260380.66</v>
      </c>
      <c r="J44" s="132">
        <f t="shared" si="10"/>
        <v>8503.85</v>
      </c>
      <c r="K44" s="132">
        <f t="shared" si="10"/>
        <v>11918.140000000001</v>
      </c>
      <c r="L44" s="132">
        <f t="shared" si="10"/>
        <v>3038915.54</v>
      </c>
      <c r="M44" s="132">
        <f t="shared" si="10"/>
        <v>1513997.1</v>
      </c>
      <c r="N44" s="132">
        <f t="shared" si="10"/>
        <v>-152</v>
      </c>
      <c r="O44" s="132">
        <f t="shared" si="10"/>
        <v>5691273.7200000007</v>
      </c>
      <c r="P44" s="133">
        <f>IFERROR(O44/B44,0)</f>
        <v>2.5869426000000004</v>
      </c>
    </row>
    <row r="45" spans="1:20" s="1" customFormat="1" x14ac:dyDescent="0.25">
      <c r="A45" s="17"/>
      <c r="B45" s="17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28"/>
    </row>
    <row r="46" spans="1:20" s="1" customFormat="1" x14ac:dyDescent="0.25">
      <c r="A46" s="10" t="s">
        <v>22</v>
      </c>
      <c r="B46" s="10"/>
      <c r="C46" s="18">
        <f t="shared" ref="C46:O46" si="11">SUM(C24,C44)</f>
        <v>7360860.3700000001</v>
      </c>
      <c r="D46" s="18">
        <f t="shared" si="11"/>
        <v>4716492.42</v>
      </c>
      <c r="E46" s="18">
        <f t="shared" si="11"/>
        <v>5740707.21</v>
      </c>
      <c r="F46" s="18">
        <f>SUM(F24,F44)</f>
        <v>4628291.74</v>
      </c>
      <c r="G46" s="18">
        <f>SUM(G24,G44)</f>
        <v>11538927.100000001</v>
      </c>
      <c r="H46" s="18">
        <f>SUM(H24,H44)</f>
        <v>6788557.6399999997</v>
      </c>
      <c r="I46" s="18">
        <f t="shared" si="11"/>
        <v>7130090.5300000003</v>
      </c>
      <c r="J46" s="18">
        <f>SUM(J24,J44)</f>
        <v>7678078.7599999998</v>
      </c>
      <c r="K46" s="18">
        <f t="shared" si="11"/>
        <v>7066262.1499999994</v>
      </c>
      <c r="L46" s="18">
        <f t="shared" si="11"/>
        <v>10098361.219999999</v>
      </c>
      <c r="M46" s="18">
        <f t="shared" si="11"/>
        <v>7079667.3300000001</v>
      </c>
      <c r="N46" s="18">
        <f t="shared" si="11"/>
        <v>1839430.6400000001</v>
      </c>
      <c r="O46" s="18">
        <f t="shared" si="11"/>
        <v>81665727.109999999</v>
      </c>
      <c r="P46" s="28"/>
      <c r="T46"/>
    </row>
    <row r="47" spans="1:2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9" spans="1:1" x14ac:dyDescent="0.25">
      <c r="A49" t="s">
        <v>23</v>
      </c>
    </row>
  </sheetData>
  <mergeCells count="11">
    <mergeCell ref="C38:P38"/>
    <mergeCell ref="A38:A39"/>
    <mergeCell ref="A12:A13"/>
    <mergeCell ref="A7:P7"/>
    <mergeCell ref="B12:B13"/>
    <mergeCell ref="C12:P12"/>
    <mergeCell ref="C26:C27"/>
    <mergeCell ref="B26:B27"/>
    <mergeCell ref="A26:A27"/>
    <mergeCell ref="B38:B39"/>
    <mergeCell ref="A32:B33"/>
  </mergeCells>
  <pageMargins left="0.78740157480314965" right="0.78740157480314965" top="0.59718749999999998" bottom="0.78740157480314965" header="0.21" footer="0"/>
  <pageSetup paperSize="9"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868D-CBCA-43FB-B67F-4CFFF4B2F92C}">
  <sheetPr>
    <tabColor rgb="FFFF0000"/>
    <pageSetUpPr fitToPage="1"/>
  </sheetPr>
  <dimension ref="A7:T95"/>
  <sheetViews>
    <sheetView showGridLines="0" topLeftCell="A7" zoomScaleNormal="100" workbookViewId="0"/>
  </sheetViews>
  <sheetFormatPr defaultRowHeight="15" x14ac:dyDescent="0.25"/>
  <cols>
    <col min="1" max="1" width="9.5703125" customWidth="1"/>
    <col min="2" max="2" width="47.140625" customWidth="1"/>
    <col min="3" max="6" width="13.28515625" bestFit="1" customWidth="1"/>
    <col min="7" max="7" width="14.28515625" bestFit="1" customWidth="1"/>
    <col min="8" max="8" width="13.28515625" bestFit="1" customWidth="1"/>
    <col min="9" max="9" width="14.28515625" bestFit="1" customWidth="1"/>
    <col min="10" max="12" width="13.28515625" bestFit="1" customWidth="1"/>
    <col min="13" max="15" width="14.28515625" bestFit="1" customWidth="1"/>
    <col min="16" max="16" width="17.28515625" style="26" customWidth="1"/>
    <col min="17" max="17" width="10.140625" style="26" bestFit="1" customWidth="1"/>
    <col min="18" max="18" width="16.140625" customWidth="1"/>
    <col min="19" max="19" width="19" style="34" customWidth="1"/>
    <col min="20" max="20" width="21.85546875" customWidth="1"/>
  </cols>
  <sheetData>
    <row r="7" spans="1:20" x14ac:dyDescent="0.25">
      <c r="A7" s="181" t="s">
        <v>24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</row>
    <row r="10" spans="1:20" x14ac:dyDescent="0.25">
      <c r="A10" s="1" t="s">
        <v>25</v>
      </c>
    </row>
    <row r="11" spans="1:20" x14ac:dyDescent="0.25">
      <c r="A11" s="1"/>
      <c r="B11" s="72" t="s">
        <v>26</v>
      </c>
    </row>
    <row r="12" spans="1:20" ht="15" customHeight="1" x14ac:dyDescent="0.25"/>
    <row r="13" spans="1:20" s="4" customFormat="1" ht="15" customHeight="1" x14ac:dyDescent="0.25">
      <c r="A13" s="185" t="s">
        <v>2</v>
      </c>
      <c r="B13" s="186"/>
      <c r="C13" s="189" t="s">
        <v>4</v>
      </c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</row>
    <row r="14" spans="1:20" s="7" customFormat="1" ht="21" customHeight="1" x14ac:dyDescent="0.25">
      <c r="A14" s="20" t="s">
        <v>27</v>
      </c>
      <c r="B14" s="21" t="s">
        <v>28</v>
      </c>
      <c r="C14" s="22">
        <v>44197</v>
      </c>
      <c r="D14" s="22">
        <v>44228</v>
      </c>
      <c r="E14" s="22">
        <v>44256</v>
      </c>
      <c r="F14" s="22">
        <v>44287</v>
      </c>
      <c r="G14" s="22">
        <v>44317</v>
      </c>
      <c r="H14" s="22">
        <v>44348</v>
      </c>
      <c r="I14" s="22">
        <v>44378</v>
      </c>
      <c r="J14" s="22">
        <v>44409</v>
      </c>
      <c r="K14" s="22">
        <v>44440</v>
      </c>
      <c r="L14" s="22">
        <v>44470</v>
      </c>
      <c r="M14" s="22">
        <v>44501</v>
      </c>
      <c r="N14" s="22">
        <v>44531</v>
      </c>
      <c r="O14" s="23" t="s">
        <v>5</v>
      </c>
      <c r="P14" s="32" t="s">
        <v>29</v>
      </c>
      <c r="Q14" s="76" t="s">
        <v>30</v>
      </c>
      <c r="R14" s="90" t="s">
        <v>31</v>
      </c>
      <c r="S14" s="36" t="s">
        <v>32</v>
      </c>
      <c r="T14" s="76" t="s">
        <v>33</v>
      </c>
    </row>
    <row r="15" spans="1:20" s="4" customFormat="1" x14ac:dyDescent="0.25">
      <c r="A15" s="187" t="s">
        <v>5</v>
      </c>
      <c r="B15" s="188"/>
      <c r="C15" s="152">
        <f>SUM(C16:C94)</f>
        <v>428543.07</v>
      </c>
      <c r="D15" s="152">
        <f t="shared" ref="D15:N15" si="0">SUM(D16:D94)</f>
        <v>4382159.51</v>
      </c>
      <c r="E15" s="152">
        <f t="shared" si="0"/>
        <v>6256801.0800000001</v>
      </c>
      <c r="F15" s="152">
        <f t="shared" si="0"/>
        <v>6568563.9199999999</v>
      </c>
      <c r="G15" s="152">
        <f t="shared" si="0"/>
        <v>8310580.549999997</v>
      </c>
      <c r="H15" s="152">
        <f t="shared" si="0"/>
        <v>4290908.8099999996</v>
      </c>
      <c r="I15" s="152">
        <f t="shared" si="0"/>
        <v>5421974.6400000006</v>
      </c>
      <c r="J15" s="152">
        <f t="shared" si="0"/>
        <v>6469870.9999999991</v>
      </c>
      <c r="K15" s="152">
        <f t="shared" si="0"/>
        <v>7635205.3200000012</v>
      </c>
      <c r="L15" s="152">
        <f t="shared" si="0"/>
        <v>5672723.0499999998</v>
      </c>
      <c r="M15" s="152">
        <f t="shared" si="0"/>
        <v>13256828.110000001</v>
      </c>
      <c r="N15" s="152">
        <f t="shared" si="0"/>
        <v>12399434.610000001</v>
      </c>
      <c r="O15" s="152">
        <f>SUM(O16:O95)</f>
        <v>81290727.709999993</v>
      </c>
      <c r="P15" s="153">
        <f>SUM(P16:P95)</f>
        <v>1.0000000000000002</v>
      </c>
      <c r="Q15" s="153">
        <f>IFERROR(O15/S15,0)</f>
        <v>1.3749781368025003</v>
      </c>
      <c r="R15" s="154">
        <f>AVERAGE(C15:N15)</f>
        <v>6757799.4725000001</v>
      </c>
      <c r="S15" s="152">
        <f>SUM(S16:S95)</f>
        <v>59121469.30498901</v>
      </c>
      <c r="T15" s="152">
        <f>SUM(T16:T95)</f>
        <v>4926789.108749086</v>
      </c>
    </row>
    <row r="16" spans="1:20" s="4" customFormat="1" ht="15" customHeight="1" x14ac:dyDescent="0.25">
      <c r="A16" s="163">
        <v>33901414</v>
      </c>
      <c r="B16" s="146" t="s">
        <v>152</v>
      </c>
      <c r="C16" s="147">
        <v>0</v>
      </c>
      <c r="D16" s="147">
        <v>0</v>
      </c>
      <c r="E16" s="147">
        <v>0</v>
      </c>
      <c r="F16" s="147">
        <v>0</v>
      </c>
      <c r="G16" s="147">
        <v>4541.6000000000004</v>
      </c>
      <c r="H16" s="148">
        <v>0</v>
      </c>
      <c r="I16" s="148">
        <v>0</v>
      </c>
      <c r="J16" s="148">
        <v>0</v>
      </c>
      <c r="K16" s="148">
        <v>0</v>
      </c>
      <c r="L16" s="148">
        <v>0</v>
      </c>
      <c r="M16" s="148">
        <v>0</v>
      </c>
      <c r="N16" s="148">
        <v>-2293.92</v>
      </c>
      <c r="O16" s="149">
        <f>SUM(C16:N16)</f>
        <v>2247.6800000000003</v>
      </c>
      <c r="P16" s="150">
        <f>O16/$O$15</f>
        <v>2.7649893946311685E-5</v>
      </c>
      <c r="Q16" s="77">
        <f>IFERROR(O16/S16,0)</f>
        <v>0</v>
      </c>
      <c r="R16" s="73">
        <f>AVERAGE(C16:N16)</f>
        <v>187.3066666666667</v>
      </c>
      <c r="S16" s="75">
        <f>IFERROR(VLOOKUP(A16,'PAR 21'!$A$3:$B$85,2,FALSE),0)</f>
        <v>0</v>
      </c>
      <c r="T16" s="151">
        <f>S16/12</f>
        <v>0</v>
      </c>
    </row>
    <row r="17" spans="1:20" s="4" customFormat="1" x14ac:dyDescent="0.25">
      <c r="A17" s="164">
        <v>33901801</v>
      </c>
      <c r="B17" s="94" t="s">
        <v>34</v>
      </c>
      <c r="C17" s="95">
        <v>35000</v>
      </c>
      <c r="D17" s="95">
        <v>55000</v>
      </c>
      <c r="E17" s="95">
        <v>51529.04</v>
      </c>
      <c r="F17" s="95">
        <v>50000</v>
      </c>
      <c r="G17" s="95">
        <v>50000</v>
      </c>
      <c r="H17" s="24">
        <v>50000</v>
      </c>
      <c r="I17" s="24">
        <v>45000</v>
      </c>
      <c r="J17" s="24">
        <v>50000</v>
      </c>
      <c r="K17" s="24">
        <v>50000</v>
      </c>
      <c r="L17" s="24">
        <v>50000</v>
      </c>
      <c r="M17" s="24">
        <v>95000</v>
      </c>
      <c r="N17" s="24">
        <v>609.92999999999995</v>
      </c>
      <c r="O17" s="25">
        <f t="shared" ref="O17:O36" si="1">SUM(C17:N17)</f>
        <v>582138.97000000009</v>
      </c>
      <c r="P17" s="74">
        <f>O17/$O$15</f>
        <v>7.1611976716058866E-3</v>
      </c>
      <c r="Q17" s="77">
        <f t="shared" ref="Q17:Q20" si="2">IFERROR(O17/S17,0)</f>
        <v>0</v>
      </c>
      <c r="R17" s="73">
        <f t="shared" ref="R17:R36" si="3">AVERAGE(C17:N17)</f>
        <v>48511.580833333341</v>
      </c>
      <c r="S17" s="75">
        <f>IFERROR(VLOOKUP(A17,'PAR 21'!$A$3:$B$85,2,FALSE),0)</f>
        <v>0</v>
      </c>
      <c r="T17" s="79">
        <f t="shared" ref="T17:T63" si="4">S17/12</f>
        <v>0</v>
      </c>
    </row>
    <row r="18" spans="1:20" s="4" customFormat="1" ht="15" customHeight="1" x14ac:dyDescent="0.25">
      <c r="A18" s="164">
        <v>33903001</v>
      </c>
      <c r="B18" s="94" t="s">
        <v>35</v>
      </c>
      <c r="C18" s="95">
        <v>1200</v>
      </c>
      <c r="D18" s="95">
        <v>0</v>
      </c>
      <c r="E18" s="95">
        <v>5095</v>
      </c>
      <c r="F18" s="95">
        <v>1200</v>
      </c>
      <c r="G18" s="95">
        <v>1200</v>
      </c>
      <c r="H18" s="24">
        <v>918.04</v>
      </c>
      <c r="I18" s="24">
        <v>0</v>
      </c>
      <c r="J18" s="24">
        <v>1200</v>
      </c>
      <c r="K18" s="24">
        <v>4595</v>
      </c>
      <c r="L18" s="24">
        <v>3395</v>
      </c>
      <c r="M18" s="24">
        <v>3458.99</v>
      </c>
      <c r="N18" s="24">
        <v>6790</v>
      </c>
      <c r="O18" s="25">
        <f t="shared" si="1"/>
        <v>29052.03</v>
      </c>
      <c r="P18" s="74">
        <f>O18/$O$15</f>
        <v>3.5738430222498991E-4</v>
      </c>
      <c r="Q18" s="77">
        <f t="shared" si="2"/>
        <v>0</v>
      </c>
      <c r="R18" s="73">
        <f t="shared" si="3"/>
        <v>2421.0025000000001</v>
      </c>
      <c r="S18" s="75">
        <f>IFERROR(VLOOKUP(A18,'PAR 21'!$A$3:$B$85,2,FALSE),0)</f>
        <v>0</v>
      </c>
      <c r="T18" s="79">
        <f t="shared" si="4"/>
        <v>0</v>
      </c>
    </row>
    <row r="19" spans="1:20" s="4" customFormat="1" ht="15" customHeight="1" x14ac:dyDescent="0.25">
      <c r="A19" s="164">
        <v>33903003</v>
      </c>
      <c r="B19" s="94" t="s">
        <v>36</v>
      </c>
      <c r="C19" s="95">
        <v>2195</v>
      </c>
      <c r="D19" s="95">
        <v>0</v>
      </c>
      <c r="E19" s="95">
        <v>2195</v>
      </c>
      <c r="F19" s="95">
        <v>2195</v>
      </c>
      <c r="G19" s="95">
        <v>22334.720000000001</v>
      </c>
      <c r="H19" s="24">
        <v>851.18</v>
      </c>
      <c r="I19" s="24">
        <v>0</v>
      </c>
      <c r="J19" s="24">
        <v>2325.3200000000002</v>
      </c>
      <c r="K19" s="24">
        <v>22145</v>
      </c>
      <c r="L19" s="24">
        <v>0</v>
      </c>
      <c r="M19" s="24">
        <v>-15330</v>
      </c>
      <c r="N19" s="24">
        <v>0</v>
      </c>
      <c r="O19" s="25">
        <f t="shared" si="1"/>
        <v>38911.22</v>
      </c>
      <c r="P19" s="74">
        <f t="shared" ref="P19:P36" si="5">O19/$O$15</f>
        <v>4.7866738429029132E-4</v>
      </c>
      <c r="Q19" s="77">
        <f t="shared" si="2"/>
        <v>0.42261270948052088</v>
      </c>
      <c r="R19" s="73">
        <f t="shared" si="3"/>
        <v>3242.6016666666669</v>
      </c>
      <c r="S19" s="75">
        <f>IFERROR(VLOOKUP(A19,'PAR 21'!$A$3:$B$85,2,FALSE),0)</f>
        <v>92073</v>
      </c>
      <c r="T19" s="79">
        <f t="shared" si="4"/>
        <v>7672.75</v>
      </c>
    </row>
    <row r="20" spans="1:20" s="4" customFormat="1" ht="15" customHeight="1" x14ac:dyDescent="0.25">
      <c r="A20" s="164">
        <v>33903004</v>
      </c>
      <c r="B20" s="94" t="s">
        <v>37</v>
      </c>
      <c r="C20" s="95">
        <v>7656</v>
      </c>
      <c r="D20" s="95">
        <v>1074.0999999999999</v>
      </c>
      <c r="E20" s="95">
        <v>74718.7</v>
      </c>
      <c r="F20" s="95">
        <v>15928</v>
      </c>
      <c r="G20" s="95">
        <v>42272</v>
      </c>
      <c r="H20" s="24">
        <v>52542.22</v>
      </c>
      <c r="I20" s="24">
        <v>59407.5</v>
      </c>
      <c r="J20" s="24">
        <v>87247.94</v>
      </c>
      <c r="K20" s="24">
        <v>108364.4</v>
      </c>
      <c r="L20" s="24">
        <v>163441.79999999999</v>
      </c>
      <c r="M20" s="24">
        <v>325144.26</v>
      </c>
      <c r="N20" s="24">
        <v>137336.38</v>
      </c>
      <c r="O20" s="25">
        <f t="shared" si="1"/>
        <v>1075133.2999999998</v>
      </c>
      <c r="P20" s="74">
        <f t="shared" si="5"/>
        <v>1.3225780237021326E-2</v>
      </c>
      <c r="Q20" s="77">
        <f t="shared" si="2"/>
        <v>1.8233365261791876</v>
      </c>
      <c r="R20" s="73">
        <f t="shared" si="3"/>
        <v>89594.441666666651</v>
      </c>
      <c r="S20" s="75">
        <f>IFERROR(VLOOKUP(A20,'PAR 21'!$A$3:$B$85,2,FALSE),0)</f>
        <v>589651.6</v>
      </c>
      <c r="T20" s="79">
        <f t="shared" si="4"/>
        <v>49137.633333333331</v>
      </c>
    </row>
    <row r="21" spans="1:20" s="4" customFormat="1" ht="15" customHeight="1" x14ac:dyDescent="0.25">
      <c r="A21" s="164">
        <v>33903007</v>
      </c>
      <c r="B21" s="94" t="s">
        <v>38</v>
      </c>
      <c r="C21" s="95">
        <v>0</v>
      </c>
      <c r="D21" s="95">
        <v>204890.9</v>
      </c>
      <c r="E21" s="95">
        <v>148914.17000000001</v>
      </c>
      <c r="F21" s="95">
        <v>222751.03</v>
      </c>
      <c r="G21" s="95">
        <v>228186.34</v>
      </c>
      <c r="H21" s="24">
        <v>461435.9</v>
      </c>
      <c r="I21" s="24">
        <v>152242.21</v>
      </c>
      <c r="J21" s="24">
        <v>198486.38</v>
      </c>
      <c r="K21" s="24">
        <v>91621.06</v>
      </c>
      <c r="L21" s="24">
        <v>232838.63</v>
      </c>
      <c r="M21" s="24">
        <v>222949.29</v>
      </c>
      <c r="N21" s="24">
        <v>347709.03</v>
      </c>
      <c r="O21" s="25">
        <f t="shared" si="1"/>
        <v>2512024.9399999995</v>
      </c>
      <c r="P21" s="74">
        <f t="shared" si="5"/>
        <v>3.0901740097117894E-2</v>
      </c>
      <c r="Q21" s="77">
        <f t="shared" ref="Q21:Q63" si="6">IFERROR(O21/S21,0)</f>
        <v>1.1376924547101448</v>
      </c>
      <c r="R21" s="73">
        <f t="shared" si="3"/>
        <v>209335.41166666662</v>
      </c>
      <c r="S21" s="75">
        <f>IFERROR(VLOOKUP(A21,'PAR 21'!$A$3:$B$85,2,FALSE),0)</f>
        <v>2208000</v>
      </c>
      <c r="T21" s="79">
        <f t="shared" si="4"/>
        <v>184000</v>
      </c>
    </row>
    <row r="22" spans="1:20" s="4" customFormat="1" ht="15" customHeight="1" x14ac:dyDescent="0.25">
      <c r="A22" s="164">
        <v>33903009</v>
      </c>
      <c r="B22" s="94" t="s">
        <v>39</v>
      </c>
      <c r="C22" s="95">
        <v>84369.96</v>
      </c>
      <c r="D22" s="95">
        <v>674262.17</v>
      </c>
      <c r="E22" s="95">
        <v>1834984.29</v>
      </c>
      <c r="F22" s="95">
        <v>1475258.58</v>
      </c>
      <c r="G22" s="95">
        <v>1228393.2</v>
      </c>
      <c r="H22" s="24">
        <v>1786280.8</v>
      </c>
      <c r="I22" s="24">
        <v>869904.24</v>
      </c>
      <c r="J22" s="24">
        <v>656837.01</v>
      </c>
      <c r="K22" s="24">
        <v>826795.56</v>
      </c>
      <c r="L22" s="24">
        <v>1498606.98</v>
      </c>
      <c r="M22" s="24">
        <v>2328127.46</v>
      </c>
      <c r="N22" s="24">
        <v>3011140.34</v>
      </c>
      <c r="O22" s="25">
        <f t="shared" si="1"/>
        <v>16274960.59</v>
      </c>
      <c r="P22" s="74">
        <f t="shared" si="5"/>
        <v>0.20020685075006325</v>
      </c>
      <c r="Q22" s="77">
        <f t="shared" si="6"/>
        <v>2.3141102269349667</v>
      </c>
      <c r="R22" s="73">
        <f t="shared" si="3"/>
        <v>1356246.7158333333</v>
      </c>
      <c r="S22" s="75">
        <f>IFERROR(VLOOKUP(A22,'PAR 21'!$A$3:$B$85,2,FALSE),0)</f>
        <v>7032923.6699999999</v>
      </c>
      <c r="T22" s="79">
        <f t="shared" si="4"/>
        <v>586076.97250000003</v>
      </c>
    </row>
    <row r="23" spans="1:20" s="4" customFormat="1" ht="15" customHeight="1" x14ac:dyDescent="0.25">
      <c r="A23" s="164">
        <v>33903010</v>
      </c>
      <c r="B23" s="94" t="s">
        <v>40</v>
      </c>
      <c r="C23" s="95">
        <v>0</v>
      </c>
      <c r="D23" s="95">
        <v>0</v>
      </c>
      <c r="E23" s="95">
        <v>371.83</v>
      </c>
      <c r="F23" s="95">
        <v>16489.849999999999</v>
      </c>
      <c r="G23" s="95">
        <v>124.1</v>
      </c>
      <c r="H23" s="24">
        <v>0</v>
      </c>
      <c r="I23" s="24">
        <v>1281.32</v>
      </c>
      <c r="J23" s="24">
        <v>0</v>
      </c>
      <c r="K23" s="24">
        <v>0</v>
      </c>
      <c r="L23" s="24">
        <v>0</v>
      </c>
      <c r="M23" s="24">
        <v>15832.59</v>
      </c>
      <c r="N23" s="24">
        <v>4004.41</v>
      </c>
      <c r="O23" s="25">
        <f t="shared" si="1"/>
        <v>38104.100000000006</v>
      </c>
      <c r="P23" s="74">
        <f t="shared" si="5"/>
        <v>4.6873857662997181E-4</v>
      </c>
      <c r="Q23" s="77">
        <f t="shared" si="6"/>
        <v>3.3144433291175144</v>
      </c>
      <c r="R23" s="73">
        <f t="shared" si="3"/>
        <v>3175.3416666666672</v>
      </c>
      <c r="S23" s="75">
        <f>IFERROR(VLOOKUP(A23,'PAR 21'!$A$3:$B$85,2,FALSE),0)</f>
        <v>11496.38</v>
      </c>
      <c r="T23" s="79">
        <f t="shared" si="4"/>
        <v>958.03166666666664</v>
      </c>
    </row>
    <row r="24" spans="1:20" s="4" customFormat="1" ht="15" customHeight="1" x14ac:dyDescent="0.25">
      <c r="A24" s="164">
        <v>33903011</v>
      </c>
      <c r="B24" s="94" t="s">
        <v>41</v>
      </c>
      <c r="C24" s="95">
        <v>27748.42</v>
      </c>
      <c r="D24" s="95">
        <v>159168.98000000001</v>
      </c>
      <c r="E24" s="95">
        <v>212513.44</v>
      </c>
      <c r="F24" s="95">
        <v>283306.21999999997</v>
      </c>
      <c r="G24" s="95">
        <v>284212.34999999998</v>
      </c>
      <c r="H24" s="24">
        <v>207558.08</v>
      </c>
      <c r="I24" s="24">
        <v>291938.34000000003</v>
      </c>
      <c r="J24" s="24">
        <v>233231.6</v>
      </c>
      <c r="K24" s="24">
        <v>377983.29</v>
      </c>
      <c r="L24" s="24">
        <v>363046.86</v>
      </c>
      <c r="M24" s="24">
        <v>311665.43</v>
      </c>
      <c r="N24" s="24">
        <v>574762.88</v>
      </c>
      <c r="O24" s="25">
        <f t="shared" si="1"/>
        <v>3327135.89</v>
      </c>
      <c r="P24" s="74">
        <f t="shared" si="5"/>
        <v>4.092884863657964E-2</v>
      </c>
      <c r="Q24" s="77">
        <f t="shared" si="6"/>
        <v>1.1082609176138194</v>
      </c>
      <c r="R24" s="73">
        <f t="shared" si="3"/>
        <v>277261.32416666666</v>
      </c>
      <c r="S24" s="75">
        <f>IFERROR(VLOOKUP(A24,'PAR 21'!$A$3:$B$85,2,FALSE),0)</f>
        <v>3002123.27</v>
      </c>
      <c r="T24" s="79">
        <f t="shared" si="4"/>
        <v>250176.93916666668</v>
      </c>
    </row>
    <row r="25" spans="1:20" s="4" customFormat="1" ht="15" customHeight="1" x14ac:dyDescent="0.25">
      <c r="A25" s="164">
        <v>33903016</v>
      </c>
      <c r="B25" s="94" t="s">
        <v>42</v>
      </c>
      <c r="C25" s="95">
        <v>519</v>
      </c>
      <c r="D25" s="95">
        <v>2098.6999999999998</v>
      </c>
      <c r="E25" s="95">
        <v>1303.08</v>
      </c>
      <c r="F25" s="95">
        <v>5122.8500000000004</v>
      </c>
      <c r="G25" s="95">
        <v>3303.85</v>
      </c>
      <c r="H25" s="24">
        <v>3236.74</v>
      </c>
      <c r="I25" s="24">
        <v>3442.7</v>
      </c>
      <c r="J25" s="24">
        <v>6961.65</v>
      </c>
      <c r="K25" s="24">
        <v>22528.34</v>
      </c>
      <c r="L25" s="24">
        <v>18706.580000000002</v>
      </c>
      <c r="M25" s="24">
        <v>20730.650000000001</v>
      </c>
      <c r="N25" s="24">
        <v>997.4</v>
      </c>
      <c r="O25" s="25">
        <f t="shared" si="1"/>
        <v>88951.540000000008</v>
      </c>
      <c r="P25" s="74">
        <f t="shared" si="5"/>
        <v>1.0942396815209912E-3</v>
      </c>
      <c r="Q25" s="77">
        <f t="shared" si="6"/>
        <v>0.66038425308901538</v>
      </c>
      <c r="R25" s="73">
        <f t="shared" si="3"/>
        <v>7412.628333333334</v>
      </c>
      <c r="S25" s="75">
        <f>IFERROR(VLOOKUP(A25,'PAR 21'!$A$3:$B$85,2,FALSE),0)</f>
        <v>134696.64000000001</v>
      </c>
      <c r="T25" s="79">
        <f t="shared" si="4"/>
        <v>11224.720000000001</v>
      </c>
    </row>
    <row r="26" spans="1:20" s="4" customFormat="1" ht="15" customHeight="1" x14ac:dyDescent="0.25">
      <c r="A26" s="164">
        <v>33903017</v>
      </c>
      <c r="B26" s="94" t="s">
        <v>43</v>
      </c>
      <c r="C26" s="95">
        <v>13840.9</v>
      </c>
      <c r="D26" s="95">
        <v>0</v>
      </c>
      <c r="E26" s="95">
        <v>0</v>
      </c>
      <c r="F26" s="95">
        <v>20631.2</v>
      </c>
      <c r="G26" s="95">
        <v>0</v>
      </c>
      <c r="H26" s="24">
        <v>269</v>
      </c>
      <c r="I26" s="24">
        <v>253.5</v>
      </c>
      <c r="J26" s="24">
        <v>2858.65</v>
      </c>
      <c r="K26" s="24">
        <v>31929.3</v>
      </c>
      <c r="L26" s="24">
        <v>0</v>
      </c>
      <c r="M26" s="24">
        <v>755.3</v>
      </c>
      <c r="N26" s="24">
        <v>55730.26</v>
      </c>
      <c r="O26" s="25">
        <f t="shared" si="1"/>
        <v>126268.11000000002</v>
      </c>
      <c r="P26" s="74">
        <f t="shared" si="5"/>
        <v>1.553290437384867E-3</v>
      </c>
      <c r="Q26" s="77">
        <f t="shared" si="6"/>
        <v>1.6719611350279446</v>
      </c>
      <c r="R26" s="73">
        <f t="shared" si="3"/>
        <v>10522.342500000001</v>
      </c>
      <c r="S26" s="75">
        <f>IFERROR(VLOOKUP(A26,'PAR 21'!$A$3:$B$85,2,FALSE),0)</f>
        <v>75520.960000000006</v>
      </c>
      <c r="T26" s="79">
        <f t="shared" si="4"/>
        <v>6293.4133333333339</v>
      </c>
    </row>
    <row r="27" spans="1:20" s="4" customFormat="1" ht="15" customHeight="1" x14ac:dyDescent="0.25">
      <c r="A27" s="164">
        <v>33903019</v>
      </c>
      <c r="B27" s="94" t="s">
        <v>44</v>
      </c>
      <c r="C27" s="95">
        <v>42</v>
      </c>
      <c r="D27" s="95">
        <v>4696.3999999999996</v>
      </c>
      <c r="E27" s="95">
        <v>5824.69</v>
      </c>
      <c r="F27" s="95">
        <v>13739.35</v>
      </c>
      <c r="G27" s="95">
        <v>31695.8</v>
      </c>
      <c r="H27" s="24">
        <v>10450.6</v>
      </c>
      <c r="I27" s="24">
        <v>18537.45</v>
      </c>
      <c r="J27" s="24">
        <v>79702</v>
      </c>
      <c r="K27" s="24">
        <v>16276.95</v>
      </c>
      <c r="L27" s="24">
        <v>7249.82</v>
      </c>
      <c r="M27" s="24">
        <v>23185.21</v>
      </c>
      <c r="N27" s="24">
        <v>9485.94</v>
      </c>
      <c r="O27" s="25">
        <f t="shared" si="1"/>
        <v>220886.21000000002</v>
      </c>
      <c r="P27" s="74">
        <f t="shared" si="5"/>
        <v>2.7172374540427157E-3</v>
      </c>
      <c r="Q27" s="77">
        <f t="shared" si="6"/>
        <v>0.86340178007897128</v>
      </c>
      <c r="R27" s="73">
        <f t="shared" si="3"/>
        <v>18407.18416666667</v>
      </c>
      <c r="S27" s="75">
        <f>IFERROR(VLOOKUP(A27,'PAR 21'!$A$3:$B$85,2,FALSE),0)</f>
        <v>255832.47</v>
      </c>
      <c r="T27" s="79">
        <f t="shared" si="4"/>
        <v>21319.372500000001</v>
      </c>
    </row>
    <row r="28" spans="1:20" s="4" customFormat="1" ht="15" customHeight="1" x14ac:dyDescent="0.25">
      <c r="A28" s="164">
        <v>33903020</v>
      </c>
      <c r="B28" s="94" t="s">
        <v>45</v>
      </c>
      <c r="C28" s="95">
        <v>0</v>
      </c>
      <c r="D28" s="95">
        <v>0</v>
      </c>
      <c r="E28" s="95">
        <v>0</v>
      </c>
      <c r="F28" s="95">
        <v>23500</v>
      </c>
      <c r="G28" s="95">
        <v>3464</v>
      </c>
      <c r="H28" s="24">
        <v>3582.5</v>
      </c>
      <c r="I28" s="24">
        <v>20601</v>
      </c>
      <c r="J28" s="24">
        <v>0</v>
      </c>
      <c r="K28" s="24">
        <v>0</v>
      </c>
      <c r="L28" s="24">
        <v>11750</v>
      </c>
      <c r="M28" s="24">
        <v>20779.400000000001</v>
      </c>
      <c r="N28" s="24">
        <v>12233.6</v>
      </c>
      <c r="O28" s="25">
        <f t="shared" si="1"/>
        <v>95910.5</v>
      </c>
      <c r="P28" s="74">
        <f t="shared" si="5"/>
        <v>1.179845508852562E-3</v>
      </c>
      <c r="Q28" s="77">
        <f t="shared" si="6"/>
        <v>0.25923635169348352</v>
      </c>
      <c r="R28" s="73">
        <f t="shared" si="3"/>
        <v>7992.541666666667</v>
      </c>
      <c r="S28" s="75">
        <f>IFERROR(VLOOKUP(A28,'PAR 21'!$A$3:$B$85,2,FALSE),0)</f>
        <v>369973.19</v>
      </c>
      <c r="T28" s="79">
        <f t="shared" si="4"/>
        <v>30831.099166666667</v>
      </c>
    </row>
    <row r="29" spans="1:20" s="4" customFormat="1" ht="15" customHeight="1" x14ac:dyDescent="0.25">
      <c r="A29" s="164">
        <v>33903021</v>
      </c>
      <c r="B29" s="94" t="s">
        <v>46</v>
      </c>
      <c r="C29" s="95">
        <v>0</v>
      </c>
      <c r="D29" s="95">
        <v>2242.65</v>
      </c>
      <c r="E29" s="95">
        <v>1822.07</v>
      </c>
      <c r="F29" s="95">
        <v>7643.64</v>
      </c>
      <c r="G29" s="95">
        <v>6037.87</v>
      </c>
      <c r="H29" s="24">
        <v>2195.2399999999998</v>
      </c>
      <c r="I29" s="24">
        <v>7275.3</v>
      </c>
      <c r="J29" s="24">
        <v>460</v>
      </c>
      <c r="K29" s="24">
        <v>20102.11</v>
      </c>
      <c r="L29" s="24">
        <v>26203.21</v>
      </c>
      <c r="M29" s="24">
        <v>5145.2700000000004</v>
      </c>
      <c r="N29" s="24">
        <v>1501.95</v>
      </c>
      <c r="O29" s="25">
        <f t="shared" si="1"/>
        <v>80629.31</v>
      </c>
      <c r="P29" s="74">
        <f t="shared" si="5"/>
        <v>9.9186355284750839E-4</v>
      </c>
      <c r="Q29" s="77">
        <f t="shared" si="6"/>
        <v>0.60287229271535914</v>
      </c>
      <c r="R29" s="73">
        <f t="shared" si="3"/>
        <v>6719.1091666666662</v>
      </c>
      <c r="S29" s="75">
        <f>IFERROR(VLOOKUP(A29,'PAR 21'!$A$3:$B$85,2,FALSE),0)</f>
        <v>133741.94</v>
      </c>
      <c r="T29" s="79">
        <f t="shared" si="4"/>
        <v>11145.161666666667</v>
      </c>
    </row>
    <row r="30" spans="1:20" s="4" customFormat="1" ht="15" customHeight="1" x14ac:dyDescent="0.25">
      <c r="A30" s="164">
        <v>33903022</v>
      </c>
      <c r="B30" s="94" t="s">
        <v>47</v>
      </c>
      <c r="C30" s="95">
        <v>0</v>
      </c>
      <c r="D30" s="95">
        <v>1025.9000000000001</v>
      </c>
      <c r="E30" s="95">
        <v>11135.1</v>
      </c>
      <c r="F30" s="95">
        <v>8396.9</v>
      </c>
      <c r="G30" s="95">
        <v>12422.3</v>
      </c>
      <c r="H30" s="24">
        <v>10616.4</v>
      </c>
      <c r="I30" s="24">
        <v>8425.2199999999993</v>
      </c>
      <c r="J30" s="24">
        <v>26331.38</v>
      </c>
      <c r="K30" s="24">
        <v>16923</v>
      </c>
      <c r="L30" s="24">
        <v>19768.55</v>
      </c>
      <c r="M30" s="24">
        <v>17988.22</v>
      </c>
      <c r="N30" s="24">
        <v>41430.720000000001</v>
      </c>
      <c r="O30" s="25">
        <f t="shared" si="1"/>
        <v>174463.69</v>
      </c>
      <c r="P30" s="74">
        <f t="shared" si="5"/>
        <v>2.1461696175532983E-3</v>
      </c>
      <c r="Q30" s="77">
        <f t="shared" si="6"/>
        <v>0.75032792283767802</v>
      </c>
      <c r="R30" s="73">
        <f t="shared" si="3"/>
        <v>14538.640833333333</v>
      </c>
      <c r="S30" s="75">
        <f>IFERROR(VLOOKUP(A30,'PAR 21'!$A$3:$B$85,2,FALSE),0)</f>
        <v>232516.59</v>
      </c>
      <c r="T30" s="79">
        <f t="shared" si="4"/>
        <v>19376.3825</v>
      </c>
    </row>
    <row r="31" spans="1:20" s="4" customFormat="1" ht="15" customHeight="1" x14ac:dyDescent="0.25">
      <c r="A31" s="164">
        <v>33903023</v>
      </c>
      <c r="B31" s="94" t="s">
        <v>48</v>
      </c>
      <c r="C31" s="95">
        <v>0</v>
      </c>
      <c r="D31" s="95">
        <v>2890</v>
      </c>
      <c r="E31" s="95">
        <v>0</v>
      </c>
      <c r="F31" s="95">
        <v>1800</v>
      </c>
      <c r="G31" s="95">
        <v>1280</v>
      </c>
      <c r="H31" s="24">
        <v>1000</v>
      </c>
      <c r="I31" s="24">
        <v>1250</v>
      </c>
      <c r="J31" s="24">
        <v>0</v>
      </c>
      <c r="K31" s="24">
        <v>0</v>
      </c>
      <c r="L31" s="24">
        <v>0</v>
      </c>
      <c r="M31" s="24">
        <v>500</v>
      </c>
      <c r="N31" s="24">
        <v>-1690</v>
      </c>
      <c r="O31" s="25">
        <f t="shared" si="1"/>
        <v>7030</v>
      </c>
      <c r="P31" s="74">
        <f t="shared" si="5"/>
        <v>8.6479727738188311E-5</v>
      </c>
      <c r="Q31" s="77">
        <f t="shared" si="6"/>
        <v>10.014245014245015</v>
      </c>
      <c r="R31" s="73">
        <f t="shared" si="3"/>
        <v>585.83333333333337</v>
      </c>
      <c r="S31" s="75">
        <f>IFERROR(VLOOKUP(A31,'PAR 21'!$A$3:$B$85,2,FALSE),0)</f>
        <v>702</v>
      </c>
      <c r="T31" s="79">
        <f t="shared" si="4"/>
        <v>58.5</v>
      </c>
    </row>
    <row r="32" spans="1:20" s="4" customFormat="1" ht="15" customHeight="1" x14ac:dyDescent="0.25">
      <c r="A32" s="164">
        <v>33903024</v>
      </c>
      <c r="B32" s="94" t="s">
        <v>49</v>
      </c>
      <c r="C32" s="95">
        <v>12419.1</v>
      </c>
      <c r="D32" s="95">
        <v>769.66</v>
      </c>
      <c r="E32" s="95">
        <v>1851.03</v>
      </c>
      <c r="F32" s="95">
        <v>5650.88</v>
      </c>
      <c r="G32" s="95">
        <v>5135.88</v>
      </c>
      <c r="H32" s="24">
        <v>5880.56</v>
      </c>
      <c r="I32" s="24">
        <v>4568.92</v>
      </c>
      <c r="J32" s="24">
        <v>10243.280000000001</v>
      </c>
      <c r="K32" s="24">
        <v>25434.03</v>
      </c>
      <c r="L32" s="24">
        <v>4838.8500000000004</v>
      </c>
      <c r="M32" s="24">
        <v>13384.63</v>
      </c>
      <c r="N32" s="24">
        <v>38645.58</v>
      </c>
      <c r="O32" s="25">
        <f t="shared" si="1"/>
        <v>128822.40000000001</v>
      </c>
      <c r="P32" s="74">
        <f t="shared" si="5"/>
        <v>1.5847121022162149E-3</v>
      </c>
      <c r="Q32" s="77">
        <f t="shared" si="6"/>
        <v>0.46008000000000004</v>
      </c>
      <c r="R32" s="73">
        <f t="shared" si="3"/>
        <v>10735.2</v>
      </c>
      <c r="S32" s="75">
        <f>IFERROR(VLOOKUP(A32,'PAR 21'!$A$3:$B$85,2,FALSE),0)</f>
        <v>280000</v>
      </c>
      <c r="T32" s="79">
        <f t="shared" si="4"/>
        <v>23333.333333333332</v>
      </c>
    </row>
    <row r="33" spans="1:20" s="4" customFormat="1" ht="15" customHeight="1" x14ac:dyDescent="0.25">
      <c r="A33" s="164">
        <v>33903025</v>
      </c>
      <c r="B33" s="94" t="s">
        <v>50</v>
      </c>
      <c r="C33" s="95">
        <v>0</v>
      </c>
      <c r="D33" s="95">
        <v>6619.39</v>
      </c>
      <c r="E33" s="95">
        <v>71798.22</v>
      </c>
      <c r="F33" s="95">
        <v>44450.92</v>
      </c>
      <c r="G33" s="95">
        <v>10446.51</v>
      </c>
      <c r="H33" s="24">
        <v>13371.91</v>
      </c>
      <c r="I33" s="24">
        <v>39388.54</v>
      </c>
      <c r="J33" s="24">
        <v>7091.96</v>
      </c>
      <c r="K33" s="24">
        <v>2745.54</v>
      </c>
      <c r="L33" s="24">
        <v>11586.79</v>
      </c>
      <c r="M33" s="24">
        <v>38321.129999999997</v>
      </c>
      <c r="N33" s="24">
        <v>101685.58</v>
      </c>
      <c r="O33" s="25">
        <f t="shared" si="1"/>
        <v>347506.49000000005</v>
      </c>
      <c r="P33" s="74">
        <f t="shared" si="5"/>
        <v>4.2748601198369079E-3</v>
      </c>
      <c r="Q33" s="77">
        <f t="shared" si="6"/>
        <v>0.61205481351337554</v>
      </c>
      <c r="R33" s="73">
        <f t="shared" si="3"/>
        <v>28958.874166666672</v>
      </c>
      <c r="S33" s="75">
        <f>IFERROR(VLOOKUP(A33,'PAR 21'!$A$3:$B$85,2,FALSE),0)</f>
        <v>567770.21</v>
      </c>
      <c r="T33" s="79">
        <f t="shared" si="4"/>
        <v>47314.184166666666</v>
      </c>
    </row>
    <row r="34" spans="1:20" s="4" customFormat="1" ht="15" customHeight="1" x14ac:dyDescent="0.25">
      <c r="A34" s="164">
        <v>33903026</v>
      </c>
      <c r="B34" s="94" t="s">
        <v>51</v>
      </c>
      <c r="C34" s="95">
        <v>15075.8</v>
      </c>
      <c r="D34" s="95">
        <v>0</v>
      </c>
      <c r="E34" s="95">
        <v>7009.28</v>
      </c>
      <c r="F34" s="95">
        <v>2878.18</v>
      </c>
      <c r="G34" s="95">
        <v>38732.89</v>
      </c>
      <c r="H34" s="24">
        <v>1619.34</v>
      </c>
      <c r="I34" s="24">
        <v>32367.68</v>
      </c>
      <c r="J34" s="24">
        <v>4024.28</v>
      </c>
      <c r="K34" s="24">
        <v>29943.19</v>
      </c>
      <c r="L34" s="24">
        <v>9866.82</v>
      </c>
      <c r="M34" s="24">
        <v>9699.33</v>
      </c>
      <c r="N34" s="24">
        <v>34513.300000000003</v>
      </c>
      <c r="O34" s="25">
        <f t="shared" si="1"/>
        <v>185730.08999999997</v>
      </c>
      <c r="P34" s="74">
        <f t="shared" si="5"/>
        <v>2.28476353001269E-3</v>
      </c>
      <c r="Q34" s="77">
        <f t="shared" si="6"/>
        <v>1.534793892063707</v>
      </c>
      <c r="R34" s="73">
        <f t="shared" si="3"/>
        <v>15477.507499999998</v>
      </c>
      <c r="S34" s="75">
        <f>IFERROR(VLOOKUP(A34,'PAR 21'!$A$3:$B$85,2,FALSE),0)</f>
        <v>121013.05</v>
      </c>
      <c r="T34" s="79">
        <f t="shared" si="4"/>
        <v>10084.420833333334</v>
      </c>
    </row>
    <row r="35" spans="1:20" s="4" customFormat="1" ht="15" customHeight="1" x14ac:dyDescent="0.25">
      <c r="A35" s="164">
        <v>33903028</v>
      </c>
      <c r="B35" s="94" t="s">
        <v>52</v>
      </c>
      <c r="C35" s="95">
        <v>0</v>
      </c>
      <c r="D35" s="95">
        <v>338858.8</v>
      </c>
      <c r="E35" s="95">
        <v>922021.6</v>
      </c>
      <c r="F35" s="95">
        <v>526438.69999999995</v>
      </c>
      <c r="G35" s="95">
        <v>407785.75</v>
      </c>
      <c r="H35" s="24">
        <v>364061.3</v>
      </c>
      <c r="I35" s="24">
        <v>355605.51</v>
      </c>
      <c r="J35" s="24">
        <v>867355.6</v>
      </c>
      <c r="K35" s="24">
        <v>386334.26</v>
      </c>
      <c r="L35" s="24">
        <v>269043.42</v>
      </c>
      <c r="M35" s="24">
        <v>31447.88</v>
      </c>
      <c r="N35" s="24">
        <v>520045.51</v>
      </c>
      <c r="O35" s="25">
        <f t="shared" si="1"/>
        <v>4988998.3299999991</v>
      </c>
      <c r="P35" s="74">
        <f t="shared" si="5"/>
        <v>6.1372292640778967E-2</v>
      </c>
      <c r="Q35" s="77">
        <f t="shared" si="6"/>
        <v>1.6982691190411683</v>
      </c>
      <c r="R35" s="73">
        <f t="shared" si="3"/>
        <v>415749.86083333328</v>
      </c>
      <c r="S35" s="75">
        <f>IFERROR(VLOOKUP(A35,'PAR 21'!$A$3:$B$85,2,FALSE),0)</f>
        <v>2937695.96</v>
      </c>
      <c r="T35" s="79">
        <f t="shared" si="4"/>
        <v>244807.99666666667</v>
      </c>
    </row>
    <row r="36" spans="1:20" s="4" customFormat="1" ht="15" customHeight="1" x14ac:dyDescent="0.25">
      <c r="A36" s="164">
        <v>33903030</v>
      </c>
      <c r="B36" s="94" t="s">
        <v>153</v>
      </c>
      <c r="C36" s="95">
        <v>0</v>
      </c>
      <c r="D36" s="95">
        <v>0</v>
      </c>
      <c r="E36" s="95">
        <v>0</v>
      </c>
      <c r="F36" s="95">
        <v>0</v>
      </c>
      <c r="G36" s="95">
        <v>104.7</v>
      </c>
      <c r="H36" s="24">
        <v>569.20000000000005</v>
      </c>
      <c r="I36" s="24">
        <v>412.2</v>
      </c>
      <c r="J36" s="24">
        <v>0</v>
      </c>
      <c r="K36" s="24">
        <v>1793</v>
      </c>
      <c r="L36" s="24">
        <v>0</v>
      </c>
      <c r="M36" s="24">
        <v>532.70000000000005</v>
      </c>
      <c r="N36" s="24">
        <v>0</v>
      </c>
      <c r="O36" s="25">
        <f t="shared" si="1"/>
        <v>3411.8</v>
      </c>
      <c r="P36" s="74">
        <f t="shared" si="5"/>
        <v>4.197034638650795E-5</v>
      </c>
      <c r="Q36" s="77">
        <f t="shared" si="6"/>
        <v>0.22745333333333334</v>
      </c>
      <c r="R36" s="73">
        <f t="shared" si="3"/>
        <v>284.31666666666666</v>
      </c>
      <c r="S36" s="75">
        <f>IFERROR(VLOOKUP(A36,'PAR 21'!$A$3:$B$85,2,FALSE),0)</f>
        <v>15000</v>
      </c>
      <c r="T36" s="79">
        <f t="shared" si="4"/>
        <v>1250</v>
      </c>
    </row>
    <row r="37" spans="1:20" s="4" customFormat="1" ht="15" customHeight="1" x14ac:dyDescent="0.25">
      <c r="A37" s="164">
        <v>33903035</v>
      </c>
      <c r="B37" s="94" t="s">
        <v>53</v>
      </c>
      <c r="C37" s="95">
        <v>7950</v>
      </c>
      <c r="D37" s="95">
        <v>9564.5</v>
      </c>
      <c r="E37" s="95">
        <v>14488.62</v>
      </c>
      <c r="F37" s="95">
        <v>33571.599999999999</v>
      </c>
      <c r="G37" s="95">
        <v>15023.26</v>
      </c>
      <c r="H37" s="24">
        <v>29801.759999999998</v>
      </c>
      <c r="I37" s="24">
        <v>13667.6</v>
      </c>
      <c r="J37" s="24">
        <v>38521.9</v>
      </c>
      <c r="K37" s="24">
        <v>36979.760000000002</v>
      </c>
      <c r="L37" s="24">
        <v>13466.92</v>
      </c>
      <c r="M37" s="24">
        <v>26083</v>
      </c>
      <c r="N37" s="24">
        <v>43307.16</v>
      </c>
      <c r="O37" s="25">
        <f t="shared" ref="O37:O62" si="7">SUM(C37:N37)</f>
        <v>282426.08</v>
      </c>
      <c r="P37" s="74">
        <f t="shared" ref="P37:P62" si="8">O37/$O$15</f>
        <v>3.4742717645183207E-3</v>
      </c>
      <c r="Q37" s="77">
        <f t="shared" si="6"/>
        <v>1.2286308234833707</v>
      </c>
      <c r="R37" s="75">
        <f t="shared" ref="R37:R62" si="9">AVERAGE(C37:N37)</f>
        <v>23535.506666666668</v>
      </c>
      <c r="S37" s="75">
        <f>IFERROR(VLOOKUP(A37,'PAR 21'!$A$3:$B$85,2,FALSE),0)</f>
        <v>229870.58</v>
      </c>
      <c r="T37" s="79">
        <f t="shared" si="4"/>
        <v>19155.881666666664</v>
      </c>
    </row>
    <row r="38" spans="1:20" ht="15" customHeight="1" x14ac:dyDescent="0.25">
      <c r="A38" s="164">
        <v>33903036</v>
      </c>
      <c r="B38" s="94" t="s">
        <v>54</v>
      </c>
      <c r="C38" s="95">
        <v>135506.59</v>
      </c>
      <c r="D38" s="95">
        <v>341435.6</v>
      </c>
      <c r="E38" s="14">
        <v>987651.58</v>
      </c>
      <c r="F38" s="14">
        <v>744069.3</v>
      </c>
      <c r="G38" s="14">
        <v>926456.8</v>
      </c>
      <c r="H38" s="14">
        <v>741137.28</v>
      </c>
      <c r="I38" s="14">
        <v>841130.26</v>
      </c>
      <c r="J38" s="14">
        <v>1161758.6100000001</v>
      </c>
      <c r="K38" s="14">
        <v>836603.16</v>
      </c>
      <c r="L38" s="14">
        <v>549037.09</v>
      </c>
      <c r="M38" s="14">
        <v>1517600.22</v>
      </c>
      <c r="N38" s="14">
        <v>1234197.7</v>
      </c>
      <c r="O38" s="25">
        <f t="shared" si="7"/>
        <v>10016584.189999999</v>
      </c>
      <c r="P38" s="74">
        <f t="shared" si="8"/>
        <v>0.12321927078489922</v>
      </c>
      <c r="Q38" s="77">
        <f t="shared" si="6"/>
        <v>0.9715912491800397</v>
      </c>
      <c r="R38" s="75">
        <f t="shared" si="9"/>
        <v>834715.34916666662</v>
      </c>
      <c r="S38" s="75">
        <f>IFERROR(VLOOKUP(A38,'PAR 21'!$A$3:$B$85,2,FALSE),0)</f>
        <v>10309463.16</v>
      </c>
      <c r="T38" s="79">
        <f t="shared" si="4"/>
        <v>859121.93</v>
      </c>
    </row>
    <row r="39" spans="1:20" ht="15" customHeight="1" x14ac:dyDescent="0.25">
      <c r="A39" s="164">
        <v>33903039</v>
      </c>
      <c r="B39" s="94" t="s">
        <v>178</v>
      </c>
      <c r="C39" s="95">
        <v>0</v>
      </c>
      <c r="D39" s="95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25">
        <f t="shared" si="7"/>
        <v>0</v>
      </c>
      <c r="P39" s="74">
        <f t="shared" si="8"/>
        <v>0</v>
      </c>
      <c r="Q39" s="77">
        <f t="shared" si="6"/>
        <v>0</v>
      </c>
      <c r="R39" s="75">
        <f t="shared" si="9"/>
        <v>0</v>
      </c>
      <c r="S39" s="75">
        <f>IFERROR(VLOOKUP(A39,'PAR 21'!$A$3:$B$85,2,FALSE),0)</f>
        <v>0</v>
      </c>
      <c r="T39" s="79">
        <f t="shared" si="4"/>
        <v>0</v>
      </c>
    </row>
    <row r="40" spans="1:20" ht="15" customHeight="1" x14ac:dyDescent="0.25">
      <c r="A40" s="164">
        <v>33903040</v>
      </c>
      <c r="B40" s="94" t="s">
        <v>55</v>
      </c>
      <c r="C40" s="95">
        <v>0</v>
      </c>
      <c r="D40" s="95">
        <v>0</v>
      </c>
      <c r="E40" s="14">
        <v>10375</v>
      </c>
      <c r="F40" s="14">
        <v>16600</v>
      </c>
      <c r="G40" s="14">
        <v>20750</v>
      </c>
      <c r="H40" s="14">
        <v>20750</v>
      </c>
      <c r="I40" s="14">
        <v>16600</v>
      </c>
      <c r="J40" s="14">
        <v>14525</v>
      </c>
      <c r="K40" s="14">
        <v>16600</v>
      </c>
      <c r="L40" s="14">
        <v>37350</v>
      </c>
      <c r="M40" s="14">
        <v>0</v>
      </c>
      <c r="N40" s="14">
        <v>0</v>
      </c>
      <c r="O40" s="25">
        <f t="shared" si="7"/>
        <v>153550</v>
      </c>
      <c r="P40" s="74">
        <f t="shared" si="8"/>
        <v>1.8888993163867448E-3</v>
      </c>
      <c r="Q40" s="77">
        <f t="shared" si="6"/>
        <v>0.77631429935043395</v>
      </c>
      <c r="R40" s="75">
        <f t="shared" si="9"/>
        <v>12795.833333333334</v>
      </c>
      <c r="S40" s="75">
        <f>IFERROR(VLOOKUP(A40,'PAR 21'!$A$3:$B$85,2,FALSE),0)</f>
        <v>197793.6</v>
      </c>
      <c r="T40" s="79">
        <f t="shared" si="4"/>
        <v>16482.8</v>
      </c>
    </row>
    <row r="41" spans="1:20" ht="15" customHeight="1" x14ac:dyDescent="0.25">
      <c r="A41" s="164">
        <v>33903042</v>
      </c>
      <c r="B41" s="94" t="s">
        <v>56</v>
      </c>
      <c r="C41" s="95">
        <v>0</v>
      </c>
      <c r="D41" s="95">
        <v>0</v>
      </c>
      <c r="E41" s="14">
        <v>20.48</v>
      </c>
      <c r="F41" s="14">
        <v>133.5</v>
      </c>
      <c r="G41" s="14">
        <v>0</v>
      </c>
      <c r="H41" s="14">
        <v>287.95</v>
      </c>
      <c r="I41" s="14">
        <v>704.48</v>
      </c>
      <c r="J41" s="14">
        <v>655.1</v>
      </c>
      <c r="K41" s="14">
        <v>339.92</v>
      </c>
      <c r="L41" s="14">
        <v>280.31</v>
      </c>
      <c r="M41" s="14">
        <v>94</v>
      </c>
      <c r="N41" s="14">
        <v>317.47000000000003</v>
      </c>
      <c r="O41" s="25">
        <f t="shared" si="7"/>
        <v>2833.21</v>
      </c>
      <c r="P41" s="74">
        <f t="shared" si="8"/>
        <v>3.4852806461609181E-5</v>
      </c>
      <c r="Q41" s="77">
        <f t="shared" si="6"/>
        <v>0.54660878792263545</v>
      </c>
      <c r="R41" s="75">
        <f t="shared" si="9"/>
        <v>236.10083333333333</v>
      </c>
      <c r="S41" s="75">
        <f>IFERROR(VLOOKUP(A41,'PAR 21'!$A$3:$B$85,2,FALSE),0)</f>
        <v>5183.25</v>
      </c>
      <c r="T41" s="79">
        <f t="shared" si="4"/>
        <v>431.9375</v>
      </c>
    </row>
    <row r="42" spans="1:20" ht="15" customHeight="1" x14ac:dyDescent="0.25">
      <c r="A42" s="164">
        <v>33903050</v>
      </c>
      <c r="B42" s="94" t="s">
        <v>179</v>
      </c>
      <c r="C42" s="95">
        <v>0</v>
      </c>
      <c r="D42" s="95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25">
        <f t="shared" si="7"/>
        <v>0</v>
      </c>
      <c r="P42" s="74">
        <f t="shared" si="8"/>
        <v>0</v>
      </c>
      <c r="Q42" s="77">
        <f t="shared" si="6"/>
        <v>0</v>
      </c>
      <c r="R42" s="75">
        <f t="shared" si="9"/>
        <v>0</v>
      </c>
      <c r="S42" s="75">
        <f>IFERROR(VLOOKUP(A42,'PAR 21'!$A$3:$B$85,2,FALSE),0)</f>
        <v>0</v>
      </c>
      <c r="T42" s="79">
        <f t="shared" si="4"/>
        <v>0</v>
      </c>
    </row>
    <row r="43" spans="1:20" ht="15" customHeight="1" x14ac:dyDescent="0.25">
      <c r="A43" s="164">
        <v>33903096</v>
      </c>
      <c r="B43" s="94" t="s">
        <v>57</v>
      </c>
      <c r="C43" s="95">
        <v>9000</v>
      </c>
      <c r="D43" s="95">
        <v>0</v>
      </c>
      <c r="E43" s="14">
        <v>0</v>
      </c>
      <c r="F43" s="14">
        <v>4000</v>
      </c>
      <c r="G43" s="14">
        <v>1000</v>
      </c>
      <c r="H43" s="14">
        <v>-5000</v>
      </c>
      <c r="I43" s="14">
        <v>6000</v>
      </c>
      <c r="J43" s="14">
        <v>-3000</v>
      </c>
      <c r="K43" s="14">
        <v>0</v>
      </c>
      <c r="L43" s="14">
        <v>8000</v>
      </c>
      <c r="M43" s="14">
        <v>18.62</v>
      </c>
      <c r="N43" s="14">
        <v>-20018.62</v>
      </c>
      <c r="O43" s="25">
        <f t="shared" si="7"/>
        <v>0</v>
      </c>
      <c r="P43" s="74">
        <f t="shared" si="8"/>
        <v>0</v>
      </c>
      <c r="Q43" s="77">
        <f t="shared" si="6"/>
        <v>0</v>
      </c>
      <c r="R43" s="75">
        <f t="shared" si="9"/>
        <v>0</v>
      </c>
      <c r="S43" s="75">
        <f>IFERROR(VLOOKUP(A43,'PAR 21'!$A$3:$B$85,2,FALSE),0)</f>
        <v>0</v>
      </c>
      <c r="T43" s="79">
        <f t="shared" si="4"/>
        <v>0</v>
      </c>
    </row>
    <row r="44" spans="1:20" ht="15" customHeight="1" x14ac:dyDescent="0.25">
      <c r="A44" s="164">
        <v>33903628</v>
      </c>
      <c r="B44" s="94" t="s">
        <v>188</v>
      </c>
      <c r="C44" s="95">
        <v>0</v>
      </c>
      <c r="D44" s="95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4816.32</v>
      </c>
      <c r="O44" s="25">
        <f t="shared" si="7"/>
        <v>4816.32</v>
      </c>
      <c r="P44" s="74">
        <f t="shared" si="8"/>
        <v>5.9248085675674413E-5</v>
      </c>
      <c r="Q44" s="77">
        <f t="shared" si="6"/>
        <v>0</v>
      </c>
      <c r="R44" s="75">
        <f t="shared" si="9"/>
        <v>401.35999999999996</v>
      </c>
      <c r="S44" s="75">
        <f>IFERROR(VLOOKUP(A44,'PAR 21'!$A$3:$B$85,2,FALSE),0)</f>
        <v>0</v>
      </c>
      <c r="T44" s="79">
        <f t="shared" si="4"/>
        <v>0</v>
      </c>
    </row>
    <row r="45" spans="1:20" ht="15" customHeight="1" x14ac:dyDescent="0.25">
      <c r="A45" s="164">
        <v>33903701</v>
      </c>
      <c r="B45" s="94" t="s">
        <v>58</v>
      </c>
      <c r="C45" s="95">
        <v>0</v>
      </c>
      <c r="D45" s="95">
        <v>352718.55</v>
      </c>
      <c r="E45" s="14">
        <v>260653.72</v>
      </c>
      <c r="F45" s="14">
        <v>376414.8</v>
      </c>
      <c r="G45" s="14">
        <v>662510.73</v>
      </c>
      <c r="H45" s="14">
        <v>152376.54</v>
      </c>
      <c r="I45" s="14">
        <v>423148.02</v>
      </c>
      <c r="J45" s="14">
        <v>349283.61</v>
      </c>
      <c r="K45" s="14">
        <v>808831.83</v>
      </c>
      <c r="L45" s="14">
        <v>204049.75</v>
      </c>
      <c r="M45" s="14">
        <v>683552.23</v>
      </c>
      <c r="N45" s="14">
        <v>1040057.85</v>
      </c>
      <c r="O45" s="25">
        <f t="shared" si="7"/>
        <v>5313597.63</v>
      </c>
      <c r="P45" s="74">
        <f t="shared" si="8"/>
        <v>6.536535936738018E-2</v>
      </c>
      <c r="Q45" s="77">
        <f t="shared" si="6"/>
        <v>1.3654493058544708</v>
      </c>
      <c r="R45" s="75">
        <f t="shared" si="9"/>
        <v>442799.80249999999</v>
      </c>
      <c r="S45" s="75">
        <f>IFERROR(VLOOKUP(A45,'PAR 21'!$A$3:$B$85,2,FALSE),0)</f>
        <v>3891464.5950000002</v>
      </c>
      <c r="T45" s="79">
        <f t="shared" si="4"/>
        <v>324288.71625</v>
      </c>
    </row>
    <row r="46" spans="1:20" ht="15" customHeight="1" x14ac:dyDescent="0.25">
      <c r="A46" s="164">
        <v>33903702</v>
      </c>
      <c r="B46" s="94" t="s">
        <v>59</v>
      </c>
      <c r="C46" s="95">
        <v>0</v>
      </c>
      <c r="D46" s="95">
        <v>541565.43999999994</v>
      </c>
      <c r="E46" s="14">
        <v>55489.69</v>
      </c>
      <c r="F46" s="14">
        <v>554896.9</v>
      </c>
      <c r="G46" s="14">
        <v>1404223.96</v>
      </c>
      <c r="H46" s="14">
        <v>-148369.14000000001</v>
      </c>
      <c r="I46" s="14">
        <v>137927.07999999999</v>
      </c>
      <c r="J46" s="14">
        <v>737212.65</v>
      </c>
      <c r="K46" s="14">
        <v>1082001.74</v>
      </c>
      <c r="L46" s="14">
        <v>56335.3</v>
      </c>
      <c r="M46" s="14">
        <v>554896.9</v>
      </c>
      <c r="N46" s="14">
        <v>1073050.32</v>
      </c>
      <c r="O46" s="25">
        <f t="shared" si="7"/>
        <v>6049230.8399999999</v>
      </c>
      <c r="P46" s="74">
        <f t="shared" si="8"/>
        <v>7.441477042228338E-2</v>
      </c>
      <c r="Q46" s="77">
        <f t="shared" si="6"/>
        <v>1.0849655345959597</v>
      </c>
      <c r="R46" s="75">
        <f t="shared" si="9"/>
        <v>504102.57</v>
      </c>
      <c r="S46" s="75">
        <f>IFERROR(VLOOKUP(A46,'PAR 21'!$A$3:$B$85,2,FALSE),0)</f>
        <v>5575505.0710000005</v>
      </c>
      <c r="T46" s="79">
        <f t="shared" si="4"/>
        <v>464625.42258333339</v>
      </c>
    </row>
    <row r="47" spans="1:20" ht="15" customHeight="1" x14ac:dyDescent="0.25">
      <c r="A47" s="164">
        <v>33903703</v>
      </c>
      <c r="B47" s="94" t="s">
        <v>60</v>
      </c>
      <c r="C47" s="95">
        <v>0</v>
      </c>
      <c r="D47" s="95">
        <v>198664.08</v>
      </c>
      <c r="E47" s="14">
        <v>251979.74</v>
      </c>
      <c r="F47" s="14">
        <v>198664.08</v>
      </c>
      <c r="G47" s="14">
        <v>378023.39</v>
      </c>
      <c r="H47" s="14">
        <v>0</v>
      </c>
      <c r="I47" s="14">
        <v>142796.72</v>
      </c>
      <c r="J47" s="14">
        <v>0</v>
      </c>
      <c r="K47" s="14">
        <v>285593.44</v>
      </c>
      <c r="L47" s="14">
        <v>0</v>
      </c>
      <c r="M47" s="14">
        <v>119734.23</v>
      </c>
      <c r="N47" s="14">
        <v>142796.72</v>
      </c>
      <c r="O47" s="25">
        <f t="shared" si="7"/>
        <v>1718252.4</v>
      </c>
      <c r="P47" s="74">
        <f t="shared" si="8"/>
        <v>2.1137126562942907E-2</v>
      </c>
      <c r="Q47" s="77">
        <f t="shared" si="6"/>
        <v>1.0323435284071252</v>
      </c>
      <c r="R47" s="75">
        <f t="shared" si="9"/>
        <v>143187.69999999998</v>
      </c>
      <c r="S47" s="75">
        <f>IFERROR(VLOOKUP(A47,'PAR 21'!$A$3:$B$85,2,FALSE),0)</f>
        <v>1664419.21</v>
      </c>
      <c r="T47" s="79">
        <f t="shared" si="4"/>
        <v>138701.60083333333</v>
      </c>
    </row>
    <row r="48" spans="1:20" ht="15" customHeight="1" x14ac:dyDescent="0.25">
      <c r="A48" s="164">
        <v>33903704</v>
      </c>
      <c r="B48" s="94" t="s">
        <v>61</v>
      </c>
      <c r="C48" s="95">
        <v>0</v>
      </c>
      <c r="D48" s="95">
        <v>228115.33</v>
      </c>
      <c r="E48" s="14">
        <v>220059.09</v>
      </c>
      <c r="F48" s="14">
        <v>220059.09</v>
      </c>
      <c r="G48" s="14">
        <v>440118.18</v>
      </c>
      <c r="H48" s="14">
        <v>0</v>
      </c>
      <c r="I48" s="14">
        <v>255582.87</v>
      </c>
      <c r="J48" s="14">
        <v>220059.09</v>
      </c>
      <c r="K48" s="14">
        <v>440118.18</v>
      </c>
      <c r="L48" s="14">
        <v>4307.2700000000004</v>
      </c>
      <c r="M48" s="14">
        <v>179403.4</v>
      </c>
      <c r="N48" s="14">
        <v>447295.74</v>
      </c>
      <c r="O48" s="25">
        <f t="shared" si="7"/>
        <v>2655118.2400000002</v>
      </c>
      <c r="P48" s="74">
        <f t="shared" si="8"/>
        <v>3.2662006046642642E-2</v>
      </c>
      <c r="Q48" s="77">
        <f t="shared" si="6"/>
        <v>1.1451794028785944</v>
      </c>
      <c r="R48" s="75">
        <f t="shared" si="9"/>
        <v>221259.85333333336</v>
      </c>
      <c r="S48" s="75">
        <f>IFERROR(VLOOKUP(A48,'PAR 21'!$A$3:$B$85,2,FALSE),0)</f>
        <v>2318517.2850000001</v>
      </c>
      <c r="T48" s="79">
        <f t="shared" si="4"/>
        <v>193209.77375000002</v>
      </c>
    </row>
    <row r="49" spans="1:20" ht="15" customHeight="1" x14ac:dyDescent="0.25">
      <c r="A49" s="164">
        <v>33903705</v>
      </c>
      <c r="B49" s="94" t="s">
        <v>62</v>
      </c>
      <c r="C49" s="95">
        <v>0</v>
      </c>
      <c r="D49" s="95">
        <v>202362.91</v>
      </c>
      <c r="E49" s="14">
        <v>189180.47</v>
      </c>
      <c r="F49" s="14">
        <v>189180.47</v>
      </c>
      <c r="G49" s="14">
        <v>481539.98</v>
      </c>
      <c r="H49" s="14">
        <v>0</v>
      </c>
      <c r="I49" s="14">
        <v>208933.02</v>
      </c>
      <c r="J49" s="14">
        <v>208933.02</v>
      </c>
      <c r="K49" s="14">
        <v>222618.08</v>
      </c>
      <c r="L49" s="14">
        <v>149620.44</v>
      </c>
      <c r="M49" s="14">
        <v>208933.02</v>
      </c>
      <c r="N49" s="14">
        <v>496138.14</v>
      </c>
      <c r="O49" s="25">
        <f t="shared" si="7"/>
        <v>2557439.5500000003</v>
      </c>
      <c r="P49" s="74">
        <f t="shared" si="8"/>
        <v>3.1460409102542657E-2</v>
      </c>
      <c r="Q49" s="77">
        <f t="shared" si="6"/>
        <v>1.256068215733819</v>
      </c>
      <c r="R49" s="75">
        <f t="shared" si="9"/>
        <v>213119.96250000002</v>
      </c>
      <c r="S49" s="75">
        <f>IFERROR(VLOOKUP(A49,'PAR 21'!$A$3:$B$85,2,FALSE),0)</f>
        <v>2036067.4029999999</v>
      </c>
      <c r="T49" s="79">
        <f t="shared" si="4"/>
        <v>169672.28358333334</v>
      </c>
    </row>
    <row r="50" spans="1:20" ht="15" customHeight="1" x14ac:dyDescent="0.25">
      <c r="A50" s="164">
        <v>33903706</v>
      </c>
      <c r="B50" s="94" t="s">
        <v>63</v>
      </c>
      <c r="C50" s="95">
        <v>0</v>
      </c>
      <c r="D50" s="95">
        <v>68387.48</v>
      </c>
      <c r="E50" s="14">
        <v>68387.48</v>
      </c>
      <c r="F50" s="14">
        <v>68306.48</v>
      </c>
      <c r="G50" s="14">
        <v>136720.95999999999</v>
      </c>
      <c r="H50" s="14">
        <v>0</v>
      </c>
      <c r="I50" s="14">
        <v>27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25">
        <f t="shared" si="7"/>
        <v>341829.4</v>
      </c>
      <c r="P50" s="74">
        <f t="shared" si="8"/>
        <v>4.2050232496313334E-3</v>
      </c>
      <c r="Q50" s="77">
        <f t="shared" si="6"/>
        <v>0.49698476330147301</v>
      </c>
      <c r="R50" s="75">
        <f t="shared" si="9"/>
        <v>28485.783333333336</v>
      </c>
      <c r="S50" s="75">
        <f>IFERROR(VLOOKUP(A50,'PAR 21'!$A$3:$B$85,2,FALSE),0)</f>
        <v>687806.59939999995</v>
      </c>
      <c r="T50" s="79">
        <f t="shared" si="4"/>
        <v>57317.216616666665</v>
      </c>
    </row>
    <row r="51" spans="1:20" ht="15" customHeight="1" x14ac:dyDescent="0.25">
      <c r="A51" s="164">
        <v>33903901</v>
      </c>
      <c r="B51" s="94" t="s">
        <v>185</v>
      </c>
      <c r="C51" s="95">
        <v>0</v>
      </c>
      <c r="D51" s="95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26100</v>
      </c>
      <c r="N51" s="14">
        <v>0</v>
      </c>
      <c r="O51" s="25">
        <f t="shared" si="7"/>
        <v>26100</v>
      </c>
      <c r="P51" s="74">
        <f t="shared" si="8"/>
        <v>3.2106982844476743E-4</v>
      </c>
      <c r="Q51" s="77">
        <f t="shared" si="6"/>
        <v>0</v>
      </c>
      <c r="R51" s="75">
        <f t="shared" si="9"/>
        <v>2175</v>
      </c>
      <c r="S51" s="75">
        <f>IFERROR(VLOOKUP(A51,'PAR 21'!$A$3:$B$85,2,FALSE),0)</f>
        <v>0</v>
      </c>
      <c r="T51" s="79">
        <f t="shared" si="4"/>
        <v>0</v>
      </c>
    </row>
    <row r="52" spans="1:20" ht="15" customHeight="1" x14ac:dyDescent="0.25">
      <c r="A52" s="164">
        <v>33903905</v>
      </c>
      <c r="B52" s="94" t="s">
        <v>154</v>
      </c>
      <c r="C52" s="95">
        <v>0</v>
      </c>
      <c r="D52" s="95">
        <v>0</v>
      </c>
      <c r="E52" s="14">
        <v>0</v>
      </c>
      <c r="F52" s="14">
        <v>0</v>
      </c>
      <c r="G52" s="14">
        <v>3662.4</v>
      </c>
      <c r="H52" s="14">
        <v>0</v>
      </c>
      <c r="I52" s="14">
        <v>0</v>
      </c>
      <c r="J52" s="14">
        <v>0</v>
      </c>
      <c r="K52" s="14">
        <v>0</v>
      </c>
      <c r="L52" s="14">
        <v>14750</v>
      </c>
      <c r="M52" s="14">
        <v>24000</v>
      </c>
      <c r="N52" s="14">
        <v>0</v>
      </c>
      <c r="O52" s="25">
        <f t="shared" si="7"/>
        <v>42412.4</v>
      </c>
      <c r="P52" s="74">
        <f t="shared" si="8"/>
        <v>5.2173724107014766E-4</v>
      </c>
      <c r="Q52" s="77">
        <f t="shared" si="6"/>
        <v>0.24355241923475371</v>
      </c>
      <c r="R52" s="75">
        <f t="shared" si="9"/>
        <v>3534.3666666666668</v>
      </c>
      <c r="S52" s="75">
        <f>IFERROR(VLOOKUP(A52,'PAR 21'!$A$3:$B$85,2,FALSE),0)</f>
        <v>174140.74609999999</v>
      </c>
      <c r="T52" s="79">
        <f t="shared" si="4"/>
        <v>14511.728841666665</v>
      </c>
    </row>
    <row r="53" spans="1:20" ht="15" customHeight="1" x14ac:dyDescent="0.25">
      <c r="A53" s="164">
        <v>33903907</v>
      </c>
      <c r="B53" s="94" t="s">
        <v>180</v>
      </c>
      <c r="C53" s="95">
        <v>0</v>
      </c>
      <c r="D53" s="95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25">
        <f t="shared" si="7"/>
        <v>0</v>
      </c>
      <c r="P53" s="74">
        <f t="shared" si="8"/>
        <v>0</v>
      </c>
      <c r="Q53" s="77">
        <f t="shared" si="6"/>
        <v>0</v>
      </c>
      <c r="R53" s="75">
        <f t="shared" si="9"/>
        <v>0</v>
      </c>
      <c r="S53" s="75">
        <f>IFERROR(VLOOKUP(A53,'PAR 21'!$A$3:$B$85,2,FALSE),0)</f>
        <v>0</v>
      </c>
      <c r="T53" s="79">
        <f t="shared" si="4"/>
        <v>0</v>
      </c>
    </row>
    <row r="54" spans="1:20" ht="15" customHeight="1" x14ac:dyDescent="0.25">
      <c r="A54" s="164">
        <v>33903912</v>
      </c>
      <c r="B54" s="94" t="s">
        <v>64</v>
      </c>
      <c r="C54" s="95">
        <v>0</v>
      </c>
      <c r="D54" s="95">
        <v>91897.85</v>
      </c>
      <c r="E54" s="14">
        <v>55386.83</v>
      </c>
      <c r="F54" s="14">
        <v>10559.61</v>
      </c>
      <c r="G54" s="14">
        <v>23158.97</v>
      </c>
      <c r="H54" s="14">
        <v>0</v>
      </c>
      <c r="I54" s="14">
        <v>10096.83</v>
      </c>
      <c r="J54" s="14">
        <v>39686.83</v>
      </c>
      <c r="K54" s="14">
        <v>44283.66</v>
      </c>
      <c r="L54" s="14">
        <v>0</v>
      </c>
      <c r="M54" s="14">
        <v>125276.15</v>
      </c>
      <c r="N54" s="14">
        <v>30721.83</v>
      </c>
      <c r="O54" s="25">
        <f t="shared" si="7"/>
        <v>431068.56</v>
      </c>
      <c r="P54" s="74">
        <f t="shared" si="8"/>
        <v>5.3028010960587332E-3</v>
      </c>
      <c r="Q54" s="77">
        <f t="shared" si="6"/>
        <v>1.641784735452174</v>
      </c>
      <c r="R54" s="75">
        <f t="shared" si="9"/>
        <v>35922.379999999997</v>
      </c>
      <c r="S54" s="75">
        <f>IFERROR(VLOOKUP(A54,'PAR 21'!$A$3:$B$85,2,FALSE),0)</f>
        <v>262560.95010000002</v>
      </c>
      <c r="T54" s="79">
        <f t="shared" si="4"/>
        <v>21880.079175000003</v>
      </c>
    </row>
    <row r="55" spans="1:20" ht="15" customHeight="1" x14ac:dyDescent="0.25">
      <c r="A55" s="164">
        <v>33903916</v>
      </c>
      <c r="B55" s="94" t="s">
        <v>65</v>
      </c>
      <c r="C55" s="95">
        <v>0</v>
      </c>
      <c r="D55" s="95">
        <v>15693.12</v>
      </c>
      <c r="E55" s="14">
        <v>7436.51</v>
      </c>
      <c r="F55" s="14">
        <v>30922.93</v>
      </c>
      <c r="G55" s="14">
        <v>15693.12</v>
      </c>
      <c r="H55" s="14">
        <v>0</v>
      </c>
      <c r="I55" s="14">
        <v>7846.56</v>
      </c>
      <c r="J55" s="14">
        <v>12875.56</v>
      </c>
      <c r="K55" s="14">
        <v>49437.93</v>
      </c>
      <c r="L55" s="14">
        <v>107819.03</v>
      </c>
      <c r="M55" s="14">
        <v>842894.23</v>
      </c>
      <c r="N55" s="14">
        <v>238205.64</v>
      </c>
      <c r="O55" s="25">
        <f t="shared" si="7"/>
        <v>1328824.6299999999</v>
      </c>
      <c r="P55" s="74">
        <f t="shared" si="8"/>
        <v>1.6346570727482052E-2</v>
      </c>
      <c r="Q55" s="77">
        <f t="shared" si="6"/>
        <v>52.200860279923546</v>
      </c>
      <c r="R55" s="75">
        <f t="shared" si="9"/>
        <v>110735.38583333332</v>
      </c>
      <c r="S55" s="75">
        <f>IFERROR(VLOOKUP(A55,'PAR 21'!$A$3:$B$85,2,FALSE),0)</f>
        <v>25455.991010000002</v>
      </c>
      <c r="T55" s="79">
        <f t="shared" si="4"/>
        <v>2121.3325841666669</v>
      </c>
    </row>
    <row r="56" spans="1:20" ht="15" customHeight="1" x14ac:dyDescent="0.25">
      <c r="A56" s="164">
        <v>33903917</v>
      </c>
      <c r="B56" s="94" t="s">
        <v>66</v>
      </c>
      <c r="C56" s="95">
        <v>0</v>
      </c>
      <c r="D56" s="95">
        <v>163977.96</v>
      </c>
      <c r="E56" s="14">
        <v>140211.70000000001</v>
      </c>
      <c r="F56" s="14">
        <v>61688.12</v>
      </c>
      <c r="G56" s="14">
        <v>145632.76999999999</v>
      </c>
      <c r="H56" s="14">
        <v>65141.82</v>
      </c>
      <c r="I56" s="14">
        <v>127492.7</v>
      </c>
      <c r="J56" s="14">
        <v>95928.26</v>
      </c>
      <c r="K56" s="14">
        <v>168338.65</v>
      </c>
      <c r="L56" s="14">
        <v>73409.66</v>
      </c>
      <c r="M56" s="14">
        <v>73381.42</v>
      </c>
      <c r="N56" s="14">
        <v>166844.5</v>
      </c>
      <c r="O56" s="25">
        <f t="shared" si="7"/>
        <v>1282047.56</v>
      </c>
      <c r="P56" s="74">
        <f t="shared" si="8"/>
        <v>1.5771141384951445E-2</v>
      </c>
      <c r="Q56" s="77">
        <f t="shared" si="6"/>
        <v>1.2697511162344823</v>
      </c>
      <c r="R56" s="75">
        <f t="shared" si="9"/>
        <v>106837.29666666668</v>
      </c>
      <c r="S56" s="75">
        <f>IFERROR(VLOOKUP(A56,'PAR 21'!$A$3:$B$85,2,FALSE),0)</f>
        <v>1009684.137</v>
      </c>
      <c r="T56" s="79">
        <f t="shared" si="4"/>
        <v>84140.344750000004</v>
      </c>
    </row>
    <row r="57" spans="1:20" ht="15" customHeight="1" x14ac:dyDescent="0.25">
      <c r="A57" s="164">
        <v>33903919</v>
      </c>
      <c r="B57" s="94" t="s">
        <v>67</v>
      </c>
      <c r="C57" s="95">
        <v>788</v>
      </c>
      <c r="D57" s="95">
        <v>0</v>
      </c>
      <c r="E57" s="14">
        <v>0</v>
      </c>
      <c r="F57" s="14">
        <v>0</v>
      </c>
      <c r="G57" s="14">
        <v>12684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12684</v>
      </c>
      <c r="N57" s="14">
        <v>144.5</v>
      </c>
      <c r="O57" s="25">
        <f t="shared" si="7"/>
        <v>26300.5</v>
      </c>
      <c r="P57" s="74">
        <f t="shared" si="8"/>
        <v>3.2353628440657492E-4</v>
      </c>
      <c r="Q57" s="77">
        <f t="shared" si="6"/>
        <v>0</v>
      </c>
      <c r="R57" s="75">
        <f t="shared" si="9"/>
        <v>2191.7083333333335</v>
      </c>
      <c r="S57" s="75">
        <f>IFERROR(VLOOKUP(A57,'PAR 21'!$A$3:$B$85,2,FALSE),0)</f>
        <v>0</v>
      </c>
      <c r="T57" s="79">
        <f t="shared" si="4"/>
        <v>0</v>
      </c>
    </row>
    <row r="58" spans="1:20" ht="15" customHeight="1" x14ac:dyDescent="0.25">
      <c r="A58" s="164">
        <v>33903924</v>
      </c>
      <c r="B58" s="94" t="s">
        <v>181</v>
      </c>
      <c r="C58" s="95">
        <v>0</v>
      </c>
      <c r="D58" s="95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25">
        <f t="shared" si="7"/>
        <v>0</v>
      </c>
      <c r="P58" s="74">
        <f t="shared" si="8"/>
        <v>0</v>
      </c>
      <c r="Q58" s="77">
        <f t="shared" si="6"/>
        <v>0</v>
      </c>
      <c r="R58" s="75">
        <f t="shared" si="9"/>
        <v>0</v>
      </c>
      <c r="S58" s="75">
        <f>IFERROR(VLOOKUP(A58,'PAR 21'!$A$3:$B$85,2,FALSE),0)</f>
        <v>0</v>
      </c>
      <c r="T58" s="79">
        <f t="shared" si="4"/>
        <v>0</v>
      </c>
    </row>
    <row r="59" spans="1:20" ht="15" customHeight="1" x14ac:dyDescent="0.25">
      <c r="A59" s="164">
        <v>33903925</v>
      </c>
      <c r="B59" s="94" t="s">
        <v>68</v>
      </c>
      <c r="C59" s="95">
        <v>0</v>
      </c>
      <c r="D59" s="95">
        <v>2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2</v>
      </c>
      <c r="K59" s="14">
        <v>0</v>
      </c>
      <c r="L59" s="14">
        <v>0</v>
      </c>
      <c r="M59" s="14">
        <v>0</v>
      </c>
      <c r="N59" s="14">
        <v>-0.01</v>
      </c>
      <c r="O59" s="25">
        <f t="shared" si="7"/>
        <v>3.99</v>
      </c>
      <c r="P59" s="74">
        <f t="shared" si="8"/>
        <v>4.9083088716269045E-8</v>
      </c>
      <c r="Q59" s="77">
        <f t="shared" si="6"/>
        <v>0</v>
      </c>
      <c r="R59" s="75">
        <f t="shared" si="9"/>
        <v>0.33250000000000002</v>
      </c>
      <c r="S59" s="75">
        <f>IFERROR(VLOOKUP(A59,'PAR 21'!$A$3:$B$85,2,FALSE),0)</f>
        <v>0</v>
      </c>
      <c r="T59" s="79">
        <f t="shared" si="4"/>
        <v>0</v>
      </c>
    </row>
    <row r="60" spans="1:20" ht="15" customHeight="1" x14ac:dyDescent="0.25">
      <c r="A60" s="164">
        <v>33903936</v>
      </c>
      <c r="B60" s="94" t="s">
        <v>164</v>
      </c>
      <c r="C60" s="95">
        <v>0</v>
      </c>
      <c r="D60" s="95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25">
        <f t="shared" si="7"/>
        <v>0</v>
      </c>
      <c r="P60" s="74">
        <f t="shared" si="8"/>
        <v>0</v>
      </c>
      <c r="Q60" s="77">
        <f t="shared" si="6"/>
        <v>0</v>
      </c>
      <c r="R60" s="75">
        <f t="shared" si="9"/>
        <v>0</v>
      </c>
      <c r="S60" s="75">
        <f>IFERROR(VLOOKUP(A60,'PAR 21'!$A$3:$B$85,2,FALSE),0)</f>
        <v>0</v>
      </c>
      <c r="T60" s="79">
        <f t="shared" si="4"/>
        <v>0</v>
      </c>
    </row>
    <row r="61" spans="1:20" ht="15" customHeight="1" x14ac:dyDescent="0.25">
      <c r="A61" s="164">
        <v>33903939</v>
      </c>
      <c r="B61" s="94" t="s">
        <v>168</v>
      </c>
      <c r="C61" s="95">
        <v>0</v>
      </c>
      <c r="D61" s="95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25">
        <f t="shared" si="7"/>
        <v>0</v>
      </c>
      <c r="P61" s="74">
        <f t="shared" si="8"/>
        <v>0</v>
      </c>
      <c r="Q61" s="77">
        <f t="shared" si="6"/>
        <v>0</v>
      </c>
      <c r="R61" s="75">
        <f t="shared" si="9"/>
        <v>0</v>
      </c>
      <c r="S61" s="75">
        <f>IFERROR(VLOOKUP(A61,'PAR 21'!$A$3:$B$85,2,FALSE),0)</f>
        <v>0</v>
      </c>
      <c r="T61" s="79">
        <f t="shared" si="4"/>
        <v>0</v>
      </c>
    </row>
    <row r="62" spans="1:20" ht="15" customHeight="1" x14ac:dyDescent="0.25">
      <c r="A62" s="164">
        <v>33903943</v>
      </c>
      <c r="B62" s="94" t="s">
        <v>69</v>
      </c>
      <c r="C62" s="95">
        <v>0</v>
      </c>
      <c r="D62" s="95">
        <v>269850.5</v>
      </c>
      <c r="E62" s="14">
        <v>372231.65</v>
      </c>
      <c r="F62" s="14">
        <v>461897.43</v>
      </c>
      <c r="G62" s="14">
        <v>375000</v>
      </c>
      <c r="H62" s="14">
        <v>0</v>
      </c>
      <c r="I62" s="14">
        <v>675124.49</v>
      </c>
      <c r="J62" s="14">
        <v>342379.82</v>
      </c>
      <c r="K62" s="14">
        <v>389074.07</v>
      </c>
      <c r="L62" s="14">
        <v>377207.1</v>
      </c>
      <c r="M62" s="14">
        <v>408381.95</v>
      </c>
      <c r="N62" s="14">
        <v>1066222.26</v>
      </c>
      <c r="O62" s="25">
        <f t="shared" si="7"/>
        <v>4737369.2700000005</v>
      </c>
      <c r="P62" s="74">
        <f t="shared" si="8"/>
        <v>5.8276871218330008E-2</v>
      </c>
      <c r="Q62" s="77">
        <f t="shared" si="6"/>
        <v>1.308244292066604</v>
      </c>
      <c r="R62" s="75">
        <f t="shared" si="9"/>
        <v>394780.77250000002</v>
      </c>
      <c r="S62" s="75">
        <f>IFERROR(VLOOKUP(A62,'PAR 21'!$A$3:$B$85,2,FALSE),0)</f>
        <v>3621165.6329999999</v>
      </c>
      <c r="T62" s="79">
        <f t="shared" si="4"/>
        <v>301763.80274999997</v>
      </c>
    </row>
    <row r="63" spans="1:20" ht="15" customHeight="1" x14ac:dyDescent="0.25">
      <c r="A63" s="164">
        <v>33903944</v>
      </c>
      <c r="B63" s="94" t="s">
        <v>70</v>
      </c>
      <c r="C63" s="95">
        <v>0</v>
      </c>
      <c r="D63" s="95">
        <v>0</v>
      </c>
      <c r="E63" s="14">
        <v>6475.09</v>
      </c>
      <c r="F63" s="14">
        <v>220931.89</v>
      </c>
      <c r="G63" s="14">
        <v>160000</v>
      </c>
      <c r="H63" s="14">
        <v>72000</v>
      </c>
      <c r="I63" s="14">
        <v>170977.91</v>
      </c>
      <c r="J63" s="14">
        <v>147870.64000000001</v>
      </c>
      <c r="K63" s="14">
        <v>155000</v>
      </c>
      <c r="L63" s="14">
        <v>83019.19</v>
      </c>
      <c r="M63" s="14">
        <v>130277.32</v>
      </c>
      <c r="N63" s="14">
        <v>286000</v>
      </c>
      <c r="O63" s="25">
        <f t="shared" ref="O63" si="10">SUM(C63:N63)</f>
        <v>1432552.04</v>
      </c>
      <c r="P63" s="74">
        <f t="shared" ref="P63" si="11">O63/$O$15</f>
        <v>1.7622576157892783E-2</v>
      </c>
      <c r="Q63" s="33">
        <f t="shared" si="6"/>
        <v>1.0348757806607982</v>
      </c>
      <c r="R63" s="75">
        <f t="shared" ref="R63" si="12">AVERAGE(C63:N63)</f>
        <v>119379.33666666667</v>
      </c>
      <c r="S63" s="75">
        <f>IFERROR(VLOOKUP(A63,'PAR 21'!$A$3:$B$85,2,FALSE),0)</f>
        <v>1384274.39</v>
      </c>
      <c r="T63" s="79">
        <f t="shared" si="4"/>
        <v>115356.19916666666</v>
      </c>
    </row>
    <row r="64" spans="1:20" ht="15" customHeight="1" x14ac:dyDescent="0.25">
      <c r="A64" s="165">
        <v>33903946</v>
      </c>
      <c r="B64" s="88" t="s">
        <v>71</v>
      </c>
      <c r="C64" s="14">
        <v>0</v>
      </c>
      <c r="D64" s="14">
        <v>296931.09999999998</v>
      </c>
      <c r="E64" s="14">
        <v>0</v>
      </c>
      <c r="F64" s="14">
        <v>254788.1</v>
      </c>
      <c r="G64" s="14">
        <v>225127.7</v>
      </c>
      <c r="H64" s="14">
        <v>283758.48</v>
      </c>
      <c r="I64" s="14">
        <v>0</v>
      </c>
      <c r="J64" s="14">
        <v>696390.59</v>
      </c>
      <c r="K64" s="14">
        <v>628039.1</v>
      </c>
      <c r="L64" s="14">
        <v>0</v>
      </c>
      <c r="M64" s="14">
        <v>295995.7</v>
      </c>
      <c r="N64" s="14">
        <v>929591.41</v>
      </c>
      <c r="O64" s="25">
        <f t="shared" ref="O64:O68" si="13">SUM(C64:N64)</f>
        <v>3610622.18</v>
      </c>
      <c r="P64" s="74">
        <f t="shared" ref="P64:P68" si="14">O64/$O$15</f>
        <v>4.441616260197212E-2</v>
      </c>
      <c r="Q64" s="33">
        <f t="shared" ref="Q64:Q67" si="15">IFERROR(O64/S64,0)</f>
        <v>1.3431611407931021</v>
      </c>
      <c r="R64" s="75">
        <f t="shared" ref="R64:R68" si="16">AVERAGE(C64:N64)</f>
        <v>300885.1816666667</v>
      </c>
      <c r="S64" s="75">
        <f>IFERROR(VLOOKUP(A64,'PAR 21'!$A$3:$B$85,2,FALSE),0)</f>
        <v>2688152.65</v>
      </c>
      <c r="T64" s="79">
        <f t="shared" ref="T64:T67" si="17">S64/12</f>
        <v>224012.72083333333</v>
      </c>
    </row>
    <row r="65" spans="1:20" ht="15" customHeight="1" x14ac:dyDescent="0.25">
      <c r="A65" s="165">
        <v>33903947</v>
      </c>
      <c r="B65" s="88" t="s">
        <v>72</v>
      </c>
      <c r="C65" s="14">
        <v>5586.59</v>
      </c>
      <c r="D65" s="14">
        <v>0</v>
      </c>
      <c r="E65" s="14">
        <v>0</v>
      </c>
      <c r="F65" s="14">
        <v>0</v>
      </c>
      <c r="G65" s="14">
        <v>1969.64</v>
      </c>
      <c r="H65" s="14">
        <v>651.54999999999995</v>
      </c>
      <c r="I65" s="14">
        <v>0</v>
      </c>
      <c r="J65" s="14">
        <v>0</v>
      </c>
      <c r="K65" s="14">
        <v>0</v>
      </c>
      <c r="L65" s="14">
        <v>-428.18</v>
      </c>
      <c r="M65" s="14">
        <v>0</v>
      </c>
      <c r="N65" s="14">
        <v>0</v>
      </c>
      <c r="O65" s="25">
        <f t="shared" si="13"/>
        <v>7779.6</v>
      </c>
      <c r="P65" s="74">
        <f t="shared" si="14"/>
        <v>9.5700951623329991E-5</v>
      </c>
      <c r="Q65" s="33">
        <f t="shared" si="15"/>
        <v>0.61222362160461552</v>
      </c>
      <c r="R65" s="75">
        <f t="shared" si="16"/>
        <v>648.30000000000007</v>
      </c>
      <c r="S65" s="75">
        <f>IFERROR(VLOOKUP(A65,'PAR 21'!$A$3:$B$85,2,FALSE),0)</f>
        <v>12707.121590000001</v>
      </c>
      <c r="T65" s="79">
        <f t="shared" si="17"/>
        <v>1058.9267991666668</v>
      </c>
    </row>
    <row r="66" spans="1:20" ht="15" customHeight="1" x14ac:dyDescent="0.25">
      <c r="A66" s="165">
        <v>33903948</v>
      </c>
      <c r="B66" s="88" t="s">
        <v>172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8900</v>
      </c>
      <c r="K66" s="14">
        <v>0</v>
      </c>
      <c r="L66" s="14">
        <v>0</v>
      </c>
      <c r="M66" s="14">
        <v>24656.32</v>
      </c>
      <c r="N66" s="14">
        <v>-3536.32</v>
      </c>
      <c r="O66" s="25">
        <f>SUM(C66:N66)</f>
        <v>30020</v>
      </c>
      <c r="P66" s="74">
        <f t="shared" si="14"/>
        <v>3.6929181034145279E-4</v>
      </c>
      <c r="Q66" s="33">
        <f t="shared" si="15"/>
        <v>0.85771428571428576</v>
      </c>
      <c r="R66" s="75">
        <f t="shared" si="16"/>
        <v>2501.6666666666665</v>
      </c>
      <c r="S66" s="75">
        <f>IFERROR(VLOOKUP(A66,'PAR 21'!$A$3:$B$85,2,FALSE),0)</f>
        <v>35000</v>
      </c>
      <c r="T66" s="79">
        <f t="shared" si="17"/>
        <v>2916.6666666666665</v>
      </c>
    </row>
    <row r="67" spans="1:20" ht="15" customHeight="1" x14ac:dyDescent="0.25">
      <c r="A67" s="165">
        <v>33903950</v>
      </c>
      <c r="B67" s="88" t="s">
        <v>73</v>
      </c>
      <c r="C67" s="14">
        <v>18080</v>
      </c>
      <c r="D67" s="14">
        <v>36060.129999999997</v>
      </c>
      <c r="E67" s="14">
        <v>65735.59</v>
      </c>
      <c r="F67" s="14">
        <v>208472.89</v>
      </c>
      <c r="G67" s="14">
        <v>32321.64</v>
      </c>
      <c r="H67" s="14">
        <v>28277.360000000001</v>
      </c>
      <c r="I67" s="14">
        <v>52739.95</v>
      </c>
      <c r="J67" s="14">
        <v>58717.919999999998</v>
      </c>
      <c r="K67" s="14">
        <v>81233.17</v>
      </c>
      <c r="L67" s="14">
        <v>4966.96</v>
      </c>
      <c r="M67" s="14">
        <v>64803.39</v>
      </c>
      <c r="N67" s="14">
        <v>23651.49</v>
      </c>
      <c r="O67" s="25">
        <f t="shared" si="13"/>
        <v>675060.49</v>
      </c>
      <c r="P67" s="74">
        <f t="shared" si="14"/>
        <v>8.3042741652927451E-3</v>
      </c>
      <c r="Q67" s="33">
        <f t="shared" si="15"/>
        <v>0.98088495660181219</v>
      </c>
      <c r="R67" s="75">
        <f t="shared" si="16"/>
        <v>56255.040833333333</v>
      </c>
      <c r="S67" s="75">
        <f>IFERROR(VLOOKUP(A67,'PAR 21'!$A$3:$B$85,2,FALSE),0)</f>
        <v>688215.76419999998</v>
      </c>
      <c r="T67" s="79">
        <f t="shared" si="17"/>
        <v>57351.313683333334</v>
      </c>
    </row>
    <row r="68" spans="1:20" ht="15" customHeight="1" x14ac:dyDescent="0.25">
      <c r="A68" s="165">
        <v>33903951</v>
      </c>
      <c r="B68" s="88" t="s">
        <v>74</v>
      </c>
      <c r="C68" s="14">
        <v>0</v>
      </c>
      <c r="D68" s="14">
        <v>618.86</v>
      </c>
      <c r="E68" s="14">
        <v>11053</v>
      </c>
      <c r="F68" s="14">
        <v>203.6</v>
      </c>
      <c r="G68" s="14">
        <v>7426.93</v>
      </c>
      <c r="H68" s="14">
        <v>203.6</v>
      </c>
      <c r="I68" s="14">
        <v>7868.85</v>
      </c>
      <c r="J68" s="14">
        <v>4092.77</v>
      </c>
      <c r="K68" s="14">
        <v>16464.650000000001</v>
      </c>
      <c r="L68" s="14">
        <v>312.2</v>
      </c>
      <c r="M68" s="14">
        <v>3968.6</v>
      </c>
      <c r="N68" s="14">
        <v>2983.92</v>
      </c>
      <c r="O68" s="25">
        <f t="shared" si="13"/>
        <v>55196.979999999989</v>
      </c>
      <c r="P68" s="74">
        <f t="shared" si="14"/>
        <v>6.7900708426318988E-4</v>
      </c>
      <c r="Q68" s="33">
        <f>IFERROR(O68/S68,0)</f>
        <v>1.4387989314542129</v>
      </c>
      <c r="R68" s="75">
        <f t="shared" si="16"/>
        <v>4599.7483333333321</v>
      </c>
      <c r="S68" s="75">
        <f>IFERROR(VLOOKUP(A68,'PAR 21'!$A$3:$B$85,2,FALSE),0)</f>
        <v>38363.233939999998</v>
      </c>
      <c r="T68" s="79">
        <f>S68/12</f>
        <v>3196.9361616666665</v>
      </c>
    </row>
    <row r="69" spans="1:20" ht="15" customHeight="1" x14ac:dyDescent="0.25">
      <c r="A69" s="165">
        <v>33903958</v>
      </c>
      <c r="B69" s="93" t="s">
        <v>75</v>
      </c>
      <c r="C69" s="14">
        <v>0</v>
      </c>
      <c r="D69" s="14">
        <v>10500</v>
      </c>
      <c r="E69" s="14">
        <v>0</v>
      </c>
      <c r="F69" s="14">
        <v>7903.2</v>
      </c>
      <c r="G69" s="14">
        <v>21000</v>
      </c>
      <c r="H69" s="14">
        <v>0</v>
      </c>
      <c r="I69" s="14">
        <v>10500</v>
      </c>
      <c r="J69" s="14">
        <v>10500</v>
      </c>
      <c r="K69" s="14">
        <v>21000</v>
      </c>
      <c r="L69" s="14">
        <v>0</v>
      </c>
      <c r="M69" s="14">
        <v>10500</v>
      </c>
      <c r="N69" s="14">
        <v>10500</v>
      </c>
      <c r="O69" s="25">
        <f t="shared" ref="O69:O70" si="18">SUM(C69:N69)</f>
        <v>102403.2</v>
      </c>
      <c r="P69" s="74">
        <f t="shared" ref="P69:P70" si="19">O69/$O$15</f>
        <v>1.259715626674146E-3</v>
      </c>
      <c r="Q69" s="33">
        <f t="shared" ref="Q69:Q70" si="20">IFERROR(O69/S69,0)</f>
        <v>0.95779866852224627</v>
      </c>
      <c r="R69" s="75">
        <f t="shared" ref="R69:R70" si="21">AVERAGE(C69:N69)</f>
        <v>8533.6</v>
      </c>
      <c r="S69" s="75">
        <f>IFERROR(VLOOKUP(A69,'PAR 21'!$A$3:$B$85,2,FALSE),0)</f>
        <v>106915.16220000001</v>
      </c>
      <c r="T69" s="79">
        <f>S69/12</f>
        <v>8909.5968499999999</v>
      </c>
    </row>
    <row r="70" spans="1:20" ht="15" customHeight="1" x14ac:dyDescent="0.25">
      <c r="A70" s="165">
        <v>33903963</v>
      </c>
      <c r="B70" s="88" t="s">
        <v>182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9445.5</v>
      </c>
      <c r="L70" s="14">
        <v>250</v>
      </c>
      <c r="M70" s="14">
        <v>0</v>
      </c>
      <c r="N70" s="14">
        <v>0</v>
      </c>
      <c r="O70" s="25">
        <f t="shared" si="18"/>
        <v>9695.5</v>
      </c>
      <c r="P70" s="74">
        <f t="shared" si="19"/>
        <v>1.1926944527533497E-4</v>
      </c>
      <c r="Q70" s="33">
        <f t="shared" si="20"/>
        <v>0</v>
      </c>
      <c r="R70" s="75">
        <f t="shared" si="21"/>
        <v>807.95833333333337</v>
      </c>
      <c r="S70" s="75">
        <f>IFERROR(VLOOKUP(A70,'PAR 21'!$A$3:$B$85,2,FALSE),0)</f>
        <v>0</v>
      </c>
      <c r="T70" s="79">
        <f>S70/12</f>
        <v>0</v>
      </c>
    </row>
    <row r="71" spans="1:20" ht="15" customHeight="1" x14ac:dyDescent="0.25">
      <c r="A71" s="165">
        <v>33903969</v>
      </c>
      <c r="B71" s="88" t="s">
        <v>169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118.29</v>
      </c>
      <c r="J71" s="14">
        <v>0</v>
      </c>
      <c r="K71" s="14">
        <v>0</v>
      </c>
      <c r="L71" s="14">
        <v>7518.29</v>
      </c>
      <c r="M71" s="14">
        <v>0</v>
      </c>
      <c r="N71" s="14">
        <v>0</v>
      </c>
      <c r="O71" s="25">
        <f t="shared" ref="O71:O74" si="22">SUM(C71:N71)</f>
        <v>7636.58</v>
      </c>
      <c r="P71" s="74">
        <f t="shared" ref="P71:P74" si="23">O71/$O$15</f>
        <v>9.3941587375660616E-5</v>
      </c>
      <c r="Q71" s="33">
        <f t="shared" ref="Q71:Q74" si="24">IFERROR(O71/S71,0)</f>
        <v>1.2161816091388344</v>
      </c>
      <c r="R71" s="75">
        <f t="shared" ref="R71:R74" si="25">AVERAGE(C71:N71)</f>
        <v>636.38166666666666</v>
      </c>
      <c r="S71" s="75">
        <f>IFERROR(VLOOKUP(A71,'PAR 21'!$A$3:$B$85,2,FALSE),0)</f>
        <v>6279.1444490000003</v>
      </c>
      <c r="T71" s="79">
        <f t="shared" ref="T71:T76" si="26">S71/12</f>
        <v>523.26203741666666</v>
      </c>
    </row>
    <row r="72" spans="1:20" ht="15" customHeight="1" x14ac:dyDescent="0.25">
      <c r="A72" s="165">
        <v>33903970</v>
      </c>
      <c r="B72" s="88" t="s">
        <v>76</v>
      </c>
      <c r="C72" s="14">
        <v>9042.1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25">
        <f t="shared" si="22"/>
        <v>9042.1</v>
      </c>
      <c r="P72" s="74">
        <f t="shared" si="23"/>
        <v>1.1123162819082114E-4</v>
      </c>
      <c r="Q72" s="33">
        <f t="shared" si="24"/>
        <v>0</v>
      </c>
      <c r="R72" s="75">
        <f t="shared" si="25"/>
        <v>753.50833333333333</v>
      </c>
      <c r="S72" s="75">
        <f>IFERROR(VLOOKUP(A72,'PAR 21'!$A$3:$B$85,2,FALSE),0)</f>
        <v>0</v>
      </c>
      <c r="T72" s="79">
        <f t="shared" si="26"/>
        <v>0</v>
      </c>
    </row>
    <row r="73" spans="1:20" ht="15" customHeight="1" x14ac:dyDescent="0.25">
      <c r="A73" s="165">
        <v>33903974</v>
      </c>
      <c r="B73" s="88" t="s">
        <v>77</v>
      </c>
      <c r="C73" s="14">
        <v>466.71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1501.8</v>
      </c>
      <c r="K73" s="14">
        <v>0</v>
      </c>
      <c r="L73" s="14">
        <v>415.51</v>
      </c>
      <c r="M73" s="14">
        <v>0</v>
      </c>
      <c r="N73" s="14">
        <v>442.35</v>
      </c>
      <c r="O73" s="25">
        <f t="shared" si="22"/>
        <v>2826.37</v>
      </c>
      <c r="P73" s="74">
        <f t="shared" si="23"/>
        <v>3.4768664023809859E-5</v>
      </c>
      <c r="Q73" s="33">
        <f t="shared" si="24"/>
        <v>0</v>
      </c>
      <c r="R73" s="75">
        <f t="shared" si="25"/>
        <v>235.53083333333333</v>
      </c>
      <c r="S73" s="75">
        <f>IFERROR(VLOOKUP(A73,'PAR 21'!$A$3:$B$85,2,FALSE),0)</f>
        <v>0</v>
      </c>
      <c r="T73" s="103">
        <f t="shared" si="26"/>
        <v>0</v>
      </c>
    </row>
    <row r="74" spans="1:20" ht="15" customHeight="1" x14ac:dyDescent="0.25">
      <c r="A74" s="166">
        <v>33903975</v>
      </c>
      <c r="B74" s="88" t="s">
        <v>78</v>
      </c>
      <c r="C74" s="14">
        <v>30781.79</v>
      </c>
      <c r="D74" s="14">
        <v>0</v>
      </c>
      <c r="E74" s="14">
        <v>59140.71</v>
      </c>
      <c r="F74" s="14">
        <v>36882.730000000003</v>
      </c>
      <c r="G74" s="14">
        <v>27424.91</v>
      </c>
      <c r="H74" s="14">
        <v>36307.18</v>
      </c>
      <c r="I74" s="14">
        <v>42645.95</v>
      </c>
      <c r="J74" s="14">
        <v>40032.65</v>
      </c>
      <c r="K74" s="14">
        <v>41230.03</v>
      </c>
      <c r="L74" s="14">
        <v>45138.86</v>
      </c>
      <c r="M74" s="14">
        <v>43978.92</v>
      </c>
      <c r="N74" s="14">
        <v>89414.78</v>
      </c>
      <c r="O74" s="25">
        <f t="shared" si="22"/>
        <v>492978.51</v>
      </c>
      <c r="P74" s="74">
        <f t="shared" si="23"/>
        <v>6.0643879552742174E-3</v>
      </c>
      <c r="Q74" s="33">
        <f t="shared" si="24"/>
        <v>1.7799552489056354</v>
      </c>
      <c r="R74" s="75">
        <f t="shared" si="25"/>
        <v>41081.542500000003</v>
      </c>
      <c r="S74" s="75">
        <f>IFERROR(VLOOKUP(A74,'PAR 21'!$A$3:$B$85,2,FALSE),0)</f>
        <v>276961.18219999998</v>
      </c>
      <c r="T74" s="103">
        <f t="shared" si="26"/>
        <v>23080.098516666665</v>
      </c>
    </row>
    <row r="75" spans="1:20" ht="15" customHeight="1" x14ac:dyDescent="0.25">
      <c r="A75" s="167">
        <v>33903978</v>
      </c>
      <c r="B75" s="88" t="s">
        <v>59</v>
      </c>
      <c r="C75" s="14">
        <v>0</v>
      </c>
      <c r="D75" s="14">
        <v>4499.67</v>
      </c>
      <c r="E75" s="14">
        <v>4499.67</v>
      </c>
      <c r="F75" s="14">
        <v>4499.67</v>
      </c>
      <c r="G75" s="14">
        <v>8999.34</v>
      </c>
      <c r="H75" s="14">
        <v>0</v>
      </c>
      <c r="I75" s="14">
        <v>4499.67</v>
      </c>
      <c r="J75" s="14">
        <v>4499.67</v>
      </c>
      <c r="K75" s="14">
        <v>8999.34</v>
      </c>
      <c r="L75" s="14">
        <v>10698.81</v>
      </c>
      <c r="M75" s="14">
        <v>4499.67</v>
      </c>
      <c r="N75" s="14">
        <v>0</v>
      </c>
      <c r="O75" s="25">
        <f t="shared" ref="O75" si="27">SUM(C75:N75)</f>
        <v>55695.509999999995</v>
      </c>
      <c r="P75" s="74">
        <f t="shared" ref="P75:P76" si="28">O75/$O$15</f>
        <v>6.8513976401700491E-4</v>
      </c>
      <c r="Q75" s="33">
        <f t="shared" ref="Q75:Q76" si="29">IFERROR(O75/S75,0)</f>
        <v>0.98859976677928285</v>
      </c>
      <c r="R75" s="75">
        <f t="shared" ref="R75:R76" si="30">AVERAGE(C75:N75)</f>
        <v>4641.2924999999996</v>
      </c>
      <c r="S75" s="75">
        <f>IFERROR(VLOOKUP(A75,'PAR 21'!$A$3:$B$85,2,FALSE),0)</f>
        <v>56337.773759999996</v>
      </c>
      <c r="T75" s="103">
        <f t="shared" si="26"/>
        <v>4694.81448</v>
      </c>
    </row>
    <row r="76" spans="1:20" ht="15" customHeight="1" x14ac:dyDescent="0.25">
      <c r="A76" s="167">
        <v>33903979</v>
      </c>
      <c r="B76" s="88" t="s">
        <v>79</v>
      </c>
      <c r="C76" s="14">
        <v>0</v>
      </c>
      <c r="D76" s="14">
        <v>10369.07</v>
      </c>
      <c r="E76" s="14">
        <v>20738.14</v>
      </c>
      <c r="F76" s="14">
        <v>10369.07</v>
      </c>
      <c r="G76" s="14">
        <v>88725.32</v>
      </c>
      <c r="H76" s="14">
        <v>0</v>
      </c>
      <c r="I76" s="14">
        <v>23173.360000000001</v>
      </c>
      <c r="J76" s="14">
        <v>23173.360000000001</v>
      </c>
      <c r="K76" s="14">
        <v>90230.82</v>
      </c>
      <c r="L76" s="14">
        <v>19700.59</v>
      </c>
      <c r="M76" s="14">
        <v>53079.77</v>
      </c>
      <c r="N76" s="14">
        <v>35557.96</v>
      </c>
      <c r="O76" s="25">
        <f>SUM(C76:N76)</f>
        <v>375117.46000000008</v>
      </c>
      <c r="P76" s="74">
        <f t="shared" si="28"/>
        <v>4.6145171850129098E-3</v>
      </c>
      <c r="Q76" s="33">
        <f t="shared" si="29"/>
        <v>0.93838829352417041</v>
      </c>
      <c r="R76" s="75">
        <f t="shared" si="30"/>
        <v>31259.788333333341</v>
      </c>
      <c r="S76" s="75">
        <f>IFERROR(VLOOKUP(A76,'PAR 21'!$A$3:$B$85,2,FALSE),0)</f>
        <v>399746.52559999999</v>
      </c>
      <c r="T76" s="103">
        <f t="shared" si="26"/>
        <v>33312.210466666664</v>
      </c>
    </row>
    <row r="77" spans="1:20" ht="15" customHeight="1" x14ac:dyDescent="0.25">
      <c r="A77" s="167">
        <v>33903996</v>
      </c>
      <c r="B77" s="88" t="s">
        <v>80</v>
      </c>
      <c r="C77" s="14">
        <v>8000</v>
      </c>
      <c r="D77" s="14">
        <v>0</v>
      </c>
      <c r="E77" s="14">
        <v>0</v>
      </c>
      <c r="F77" s="14">
        <v>8000</v>
      </c>
      <c r="G77" s="14">
        <v>0</v>
      </c>
      <c r="H77" s="14">
        <v>1000</v>
      </c>
      <c r="I77" s="14">
        <v>8000</v>
      </c>
      <c r="J77" s="14">
        <v>-9000</v>
      </c>
      <c r="K77" s="14">
        <v>0</v>
      </c>
      <c r="L77" s="14">
        <v>0</v>
      </c>
      <c r="M77" s="14">
        <v>0</v>
      </c>
      <c r="N77" s="14">
        <v>-16000</v>
      </c>
      <c r="O77" s="25">
        <f t="shared" ref="O77:O88" si="31">SUM(C77:N77)</f>
        <v>0</v>
      </c>
      <c r="P77" s="74">
        <f t="shared" ref="P77:P80" si="32">O77/$O$15</f>
        <v>0</v>
      </c>
      <c r="Q77" s="33">
        <f t="shared" ref="Q77:Q80" si="33">IFERROR(O77/S77,0)</f>
        <v>0</v>
      </c>
      <c r="R77" s="75">
        <f t="shared" ref="R77:R80" si="34">AVERAGE(C77:N77)</f>
        <v>0</v>
      </c>
      <c r="S77" s="75">
        <f>IFERROR(VLOOKUP(A77,'PAR 21'!$A$3:$B$85,2,FALSE),0)</f>
        <v>0</v>
      </c>
      <c r="T77" s="103">
        <f t="shared" ref="T77:T80" si="35">S77/12</f>
        <v>0</v>
      </c>
    </row>
    <row r="78" spans="1:20" ht="15" customHeight="1" x14ac:dyDescent="0.25">
      <c r="A78" s="167">
        <v>33904006</v>
      </c>
      <c r="B78" s="88" t="s">
        <v>81</v>
      </c>
      <c r="C78" s="14">
        <v>0</v>
      </c>
      <c r="D78" s="14">
        <v>0</v>
      </c>
      <c r="E78" s="14">
        <v>0</v>
      </c>
      <c r="F78" s="14">
        <v>3388.46</v>
      </c>
      <c r="G78" s="14">
        <v>6776.92</v>
      </c>
      <c r="H78" s="14">
        <v>0</v>
      </c>
      <c r="I78" s="14">
        <v>255</v>
      </c>
      <c r="J78" s="14">
        <v>255</v>
      </c>
      <c r="K78" s="14">
        <v>3388.46</v>
      </c>
      <c r="L78" s="14">
        <v>1426.32</v>
      </c>
      <c r="M78" s="14">
        <v>4185.12</v>
      </c>
      <c r="N78" s="14">
        <v>2937.26</v>
      </c>
      <c r="O78" s="25">
        <f t="shared" si="31"/>
        <v>22612.54</v>
      </c>
      <c r="P78" s="74">
        <f t="shared" si="32"/>
        <v>2.7816874860154948E-4</v>
      </c>
      <c r="Q78" s="33">
        <f t="shared" si="33"/>
        <v>0.53062955150931257</v>
      </c>
      <c r="R78" s="75">
        <f t="shared" si="34"/>
        <v>1884.3783333333333</v>
      </c>
      <c r="S78" s="75">
        <f>IFERROR(VLOOKUP(A78,'PAR 21'!$A$3:$B$85,2,FALSE),0)</f>
        <v>42614.550840000004</v>
      </c>
      <c r="T78" s="103">
        <f t="shared" si="35"/>
        <v>3551.2125700000001</v>
      </c>
    </row>
    <row r="79" spans="1:20" ht="15" customHeight="1" x14ac:dyDescent="0.25">
      <c r="A79" s="167">
        <v>33904010</v>
      </c>
      <c r="B79" s="88" t="s">
        <v>82</v>
      </c>
      <c r="C79" s="14">
        <v>3275.11</v>
      </c>
      <c r="D79" s="14">
        <v>0</v>
      </c>
      <c r="E79" s="14">
        <v>19580</v>
      </c>
      <c r="F79" s="14">
        <v>2000</v>
      </c>
      <c r="G79" s="14">
        <v>117480</v>
      </c>
      <c r="H79" s="14">
        <v>0</v>
      </c>
      <c r="I79" s="14">
        <v>78320</v>
      </c>
      <c r="J79" s="14">
        <v>0</v>
      </c>
      <c r="K79" s="14">
        <v>39160</v>
      </c>
      <c r="L79" s="14">
        <v>0</v>
      </c>
      <c r="M79" s="14">
        <v>39160</v>
      </c>
      <c r="N79" s="14">
        <v>39160</v>
      </c>
      <c r="O79" s="25">
        <f t="shared" si="31"/>
        <v>338135.11</v>
      </c>
      <c r="P79" s="74">
        <f t="shared" si="32"/>
        <v>4.1595778451667649E-3</v>
      </c>
      <c r="Q79" s="33">
        <f t="shared" si="33"/>
        <v>0.48384041445210241</v>
      </c>
      <c r="R79" s="75">
        <f t="shared" si="34"/>
        <v>28177.925833333331</v>
      </c>
      <c r="S79" s="75">
        <f>IFERROR(VLOOKUP(A79,'PAR 21'!$A$3:$B$85,2,FALSE),0)</f>
        <v>698856.68889999995</v>
      </c>
      <c r="T79" s="103">
        <f t="shared" si="35"/>
        <v>58238.057408333327</v>
      </c>
    </row>
    <row r="80" spans="1:20" ht="15" customHeight="1" x14ac:dyDescent="0.25">
      <c r="A80" s="168">
        <v>33904016</v>
      </c>
      <c r="B80" s="112" t="s">
        <v>83</v>
      </c>
      <c r="C80" s="113">
        <v>0</v>
      </c>
      <c r="D80" s="113">
        <v>36432.33</v>
      </c>
      <c r="E80" s="113">
        <v>0</v>
      </c>
      <c r="F80" s="113">
        <v>30454.62</v>
      </c>
      <c r="G80" s="113">
        <v>19478.05</v>
      </c>
      <c r="H80" s="113">
        <v>19985.71</v>
      </c>
      <c r="I80" s="113">
        <v>20066.88</v>
      </c>
      <c r="J80" s="113">
        <v>19684.98</v>
      </c>
      <c r="K80" s="113">
        <v>24407.24</v>
      </c>
      <c r="L80" s="113">
        <v>0</v>
      </c>
      <c r="M80" s="113">
        <v>20968</v>
      </c>
      <c r="N80" s="113">
        <v>65941</v>
      </c>
      <c r="O80" s="114">
        <f t="shared" si="31"/>
        <v>257418.81</v>
      </c>
      <c r="P80" s="115">
        <f t="shared" si="32"/>
        <v>3.1666441825730337E-3</v>
      </c>
      <c r="Q80" s="116">
        <f t="shared" si="33"/>
        <v>1.1528464075761622</v>
      </c>
      <c r="R80" s="117">
        <f t="shared" si="34"/>
        <v>21451.567500000001</v>
      </c>
      <c r="S80" s="117">
        <f>IFERROR(VLOOKUP(A80,'PAR 21'!$A$3:$B$85,2,FALSE),0)</f>
        <v>223289.77069999999</v>
      </c>
      <c r="T80" s="118">
        <f t="shared" si="35"/>
        <v>18607.480891666666</v>
      </c>
    </row>
    <row r="81" spans="1:20" ht="15" customHeight="1" x14ac:dyDescent="0.25">
      <c r="A81" s="167">
        <v>33904021</v>
      </c>
      <c r="B81" s="88" t="s">
        <v>84</v>
      </c>
      <c r="C81" s="14">
        <v>0</v>
      </c>
      <c r="D81" s="14">
        <v>47159.89</v>
      </c>
      <c r="E81" s="14">
        <v>80539.759999999995</v>
      </c>
      <c r="F81" s="14">
        <v>82106.45</v>
      </c>
      <c r="G81" s="14">
        <v>138680</v>
      </c>
      <c r="H81" s="14">
        <v>0</v>
      </c>
      <c r="I81" s="14">
        <v>146869.31</v>
      </c>
      <c r="J81" s="14">
        <v>0</v>
      </c>
      <c r="K81" s="14">
        <v>81647.67</v>
      </c>
      <c r="L81" s="14">
        <v>73365.09</v>
      </c>
      <c r="M81" s="14">
        <v>73423.19</v>
      </c>
      <c r="N81" s="14">
        <v>73423.19</v>
      </c>
      <c r="O81" s="25">
        <f t="shared" si="31"/>
        <v>797214.54999999981</v>
      </c>
      <c r="P81" s="115">
        <f t="shared" ref="P81:P88" si="36">O81/$O$15</f>
        <v>9.8069555096617789E-3</v>
      </c>
      <c r="Q81" s="116">
        <f t="shared" ref="Q81:Q91" si="37">IFERROR(O81/S81,0)</f>
        <v>1.1426945184685888</v>
      </c>
      <c r="R81" s="117">
        <f t="shared" ref="R81:R88" si="38">AVERAGE(C81:N81)</f>
        <v>66434.545833333323</v>
      </c>
      <c r="S81" s="117">
        <f>IFERROR(VLOOKUP(A81,'PAR 21'!$A$3:$B$85,2,FALSE),0)</f>
        <v>697662.00600000005</v>
      </c>
      <c r="T81" s="118">
        <f t="shared" ref="T81:T83" si="39">S81/12</f>
        <v>58138.500500000002</v>
      </c>
    </row>
    <row r="82" spans="1:20" ht="15" customHeight="1" x14ac:dyDescent="0.25">
      <c r="A82" s="167">
        <v>33904710</v>
      </c>
      <c r="B82" s="88" t="s">
        <v>85</v>
      </c>
      <c r="C82" s="14">
        <v>0</v>
      </c>
      <c r="D82" s="14">
        <v>1755.49</v>
      </c>
      <c r="E82" s="14">
        <v>811.84</v>
      </c>
      <c r="F82" s="14">
        <v>217.63</v>
      </c>
      <c r="G82" s="14">
        <v>355.12</v>
      </c>
      <c r="H82" s="14">
        <v>9409.7099999999991</v>
      </c>
      <c r="I82" s="14">
        <v>177.56</v>
      </c>
      <c r="J82" s="14">
        <v>355.12</v>
      </c>
      <c r="K82" s="14">
        <v>652.89</v>
      </c>
      <c r="L82" s="14">
        <v>0</v>
      </c>
      <c r="M82" s="14">
        <v>266.33999999999997</v>
      </c>
      <c r="N82" s="14">
        <v>631.16</v>
      </c>
      <c r="O82" s="25">
        <f>SUM(C82:N82)</f>
        <v>14632.859999999999</v>
      </c>
      <c r="P82" s="115">
        <f t="shared" si="36"/>
        <v>1.8000650765732947E-4</v>
      </c>
      <c r="Q82" s="116">
        <f t="shared" si="37"/>
        <v>0</v>
      </c>
      <c r="R82" s="117">
        <f t="shared" si="38"/>
        <v>1219.405</v>
      </c>
      <c r="S82" s="117">
        <f>IFERROR(VLOOKUP(A82,'PAR 21'!$A$3:$B$85,2,FALSE),0)</f>
        <v>0</v>
      </c>
      <c r="T82" s="118">
        <f t="shared" si="39"/>
        <v>0</v>
      </c>
    </row>
    <row r="83" spans="1:20" ht="15" customHeight="1" x14ac:dyDescent="0.25">
      <c r="A83" s="167">
        <v>33904722</v>
      </c>
      <c r="B83" s="88" t="s">
        <v>86</v>
      </c>
      <c r="C83" s="14">
        <v>0</v>
      </c>
      <c r="D83" s="14">
        <v>0</v>
      </c>
      <c r="E83" s="14">
        <v>1588.18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918.56</v>
      </c>
      <c r="N83" s="14">
        <v>0</v>
      </c>
      <c r="O83" s="25">
        <f>SUM(C83:N83)</f>
        <v>2506.7399999999998</v>
      </c>
      <c r="P83" s="74">
        <f t="shared" si="36"/>
        <v>3.0836727270330893E-5</v>
      </c>
      <c r="Q83" s="33">
        <f t="shared" si="37"/>
        <v>0</v>
      </c>
      <c r="R83" s="75">
        <f t="shared" si="38"/>
        <v>208.89499999999998</v>
      </c>
      <c r="S83" s="75">
        <f>IFERROR(VLOOKUP(A83,'PAR 21'!$A$3:$B$85,2,FALSE),0)</f>
        <v>0</v>
      </c>
      <c r="T83" s="103">
        <f t="shared" si="39"/>
        <v>0</v>
      </c>
    </row>
    <row r="84" spans="1:20" x14ac:dyDescent="0.25">
      <c r="A84" s="167">
        <v>33904727</v>
      </c>
      <c r="B84" s="88" t="s">
        <v>164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2000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25">
        <f>SUM(C84:N84)</f>
        <v>2000</v>
      </c>
      <c r="P84" s="74">
        <f t="shared" si="36"/>
        <v>2.4603051988104785E-5</v>
      </c>
      <c r="Q84" s="33">
        <f t="shared" si="37"/>
        <v>0</v>
      </c>
      <c r="R84" s="75">
        <f t="shared" si="38"/>
        <v>166.66666666666666</v>
      </c>
      <c r="S84" s="75">
        <f>IFERROR(VLOOKUP(A84,'PAR 21'!$A$3:$B$85,2,FALSE),0)</f>
        <v>0</v>
      </c>
      <c r="T84" s="103">
        <f t="shared" ref="T84:T88" si="40">S84/12</f>
        <v>0</v>
      </c>
    </row>
    <row r="85" spans="1:20" x14ac:dyDescent="0.25">
      <c r="A85" s="167">
        <v>33914710</v>
      </c>
      <c r="B85" s="88" t="s">
        <v>85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25">
        <f t="shared" si="31"/>
        <v>0</v>
      </c>
      <c r="P85" s="74">
        <f t="shared" si="36"/>
        <v>0</v>
      </c>
      <c r="Q85" s="33">
        <f t="shared" si="37"/>
        <v>0</v>
      </c>
      <c r="R85" s="75">
        <f t="shared" si="38"/>
        <v>0</v>
      </c>
      <c r="S85" s="75">
        <f>IFERROR(VLOOKUP(A85,'PAR 21'!$A$3:$B$85,2,FALSE),0)</f>
        <v>0</v>
      </c>
      <c r="T85" s="103">
        <f t="shared" si="40"/>
        <v>0</v>
      </c>
    </row>
    <row r="86" spans="1:20" x14ac:dyDescent="0.25">
      <c r="A86" s="167">
        <v>33914727</v>
      </c>
      <c r="B86" s="88" t="s">
        <v>164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184.3</v>
      </c>
      <c r="N86" s="14">
        <v>0</v>
      </c>
      <c r="O86" s="25">
        <f t="shared" si="31"/>
        <v>184.3</v>
      </c>
      <c r="P86" s="74">
        <f t="shared" si="36"/>
        <v>2.2671712407038559E-6</v>
      </c>
      <c r="Q86" s="33">
        <f t="shared" si="37"/>
        <v>0</v>
      </c>
      <c r="R86" s="75">
        <f t="shared" si="38"/>
        <v>15.358333333333334</v>
      </c>
      <c r="S86" s="75">
        <f>IFERROR(VLOOKUP(A86,'PAR 21'!$A$3:$B$85,2,FALSE),0)</f>
        <v>0</v>
      </c>
      <c r="T86" s="103">
        <f t="shared" si="40"/>
        <v>0</v>
      </c>
    </row>
    <row r="87" spans="1:20" x14ac:dyDescent="0.25">
      <c r="A87" s="167">
        <v>44905180</v>
      </c>
      <c r="B87" s="88" t="s">
        <v>155</v>
      </c>
      <c r="C87" s="14">
        <v>0</v>
      </c>
      <c r="D87" s="14">
        <v>0</v>
      </c>
      <c r="E87" s="14">
        <v>0</v>
      </c>
      <c r="F87" s="14">
        <v>0</v>
      </c>
      <c r="G87" s="14">
        <v>30942.6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25">
        <f t="shared" si="31"/>
        <v>30942.6</v>
      </c>
      <c r="P87" s="74">
        <f t="shared" si="36"/>
        <v>3.8064119822356552E-4</v>
      </c>
      <c r="Q87" s="33">
        <f t="shared" si="37"/>
        <v>0.87584881413694815</v>
      </c>
      <c r="R87" s="75">
        <f t="shared" si="38"/>
        <v>2578.5499999999997</v>
      </c>
      <c r="S87" s="75">
        <f>IFERROR(VLOOKUP(A87,'PAR 21'!$A$3:$B$85,2,FALSE),0)</f>
        <v>35328.699999999997</v>
      </c>
      <c r="T87" s="103">
        <f t="shared" si="40"/>
        <v>2944.0583333333329</v>
      </c>
    </row>
    <row r="88" spans="1:20" x14ac:dyDescent="0.25">
      <c r="A88" s="167">
        <v>44905204</v>
      </c>
      <c r="B88" s="88" t="s">
        <v>173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4590</v>
      </c>
      <c r="K88" s="14">
        <v>0</v>
      </c>
      <c r="L88" s="14">
        <v>0</v>
      </c>
      <c r="M88" s="14">
        <v>0</v>
      </c>
      <c r="N88" s="14">
        <v>0</v>
      </c>
      <c r="O88" s="25">
        <f t="shared" si="31"/>
        <v>4590</v>
      </c>
      <c r="P88" s="74">
        <f t="shared" si="36"/>
        <v>5.6464004312700479E-5</v>
      </c>
      <c r="Q88" s="33">
        <f t="shared" si="37"/>
        <v>0</v>
      </c>
      <c r="R88" s="75">
        <f t="shared" si="38"/>
        <v>382.5</v>
      </c>
      <c r="S88" s="75">
        <f>IFERROR(VLOOKUP(A88,'PAR 21'!$A$3:$B$85,2,FALSE),0)</f>
        <v>0</v>
      </c>
      <c r="T88" s="103">
        <f t="shared" si="40"/>
        <v>0</v>
      </c>
    </row>
    <row r="89" spans="1:20" x14ac:dyDescent="0.25">
      <c r="A89" s="169">
        <v>44905208</v>
      </c>
      <c r="B89" s="88" t="s">
        <v>170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37329</v>
      </c>
      <c r="J89" s="14">
        <v>0</v>
      </c>
      <c r="K89" s="14">
        <v>18500</v>
      </c>
      <c r="L89" s="14">
        <v>655398</v>
      </c>
      <c r="M89" s="14">
        <v>3608953.48</v>
      </c>
      <c r="N89" s="14">
        <v>0</v>
      </c>
      <c r="O89" s="25">
        <f t="shared" ref="O89:O94" si="41">SUM(C89:N89)</f>
        <v>4320180.4800000004</v>
      </c>
      <c r="P89" s="74">
        <f t="shared" ref="P89:P91" si="42">O89/$O$15</f>
        <v>5.3144812473717745E-2</v>
      </c>
      <c r="Q89" s="33">
        <f t="shared" si="37"/>
        <v>5.6360653453602652</v>
      </c>
      <c r="R89" s="75">
        <f t="shared" ref="R89:R91" si="43">AVERAGE(C89:N89)</f>
        <v>360015.04000000004</v>
      </c>
      <c r="S89" s="75">
        <f>IFERROR(VLOOKUP(A89,'PAR 21'!$A$3:$B$85,2,FALSE),0)</f>
        <v>766524.2</v>
      </c>
      <c r="T89" s="103">
        <f t="shared" ref="T89:T91" si="44">S89/12</f>
        <v>63877.016666666663</v>
      </c>
    </row>
    <row r="90" spans="1:20" x14ac:dyDescent="0.25">
      <c r="A90" s="169">
        <v>44905212</v>
      </c>
      <c r="B90" s="88" t="s">
        <v>171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35712.29</v>
      </c>
      <c r="J90" s="14">
        <v>5128</v>
      </c>
      <c r="K90" s="14">
        <v>-528</v>
      </c>
      <c r="L90" s="14">
        <v>59375.23</v>
      </c>
      <c r="M90" s="14">
        <v>0</v>
      </c>
      <c r="N90" s="14">
        <v>0</v>
      </c>
      <c r="O90" s="25">
        <f t="shared" si="41"/>
        <v>99687.52</v>
      </c>
      <c r="P90" s="74">
        <f t="shared" si="42"/>
        <v>1.2263086185626177E-3</v>
      </c>
      <c r="Q90" s="33">
        <f t="shared" si="37"/>
        <v>2.4290923268110824</v>
      </c>
      <c r="R90" s="75">
        <f t="shared" si="43"/>
        <v>8307.2933333333331</v>
      </c>
      <c r="S90" s="75">
        <f>IFERROR(VLOOKUP(A90,'PAR 21'!$A$3:$B$85,2,FALSE),0)</f>
        <v>41039</v>
      </c>
      <c r="T90" s="103">
        <f t="shared" si="44"/>
        <v>3419.9166666666665</v>
      </c>
    </row>
    <row r="91" spans="1:20" x14ac:dyDescent="0.25">
      <c r="A91" s="169">
        <v>44905230</v>
      </c>
      <c r="B91" s="88" t="s">
        <v>165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4750</v>
      </c>
      <c r="I91" s="14">
        <v>3741.36</v>
      </c>
      <c r="J91" s="14">
        <v>0</v>
      </c>
      <c r="K91" s="14">
        <v>0</v>
      </c>
      <c r="L91" s="14">
        <v>0</v>
      </c>
      <c r="M91" s="14">
        <v>585000</v>
      </c>
      <c r="N91" s="14">
        <v>0</v>
      </c>
      <c r="O91" s="25">
        <f t="shared" si="41"/>
        <v>593491.36</v>
      </c>
      <c r="P91" s="74">
        <f t="shared" si="42"/>
        <v>7.300849392285506E-3</v>
      </c>
      <c r="Q91" s="33">
        <f t="shared" si="37"/>
        <v>1.4475399024390243</v>
      </c>
      <c r="R91" s="75">
        <f t="shared" si="43"/>
        <v>49457.613333333335</v>
      </c>
      <c r="S91" s="75">
        <f>IFERROR(VLOOKUP(A91,'PAR 21'!$A$3:$B$85,2,FALSE),0)</f>
        <v>410000</v>
      </c>
      <c r="T91" s="103">
        <f t="shared" si="44"/>
        <v>34166.666666666664</v>
      </c>
    </row>
    <row r="92" spans="1:20" x14ac:dyDescent="0.25">
      <c r="A92" s="169">
        <v>44905233</v>
      </c>
      <c r="B92" s="88" t="s">
        <v>186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19658.32</v>
      </c>
      <c r="N92" s="14">
        <v>0</v>
      </c>
      <c r="O92" s="25">
        <f t="shared" si="41"/>
        <v>19658.32</v>
      </c>
      <c r="P92" s="74">
        <f t="shared" ref="P92:P94" si="45">O92/$O$15</f>
        <v>2.4182733447940003E-4</v>
      </c>
      <c r="Q92" s="33">
        <f t="shared" ref="Q92:Q94" si="46">IFERROR(O92/S92,0)</f>
        <v>5.957066666666667</v>
      </c>
      <c r="R92" s="75">
        <f t="shared" ref="R92:R94" si="47">AVERAGE(C92:N92)</f>
        <v>1638.1933333333334</v>
      </c>
      <c r="S92" s="75">
        <f>IFERROR(VLOOKUP(A92,'PAR 21'!$A$3:$B$85,2,FALSE),0)</f>
        <v>3300</v>
      </c>
      <c r="T92" s="103">
        <f t="shared" ref="T92:T94" si="48">S92/12</f>
        <v>275</v>
      </c>
    </row>
    <row r="93" spans="1:20" x14ac:dyDescent="0.25">
      <c r="A93" s="169">
        <v>44905235</v>
      </c>
      <c r="B93" s="88" t="s">
        <v>183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5110</v>
      </c>
      <c r="M93" s="14">
        <v>0</v>
      </c>
      <c r="N93" s="14">
        <v>0</v>
      </c>
      <c r="O93" s="25">
        <f t="shared" si="41"/>
        <v>5110</v>
      </c>
      <c r="P93" s="74">
        <f t="shared" si="45"/>
        <v>6.2860797829607723E-5</v>
      </c>
      <c r="Q93" s="33">
        <f t="shared" si="46"/>
        <v>1.5391566265060241</v>
      </c>
      <c r="R93" s="75">
        <f t="shared" si="47"/>
        <v>425.83333333333331</v>
      </c>
      <c r="S93" s="75">
        <f>IFERROR(VLOOKUP(A93,'PAR 21'!$A$3:$B$85,2,FALSE),0)</f>
        <v>3320</v>
      </c>
      <c r="T93" s="103">
        <f t="shared" si="48"/>
        <v>276.66666666666669</v>
      </c>
    </row>
    <row r="94" spans="1:20" x14ac:dyDescent="0.25">
      <c r="A94" s="169">
        <v>44905241</v>
      </c>
      <c r="B94" s="88" t="s">
        <v>184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420480</v>
      </c>
      <c r="M94" s="14">
        <v>0</v>
      </c>
      <c r="N94" s="14">
        <v>0</v>
      </c>
      <c r="O94" s="25">
        <f t="shared" si="41"/>
        <v>420480</v>
      </c>
      <c r="P94" s="74">
        <f t="shared" si="45"/>
        <v>5.1725456499791501E-3</v>
      </c>
      <c r="Q94" s="33">
        <f t="shared" si="46"/>
        <v>1.1241208782835983</v>
      </c>
      <c r="R94" s="75">
        <f t="shared" si="47"/>
        <v>35040</v>
      </c>
      <c r="S94" s="75">
        <f>IFERROR(VLOOKUP(A94,'PAR 21'!$A$3:$B$85,2,FALSE),0)</f>
        <v>374052.3</v>
      </c>
      <c r="T94" s="103">
        <f t="shared" si="48"/>
        <v>31171.024999999998</v>
      </c>
    </row>
    <row r="95" spans="1:20" ht="15.75" thickBot="1" x14ac:dyDescent="0.3">
      <c r="A95" s="170">
        <v>44905242</v>
      </c>
      <c r="B95" s="97" t="s">
        <v>174</v>
      </c>
      <c r="C95" s="111">
        <v>0</v>
      </c>
      <c r="D95" s="111">
        <v>0</v>
      </c>
      <c r="E95" s="111">
        <v>0</v>
      </c>
      <c r="F95" s="111">
        <v>0</v>
      </c>
      <c r="G95" s="111">
        <v>0</v>
      </c>
      <c r="H95" s="111">
        <v>0</v>
      </c>
      <c r="I95" s="111">
        <v>0</v>
      </c>
      <c r="J95" s="111">
        <v>150304.84</v>
      </c>
      <c r="K95" s="111">
        <v>16116</v>
      </c>
      <c r="L95" s="111">
        <v>-1180</v>
      </c>
      <c r="M95" s="111">
        <v>31893.200000000001</v>
      </c>
      <c r="N95" s="111">
        <v>0</v>
      </c>
      <c r="O95" s="98">
        <f t="shared" ref="O95" si="49">SUM(C95:N95)</f>
        <v>197134.04</v>
      </c>
      <c r="P95" s="99">
        <f t="shared" ref="P95" si="50">O95/$O$15</f>
        <v>2.4250495173725639E-3</v>
      </c>
      <c r="Q95" s="100">
        <f t="shared" ref="Q95" si="51">IFERROR(O95/S95,0)</f>
        <v>3.1440835725677831</v>
      </c>
      <c r="R95" s="101">
        <f t="shared" ref="R95" si="52">AVERAGE(C95:N95)</f>
        <v>16427.836666666666</v>
      </c>
      <c r="S95" s="101">
        <f>IFERROR(VLOOKUP(A95,'PAR 21'!$A$3:$B$85,2,FALSE),0)</f>
        <v>62700</v>
      </c>
      <c r="T95" s="104">
        <f t="shared" ref="T95" si="53">S95/12</f>
        <v>5225</v>
      </c>
    </row>
  </sheetData>
  <autoFilter ref="A14:S37" xr:uid="{BB4AFC90-5F07-40C5-B9D0-104AEF894157}"/>
  <mergeCells count="4">
    <mergeCell ref="A13:B13"/>
    <mergeCell ref="A15:B15"/>
    <mergeCell ref="C13:T13"/>
    <mergeCell ref="A7:T7"/>
  </mergeCells>
  <pageMargins left="0.59055118110236227" right="0.59055118110236227" top="0.59416666666666662" bottom="0.59055118110236227" header="0.20020833333333332" footer="0.31496062992125984"/>
  <pageSetup paperSize="9" scale="42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2BDF2-0052-4992-BE6E-C400126FB4EB}">
  <sheetPr>
    <tabColor theme="3" tint="0.39997558519241921"/>
  </sheetPr>
  <dimension ref="A1:R80"/>
  <sheetViews>
    <sheetView showGridLines="0" workbookViewId="0">
      <selection activeCell="P14" sqref="P14"/>
    </sheetView>
  </sheetViews>
  <sheetFormatPr defaultColWidth="10.42578125" defaultRowHeight="15" x14ac:dyDescent="0.25"/>
  <cols>
    <col min="2" max="2" width="35.5703125" bestFit="1" customWidth="1"/>
    <col min="3" max="3" width="10.5703125" bestFit="1" customWidth="1"/>
    <col min="4" max="4" width="11.7109375" bestFit="1" customWidth="1"/>
    <col min="5" max="5" width="11.5703125" bestFit="1" customWidth="1"/>
    <col min="6" max="6" width="13.28515625" bestFit="1" customWidth="1"/>
    <col min="7" max="12" width="11.5703125" bestFit="1" customWidth="1"/>
    <col min="14" max="14" width="11.5703125" bestFit="1" customWidth="1"/>
    <col min="15" max="15" width="13.28515625" style="1" bestFit="1" customWidth="1"/>
    <col min="16" max="16" width="14" style="1" bestFit="1" customWidth="1"/>
  </cols>
  <sheetData>
    <row r="1" spans="1:18" x14ac:dyDescent="0.25">
      <c r="P1" s="28"/>
      <c r="R1" s="34"/>
    </row>
    <row r="2" spans="1:18" x14ac:dyDescent="0.25">
      <c r="P2" s="28"/>
      <c r="R2" s="34"/>
    </row>
    <row r="3" spans="1:18" x14ac:dyDescent="0.25">
      <c r="P3" s="28"/>
      <c r="R3" s="34"/>
    </row>
    <row r="4" spans="1:18" x14ac:dyDescent="0.25">
      <c r="P4" s="28"/>
      <c r="R4" s="34"/>
    </row>
    <row r="5" spans="1:18" x14ac:dyDescent="0.25">
      <c r="P5" s="28"/>
      <c r="R5" s="34"/>
    </row>
    <row r="6" spans="1:18" x14ac:dyDescent="0.25">
      <c r="P6" s="28"/>
      <c r="R6" s="34"/>
    </row>
    <row r="7" spans="1:18" x14ac:dyDescent="0.25">
      <c r="A7" s="181" t="s">
        <v>87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44"/>
      <c r="R7" s="44"/>
    </row>
    <row r="8" spans="1:18" x14ac:dyDescent="0.25">
      <c r="P8" s="28"/>
      <c r="R8" s="34"/>
    </row>
    <row r="9" spans="1:18" x14ac:dyDescent="0.25">
      <c r="P9" s="28"/>
      <c r="R9" s="34"/>
    </row>
    <row r="10" spans="1:18" x14ac:dyDescent="0.25">
      <c r="A10" s="1" t="s">
        <v>88</v>
      </c>
      <c r="P10" s="28"/>
      <c r="R10" s="34"/>
    </row>
    <row r="11" spans="1:18" x14ac:dyDescent="0.25">
      <c r="A11" s="1"/>
      <c r="P11" s="28"/>
      <c r="R11" s="34"/>
    </row>
    <row r="12" spans="1:18" x14ac:dyDescent="0.25">
      <c r="A12" s="185" t="s">
        <v>2</v>
      </c>
      <c r="B12" s="186"/>
      <c r="C12" s="190" t="s">
        <v>4</v>
      </c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</row>
    <row r="13" spans="1:18" x14ac:dyDescent="0.25">
      <c r="A13" s="20" t="s">
        <v>27</v>
      </c>
      <c r="B13" s="21" t="s">
        <v>28</v>
      </c>
      <c r="C13" s="22">
        <v>44197</v>
      </c>
      <c r="D13" s="22">
        <v>44228</v>
      </c>
      <c r="E13" s="22">
        <v>44256</v>
      </c>
      <c r="F13" s="22">
        <v>44287</v>
      </c>
      <c r="G13" s="22">
        <v>44317</v>
      </c>
      <c r="H13" s="22">
        <v>44348</v>
      </c>
      <c r="I13" s="22">
        <v>44378</v>
      </c>
      <c r="J13" s="22">
        <v>44409</v>
      </c>
      <c r="K13" s="22">
        <v>44440</v>
      </c>
      <c r="L13" s="22">
        <v>44470</v>
      </c>
      <c r="M13" s="22">
        <v>44501</v>
      </c>
      <c r="N13" s="22">
        <v>44531</v>
      </c>
      <c r="O13" s="22" t="s">
        <v>5</v>
      </c>
      <c r="P13" s="90" t="s">
        <v>31</v>
      </c>
    </row>
    <row r="14" spans="1:18" ht="30.75" thickBot="1" x14ac:dyDescent="0.3">
      <c r="A14" s="173">
        <v>33903028</v>
      </c>
      <c r="B14" s="174" t="s">
        <v>52</v>
      </c>
      <c r="C14" s="171">
        <v>0</v>
      </c>
      <c r="D14" s="171">
        <v>338858.8</v>
      </c>
      <c r="E14" s="171">
        <v>922021.6</v>
      </c>
      <c r="F14" s="171">
        <v>526438.69999999995</v>
      </c>
      <c r="G14" s="171">
        <v>407785.75</v>
      </c>
      <c r="H14" s="172">
        <v>364061.3</v>
      </c>
      <c r="I14" s="172">
        <v>355605.51</v>
      </c>
      <c r="J14" s="172">
        <v>867355.6</v>
      </c>
      <c r="K14" s="172">
        <v>386334.26</v>
      </c>
      <c r="L14" s="172">
        <v>269043.42</v>
      </c>
      <c r="M14" s="172">
        <v>31447.88</v>
      </c>
      <c r="N14" s="177">
        <v>520045.51</v>
      </c>
      <c r="O14" s="175">
        <f>SUM(C14:N14)</f>
        <v>4988998.3299999991</v>
      </c>
      <c r="P14" s="176">
        <f>AVERAGE(C14:N14)</f>
        <v>415749.86083333328</v>
      </c>
    </row>
    <row r="15" spans="1:18" x14ac:dyDescent="0.25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43"/>
    </row>
    <row r="16" spans="1:18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43"/>
    </row>
    <row r="17" spans="3:15" x14ac:dyDescent="0.25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43"/>
    </row>
    <row r="18" spans="3:15" x14ac:dyDescent="0.25"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43"/>
    </row>
    <row r="19" spans="3:15" x14ac:dyDescent="0.25"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43"/>
    </row>
    <row r="20" spans="3:15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43"/>
    </row>
    <row r="21" spans="3:15" x14ac:dyDescent="0.25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43"/>
    </row>
    <row r="22" spans="3:15" x14ac:dyDescent="0.25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43"/>
    </row>
    <row r="23" spans="3:15" x14ac:dyDescent="0.2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43"/>
    </row>
    <row r="24" spans="3:15" x14ac:dyDescent="0.25"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43"/>
    </row>
    <row r="25" spans="3:15" x14ac:dyDescent="0.25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43"/>
    </row>
    <row r="26" spans="3:15" x14ac:dyDescent="0.25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43"/>
    </row>
    <row r="27" spans="3:15" x14ac:dyDescent="0.25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43"/>
    </row>
    <row r="28" spans="3:15" x14ac:dyDescent="0.25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43"/>
    </row>
    <row r="29" spans="3:15" x14ac:dyDescent="0.2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43"/>
    </row>
    <row r="30" spans="3:15" x14ac:dyDescent="0.25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43"/>
    </row>
    <row r="31" spans="3:15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43"/>
    </row>
    <row r="32" spans="3:15" x14ac:dyDescent="0.25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43"/>
    </row>
    <row r="33" spans="3:15" x14ac:dyDescent="0.25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43"/>
    </row>
    <row r="34" spans="3:15" x14ac:dyDescent="0.25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43"/>
    </row>
    <row r="35" spans="3:15" x14ac:dyDescent="0.25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43"/>
    </row>
    <row r="36" spans="3:15" x14ac:dyDescent="0.2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43"/>
    </row>
    <row r="37" spans="3:15" x14ac:dyDescent="0.25"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43"/>
    </row>
    <row r="38" spans="3:15" x14ac:dyDescent="0.25"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43"/>
    </row>
    <row r="39" spans="3:15" x14ac:dyDescent="0.25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43"/>
    </row>
    <row r="40" spans="3:15" x14ac:dyDescent="0.25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43"/>
    </row>
    <row r="41" spans="3:15" x14ac:dyDescent="0.2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43"/>
    </row>
    <row r="42" spans="3:15" x14ac:dyDescent="0.2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43"/>
    </row>
    <row r="43" spans="3:15" x14ac:dyDescent="0.25"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43"/>
    </row>
    <row r="44" spans="3:15" x14ac:dyDescent="0.25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43"/>
    </row>
    <row r="45" spans="3:15" x14ac:dyDescent="0.25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43"/>
    </row>
    <row r="46" spans="3:15" x14ac:dyDescent="0.25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43"/>
    </row>
    <row r="47" spans="3:15" x14ac:dyDescent="0.2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43"/>
    </row>
    <row r="48" spans="3:15" x14ac:dyDescent="0.25"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43"/>
    </row>
    <row r="49" spans="3:15" x14ac:dyDescent="0.25"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43"/>
    </row>
    <row r="50" spans="3:15" x14ac:dyDescent="0.25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43"/>
    </row>
    <row r="51" spans="3:15" x14ac:dyDescent="0.25"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43"/>
    </row>
    <row r="52" spans="3:15" x14ac:dyDescent="0.25"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43"/>
    </row>
    <row r="53" spans="3:15" x14ac:dyDescent="0.25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43"/>
    </row>
    <row r="54" spans="3:15" x14ac:dyDescent="0.25"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43"/>
    </row>
    <row r="55" spans="3:15" x14ac:dyDescent="0.25"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43"/>
    </row>
    <row r="56" spans="3:15" x14ac:dyDescent="0.25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43"/>
    </row>
    <row r="57" spans="3:15" x14ac:dyDescent="0.25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43"/>
    </row>
    <row r="58" spans="3:15" x14ac:dyDescent="0.25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43"/>
    </row>
    <row r="59" spans="3:15" x14ac:dyDescent="0.25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43"/>
    </row>
    <row r="60" spans="3:15" x14ac:dyDescent="0.25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43"/>
    </row>
    <row r="61" spans="3:15" x14ac:dyDescent="0.25"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43"/>
    </row>
    <row r="62" spans="3:15" x14ac:dyDescent="0.2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43"/>
    </row>
    <row r="63" spans="3:15" x14ac:dyDescent="0.2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43"/>
    </row>
    <row r="64" spans="3:15" x14ac:dyDescent="0.2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43"/>
    </row>
    <row r="65" spans="3:15" x14ac:dyDescent="0.2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43"/>
    </row>
    <row r="66" spans="3:15" x14ac:dyDescent="0.2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43"/>
    </row>
    <row r="67" spans="3:15" x14ac:dyDescent="0.2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43"/>
    </row>
    <row r="68" spans="3:15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43"/>
    </row>
    <row r="69" spans="3:15" x14ac:dyDescent="0.2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43"/>
    </row>
    <row r="70" spans="3:15" x14ac:dyDescent="0.2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43"/>
    </row>
    <row r="71" spans="3:15" x14ac:dyDescent="0.2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43"/>
    </row>
    <row r="72" spans="3:15" x14ac:dyDescent="0.2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43"/>
    </row>
    <row r="73" spans="3:15" x14ac:dyDescent="0.2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43"/>
    </row>
    <row r="74" spans="3:15" x14ac:dyDescent="0.2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43"/>
    </row>
    <row r="75" spans="3:15" x14ac:dyDescent="0.2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43"/>
    </row>
    <row r="76" spans="3:15" x14ac:dyDescent="0.2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43"/>
    </row>
    <row r="77" spans="3:15" x14ac:dyDescent="0.2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43"/>
    </row>
    <row r="78" spans="3:15" x14ac:dyDescent="0.2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43"/>
    </row>
    <row r="79" spans="3:15" x14ac:dyDescent="0.2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43"/>
    </row>
    <row r="80" spans="3:15" x14ac:dyDescent="0.2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43"/>
    </row>
  </sheetData>
  <mergeCells count="3">
    <mergeCell ref="A12:B12"/>
    <mergeCell ref="C12:P12"/>
    <mergeCell ref="A7:P7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AE46-564F-4B48-BD68-4CCEA630168C}">
  <sheetPr>
    <pageSetUpPr fitToPage="1"/>
  </sheetPr>
  <dimension ref="A1:R19"/>
  <sheetViews>
    <sheetView showGridLines="0" workbookViewId="0">
      <selection activeCell="Q21" sqref="Q21"/>
    </sheetView>
  </sheetViews>
  <sheetFormatPr defaultRowHeight="15" x14ac:dyDescent="0.25"/>
  <cols>
    <col min="1" max="1" width="9.140625" style="45"/>
    <col min="2" max="3" width="10.140625" style="45" customWidth="1"/>
    <col min="4" max="4" width="35.7109375" bestFit="1" customWidth="1"/>
    <col min="5" max="5" width="9.5703125" bestFit="1" customWidth="1"/>
    <col min="6" max="6" width="10.28515625" bestFit="1" customWidth="1"/>
    <col min="7" max="7" width="13.28515625" bestFit="1" customWidth="1"/>
    <col min="8" max="9" width="11.5703125" bestFit="1" customWidth="1"/>
    <col min="10" max="10" width="13.28515625" bestFit="1" customWidth="1"/>
    <col min="11" max="11" width="11.5703125" bestFit="1" customWidth="1"/>
    <col min="12" max="12" width="13.28515625" bestFit="1" customWidth="1"/>
    <col min="13" max="13" width="10.5703125" bestFit="1" customWidth="1"/>
    <col min="14" max="16" width="11.5703125" bestFit="1" customWidth="1"/>
    <col min="17" max="17" width="13.28515625" bestFit="1" customWidth="1"/>
    <col min="18" max="18" width="14" bestFit="1" customWidth="1"/>
  </cols>
  <sheetData>
    <row r="1" spans="1:18" x14ac:dyDescent="0.25">
      <c r="Q1" s="1"/>
      <c r="R1" s="28"/>
    </row>
    <row r="2" spans="1:18" x14ac:dyDescent="0.25">
      <c r="Q2" s="1"/>
      <c r="R2" s="28"/>
    </row>
    <row r="3" spans="1:18" x14ac:dyDescent="0.25">
      <c r="Q3" s="1"/>
      <c r="R3" s="28"/>
    </row>
    <row r="4" spans="1:18" x14ac:dyDescent="0.25">
      <c r="Q4" s="1"/>
      <c r="R4" s="28"/>
    </row>
    <row r="5" spans="1:18" x14ac:dyDescent="0.25">
      <c r="Q5" s="1"/>
      <c r="R5" s="28"/>
    </row>
    <row r="6" spans="1:18" x14ac:dyDescent="0.25">
      <c r="Q6" s="1"/>
      <c r="R6" s="28"/>
    </row>
    <row r="7" spans="1:18" x14ac:dyDescent="0.25">
      <c r="A7" s="181" t="s">
        <v>89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</row>
    <row r="8" spans="1:18" x14ac:dyDescent="0.25">
      <c r="Q8" s="1"/>
      <c r="R8" s="28"/>
    </row>
    <row r="9" spans="1:18" x14ac:dyDescent="0.25">
      <c r="Q9" s="1"/>
      <c r="R9" s="28"/>
    </row>
    <row r="10" spans="1:18" x14ac:dyDescent="0.25">
      <c r="A10" s="49" t="s">
        <v>90</v>
      </c>
      <c r="B10" s="46"/>
      <c r="C10" s="46"/>
      <c r="Q10" s="1"/>
      <c r="R10" s="28"/>
    </row>
    <row r="11" spans="1:18" x14ac:dyDescent="0.25">
      <c r="A11" s="46"/>
      <c r="B11" s="46"/>
      <c r="C11" s="46"/>
      <c r="Q11" s="1"/>
      <c r="R11" s="28"/>
    </row>
    <row r="12" spans="1:18" x14ac:dyDescent="0.25">
      <c r="A12" s="185" t="s">
        <v>2</v>
      </c>
      <c r="B12" s="186"/>
      <c r="C12" s="186"/>
      <c r="D12" s="186"/>
      <c r="E12" s="190" t="s">
        <v>4</v>
      </c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1:18" x14ac:dyDescent="0.25">
      <c r="A13" s="47" t="s">
        <v>27</v>
      </c>
      <c r="B13" s="48" t="s">
        <v>91</v>
      </c>
      <c r="C13" s="48" t="s">
        <v>175</v>
      </c>
      <c r="D13" s="21" t="s">
        <v>28</v>
      </c>
      <c r="E13" s="22">
        <v>44197</v>
      </c>
      <c r="F13" s="22">
        <v>44228</v>
      </c>
      <c r="G13" s="22">
        <v>44256</v>
      </c>
      <c r="H13" s="22">
        <v>44287</v>
      </c>
      <c r="I13" s="22">
        <v>44317</v>
      </c>
      <c r="J13" s="22">
        <v>44348</v>
      </c>
      <c r="K13" s="22">
        <v>44378</v>
      </c>
      <c r="L13" s="22">
        <v>44409</v>
      </c>
      <c r="M13" s="22">
        <v>44440</v>
      </c>
      <c r="N13" s="22">
        <v>44470</v>
      </c>
      <c r="O13" s="22">
        <v>44501</v>
      </c>
      <c r="P13" s="22">
        <v>44531</v>
      </c>
      <c r="Q13" s="22" t="s">
        <v>5</v>
      </c>
      <c r="R13" s="90" t="s">
        <v>31</v>
      </c>
    </row>
    <row r="14" spans="1:18" x14ac:dyDescent="0.25">
      <c r="A14" s="122">
        <v>33903004</v>
      </c>
      <c r="B14" s="123">
        <v>9064</v>
      </c>
      <c r="C14" s="123" t="s">
        <v>176</v>
      </c>
      <c r="D14" s="124" t="s">
        <v>92</v>
      </c>
      <c r="E14" s="141">
        <v>7656</v>
      </c>
      <c r="F14" s="141">
        <v>1074.0999999999999</v>
      </c>
      <c r="G14" s="141">
        <v>74718.7</v>
      </c>
      <c r="H14" s="141">
        <v>13552</v>
      </c>
      <c r="I14" s="141">
        <v>16272</v>
      </c>
      <c r="J14" s="141">
        <v>382.8</v>
      </c>
      <c r="K14" s="141">
        <v>13398</v>
      </c>
      <c r="L14" s="141">
        <v>39154.699999999997</v>
      </c>
      <c r="M14" s="141">
        <v>2332</v>
      </c>
      <c r="N14" s="141">
        <v>21286.799999999999</v>
      </c>
      <c r="O14" s="141">
        <v>858</v>
      </c>
      <c r="P14" s="141">
        <v>44283.9</v>
      </c>
      <c r="Q14" s="142">
        <f>SUM(E14:P14)</f>
        <v>234968.99999999997</v>
      </c>
      <c r="R14" s="143">
        <f>AVERAGE(E14:P14)</f>
        <v>19580.749999999996</v>
      </c>
    </row>
    <row r="15" spans="1:18" x14ac:dyDescent="0.25">
      <c r="A15" s="139">
        <v>33903004</v>
      </c>
      <c r="B15" s="140" t="s">
        <v>176</v>
      </c>
      <c r="C15" s="140">
        <v>20210026</v>
      </c>
      <c r="D15" s="112" t="s">
        <v>177</v>
      </c>
      <c r="E15" s="113">
        <v>0</v>
      </c>
      <c r="F15" s="113">
        <v>0</v>
      </c>
      <c r="G15" s="113">
        <v>0</v>
      </c>
      <c r="H15" s="113">
        <v>2376</v>
      </c>
      <c r="I15" s="113">
        <v>26000</v>
      </c>
      <c r="J15" s="113">
        <v>50125</v>
      </c>
      <c r="K15" s="113">
        <v>33842.9</v>
      </c>
      <c r="L15" s="113">
        <v>38955</v>
      </c>
      <c r="M15" s="113">
        <v>87206</v>
      </c>
      <c r="N15" s="113">
        <v>142155</v>
      </c>
      <c r="O15" s="113">
        <v>284579.48</v>
      </c>
      <c r="P15" s="113">
        <v>75430</v>
      </c>
      <c r="Q15" s="144">
        <f>SUM(E15:P15)</f>
        <v>740669.38</v>
      </c>
      <c r="R15" s="145">
        <f>AVERAGE(E15:P15)</f>
        <v>61722.448333333334</v>
      </c>
    </row>
    <row r="16" spans="1:18" ht="15.75" thickBot="1" x14ac:dyDescent="0.3">
      <c r="A16" s="191" t="s">
        <v>5</v>
      </c>
      <c r="B16" s="192"/>
      <c r="C16" s="192"/>
      <c r="D16" s="193"/>
      <c r="E16" s="120">
        <f>SUM(E14:E15)</f>
        <v>7656</v>
      </c>
      <c r="F16" s="120">
        <f t="shared" ref="F16:O16" si="0">SUM(F14:F15)</f>
        <v>1074.0999999999999</v>
      </c>
      <c r="G16" s="120">
        <f t="shared" si="0"/>
        <v>74718.7</v>
      </c>
      <c r="H16" s="120">
        <f t="shared" si="0"/>
        <v>15928</v>
      </c>
      <c r="I16" s="120">
        <f t="shared" si="0"/>
        <v>42272</v>
      </c>
      <c r="J16" s="120">
        <f t="shared" si="0"/>
        <v>50507.8</v>
      </c>
      <c r="K16" s="120">
        <f t="shared" si="0"/>
        <v>47240.9</v>
      </c>
      <c r="L16" s="120">
        <f>SUM(L14:L15)</f>
        <v>78109.7</v>
      </c>
      <c r="M16" s="120">
        <f>SUM(M14:M15)</f>
        <v>89538</v>
      </c>
      <c r="N16" s="120">
        <f t="shared" si="0"/>
        <v>163441.79999999999</v>
      </c>
      <c r="O16" s="120">
        <f t="shared" si="0"/>
        <v>285437.48</v>
      </c>
      <c r="P16" s="120">
        <f>SUM(P14:P15)</f>
        <v>119713.9</v>
      </c>
      <c r="Q16" s="120">
        <f>SUM(Q14:Q15)</f>
        <v>975638.38</v>
      </c>
      <c r="R16" s="121">
        <f>SUM(R14:R15)</f>
        <v>81303.198333333334</v>
      </c>
    </row>
    <row r="17" spans="17:17" x14ac:dyDescent="0.25">
      <c r="Q17" s="31"/>
    </row>
    <row r="18" spans="17:17" x14ac:dyDescent="0.25">
      <c r="Q18" s="31"/>
    </row>
    <row r="19" spans="17:17" x14ac:dyDescent="0.25">
      <c r="Q19" s="34"/>
    </row>
  </sheetData>
  <mergeCells count="4">
    <mergeCell ref="A7:R7"/>
    <mergeCell ref="A12:D12"/>
    <mergeCell ref="E12:R12"/>
    <mergeCell ref="A16:D16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7ACE-5D57-4C91-BC61-45EB5BA0ADCA}">
  <sheetPr>
    <tabColor theme="9" tint="0.39997558519241921"/>
    <pageSetUpPr fitToPage="1"/>
  </sheetPr>
  <dimension ref="A1:T25"/>
  <sheetViews>
    <sheetView showGridLines="0" topLeftCell="A10" zoomScale="90" zoomScaleNormal="90" workbookViewId="0">
      <selection activeCell="A24" sqref="A24"/>
    </sheetView>
  </sheetViews>
  <sheetFormatPr defaultRowHeight="15" x14ac:dyDescent="0.25"/>
  <cols>
    <col min="1" max="1" width="12.85546875" customWidth="1"/>
    <col min="2" max="2" width="11.42578125" customWidth="1"/>
    <col min="3" max="3" width="18.28515625" bestFit="1" customWidth="1"/>
    <col min="4" max="4" width="25.7109375" customWidth="1"/>
    <col min="5" max="5" width="48.42578125" customWidth="1"/>
    <col min="6" max="6" width="11.140625" bestFit="1" customWidth="1"/>
    <col min="7" max="7" width="14.42578125" customWidth="1"/>
    <col min="8" max="8" width="15.5703125" customWidth="1"/>
    <col min="9" max="9" width="14.85546875" customWidth="1"/>
    <col min="10" max="10" width="14.7109375" customWidth="1"/>
    <col min="11" max="11" width="14.140625" customWidth="1"/>
    <col min="12" max="12" width="15.140625" customWidth="1"/>
    <col min="13" max="14" width="14.7109375" customWidth="1"/>
    <col min="15" max="15" width="13.28515625" bestFit="1" customWidth="1"/>
    <col min="16" max="16" width="15.28515625" customWidth="1"/>
    <col min="17" max="17" width="14.28515625" bestFit="1" customWidth="1"/>
    <col min="18" max="18" width="15.7109375" customWidth="1"/>
    <col min="19" max="19" width="16.85546875" customWidth="1"/>
    <col min="20" max="20" width="11.5703125" bestFit="1" customWidth="1"/>
  </cols>
  <sheetData>
    <row r="1" spans="1:19" x14ac:dyDescent="0.25">
      <c r="A1" s="45"/>
      <c r="B1" s="45"/>
      <c r="P1" s="1"/>
      <c r="Q1" s="28"/>
    </row>
    <row r="2" spans="1:19" x14ac:dyDescent="0.25">
      <c r="A2" s="45"/>
      <c r="B2" s="45"/>
      <c r="P2" s="1"/>
      <c r="Q2" s="28"/>
    </row>
    <row r="3" spans="1:19" x14ac:dyDescent="0.25">
      <c r="A3" s="45"/>
      <c r="B3" s="45"/>
      <c r="P3" s="1"/>
      <c r="Q3" s="28"/>
    </row>
    <row r="4" spans="1:19" x14ac:dyDescent="0.25">
      <c r="A4" s="45"/>
      <c r="B4" s="45"/>
      <c r="P4" s="1"/>
      <c r="Q4" s="28"/>
    </row>
    <row r="5" spans="1:19" x14ac:dyDescent="0.25">
      <c r="A5" s="45"/>
      <c r="B5" s="45"/>
      <c r="P5" s="1"/>
      <c r="Q5" s="28"/>
    </row>
    <row r="6" spans="1:19" x14ac:dyDescent="0.25">
      <c r="A6" s="45"/>
      <c r="B6" s="45"/>
      <c r="P6" s="1"/>
      <c r="Q6" s="28"/>
    </row>
    <row r="7" spans="1:19" x14ac:dyDescent="0.25">
      <c r="A7" s="181" t="s">
        <v>93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</row>
    <row r="8" spans="1:19" x14ac:dyDescent="0.25">
      <c r="A8" s="45"/>
      <c r="B8" s="45"/>
      <c r="P8" s="1"/>
      <c r="Q8" s="28"/>
    </row>
    <row r="9" spans="1:19" x14ac:dyDescent="0.25">
      <c r="A9" s="45"/>
      <c r="B9" s="45"/>
      <c r="P9" s="1"/>
      <c r="Q9" s="28"/>
    </row>
    <row r="10" spans="1:19" x14ac:dyDescent="0.25">
      <c r="A10" s="49" t="s">
        <v>94</v>
      </c>
      <c r="B10" s="46"/>
      <c r="P10" s="1"/>
      <c r="Q10" s="28"/>
    </row>
    <row r="12" spans="1:19" x14ac:dyDescent="0.25">
      <c r="A12" s="194" t="s">
        <v>2</v>
      </c>
      <c r="B12" s="195"/>
      <c r="C12" s="195"/>
      <c r="D12" s="195"/>
      <c r="E12" s="196"/>
      <c r="F12" s="190" t="s">
        <v>4</v>
      </c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</row>
    <row r="13" spans="1:19" ht="15" customHeight="1" x14ac:dyDescent="0.25">
      <c r="A13" s="20" t="s">
        <v>91</v>
      </c>
      <c r="B13" s="20" t="s">
        <v>95</v>
      </c>
      <c r="C13" s="21" t="s">
        <v>96</v>
      </c>
      <c r="D13" s="21" t="s">
        <v>97</v>
      </c>
      <c r="E13" s="21" t="s">
        <v>98</v>
      </c>
      <c r="F13" s="22">
        <v>44197</v>
      </c>
      <c r="G13" s="22">
        <v>44228</v>
      </c>
      <c r="H13" s="22">
        <v>44256</v>
      </c>
      <c r="I13" s="22">
        <v>44287</v>
      </c>
      <c r="J13" s="22">
        <v>44317</v>
      </c>
      <c r="K13" s="22">
        <v>44348</v>
      </c>
      <c r="L13" s="22">
        <v>44378</v>
      </c>
      <c r="M13" s="22">
        <v>44409</v>
      </c>
      <c r="N13" s="22">
        <v>44440</v>
      </c>
      <c r="O13" s="22">
        <v>44470</v>
      </c>
      <c r="P13" s="22">
        <v>44501</v>
      </c>
      <c r="Q13" s="22">
        <v>44531</v>
      </c>
      <c r="R13" s="22" t="s">
        <v>5</v>
      </c>
      <c r="S13" s="90" t="s">
        <v>31</v>
      </c>
    </row>
    <row r="14" spans="1:19" s="50" customFormat="1" ht="75" x14ac:dyDescent="0.25">
      <c r="A14" s="155" t="s">
        <v>99</v>
      </c>
      <c r="B14" s="96" t="s">
        <v>167</v>
      </c>
      <c r="C14" s="55" t="s">
        <v>100</v>
      </c>
      <c r="D14" s="58" t="s">
        <v>101</v>
      </c>
      <c r="E14" s="52" t="s">
        <v>102</v>
      </c>
      <c r="F14" s="61">
        <v>0</v>
      </c>
      <c r="G14" s="61">
        <v>541565.43999999994</v>
      </c>
      <c r="H14" s="61">
        <v>51171.32</v>
      </c>
      <c r="I14" s="61">
        <v>0</v>
      </c>
      <c r="J14" s="61">
        <v>0</v>
      </c>
      <c r="K14" s="61">
        <v>-152424.22</v>
      </c>
      <c r="L14" s="61">
        <v>0</v>
      </c>
      <c r="M14" s="61">
        <v>126838.56</v>
      </c>
      <c r="N14" s="61">
        <v>0</v>
      </c>
      <c r="O14" s="61">
        <v>0</v>
      </c>
      <c r="P14" s="61">
        <v>0</v>
      </c>
      <c r="Q14" s="61">
        <v>0</v>
      </c>
      <c r="R14" s="62">
        <f t="shared" ref="R14:R25" si="0">SUM(F14:Q14)</f>
        <v>567151.09999999986</v>
      </c>
      <c r="S14" s="156">
        <f t="shared" ref="S14:S25" si="1">AVERAGE(F14:Q14)</f>
        <v>47262.591666666653</v>
      </c>
    </row>
    <row r="15" spans="1:19" s="50" customFormat="1" ht="75" x14ac:dyDescent="0.25">
      <c r="A15" s="155" t="s">
        <v>99</v>
      </c>
      <c r="B15" s="106" t="s">
        <v>166</v>
      </c>
      <c r="C15" s="105" t="s">
        <v>100</v>
      </c>
      <c r="D15" s="107" t="s">
        <v>101</v>
      </c>
      <c r="E15" s="108" t="s">
        <v>102</v>
      </c>
      <c r="F15" s="109">
        <v>0</v>
      </c>
      <c r="G15" s="110">
        <v>0</v>
      </c>
      <c r="H15" s="109">
        <v>55489.69</v>
      </c>
      <c r="I15" s="109">
        <v>554896.9</v>
      </c>
      <c r="J15" s="109">
        <v>1378638.3</v>
      </c>
      <c r="K15" s="109">
        <v>4055.08</v>
      </c>
      <c r="L15" s="109">
        <v>206576.89</v>
      </c>
      <c r="M15" s="109">
        <v>541724.28</v>
      </c>
      <c r="N15" s="109">
        <v>1056416.08</v>
      </c>
      <c r="O15" s="109">
        <v>56335.3</v>
      </c>
      <c r="P15" s="109">
        <v>554896.9</v>
      </c>
      <c r="Q15" s="109">
        <v>1073050.32</v>
      </c>
      <c r="R15" s="64">
        <f t="shared" si="0"/>
        <v>5482079.7400000012</v>
      </c>
      <c r="S15" s="157">
        <f t="shared" si="1"/>
        <v>456839.97833333345</v>
      </c>
    </row>
    <row r="16" spans="1:19" s="50" customFormat="1" ht="45" x14ac:dyDescent="0.25">
      <c r="A16" s="102" t="s">
        <v>103</v>
      </c>
      <c r="B16" s="56" t="s">
        <v>104</v>
      </c>
      <c r="C16" s="56" t="s">
        <v>105</v>
      </c>
      <c r="D16" s="59" t="s">
        <v>106</v>
      </c>
      <c r="E16" s="53" t="s">
        <v>107</v>
      </c>
      <c r="F16" s="63">
        <v>0</v>
      </c>
      <c r="G16" s="63">
        <v>198664.08</v>
      </c>
      <c r="H16" s="63">
        <v>251979.74</v>
      </c>
      <c r="I16" s="63">
        <v>198664.08</v>
      </c>
      <c r="J16" s="63">
        <v>378023.39</v>
      </c>
      <c r="K16" s="63">
        <v>0</v>
      </c>
      <c r="L16" s="63">
        <v>142796.72</v>
      </c>
      <c r="M16" s="63">
        <v>0</v>
      </c>
      <c r="N16" s="63">
        <v>285593.44</v>
      </c>
      <c r="O16" s="63">
        <v>0</v>
      </c>
      <c r="P16" s="63">
        <v>119734.23</v>
      </c>
      <c r="Q16" s="63">
        <v>285593.44</v>
      </c>
      <c r="R16" s="64">
        <f t="shared" si="0"/>
        <v>1861049.1199999999</v>
      </c>
      <c r="S16" s="157">
        <f t="shared" si="1"/>
        <v>155087.42666666667</v>
      </c>
    </row>
    <row r="17" spans="1:20" s="50" customFormat="1" ht="30" x14ac:dyDescent="0.25">
      <c r="A17" s="102" t="s">
        <v>108</v>
      </c>
      <c r="B17" s="56" t="s">
        <v>109</v>
      </c>
      <c r="C17" s="56" t="s">
        <v>110</v>
      </c>
      <c r="D17" s="59" t="s">
        <v>111</v>
      </c>
      <c r="E17" s="53" t="s">
        <v>112</v>
      </c>
      <c r="F17" s="63">
        <v>0</v>
      </c>
      <c r="G17" s="63">
        <v>156208.31</v>
      </c>
      <c r="H17" s="63">
        <v>1392.2</v>
      </c>
      <c r="I17" s="63">
        <v>156208.31</v>
      </c>
      <c r="J17" s="63">
        <v>156208.31</v>
      </c>
      <c r="K17" s="63">
        <v>148369.14000000001</v>
      </c>
      <c r="L17" s="63">
        <v>156208.31</v>
      </c>
      <c r="M17" s="63">
        <v>156208.31</v>
      </c>
      <c r="N17" s="63">
        <v>284765.24</v>
      </c>
      <c r="O17" s="63">
        <v>95657.59</v>
      </c>
      <c r="P17" s="63">
        <v>112825.37</v>
      </c>
      <c r="Q17" s="63">
        <v>0</v>
      </c>
      <c r="R17" s="64">
        <f t="shared" si="0"/>
        <v>1424051.0900000003</v>
      </c>
      <c r="S17" s="157">
        <f t="shared" si="1"/>
        <v>118670.92416666669</v>
      </c>
    </row>
    <row r="18" spans="1:20" s="50" customFormat="1" ht="45" x14ac:dyDescent="0.25">
      <c r="A18" s="102" t="s">
        <v>113</v>
      </c>
      <c r="B18" s="56" t="s">
        <v>114</v>
      </c>
      <c r="C18" s="56" t="s">
        <v>115</v>
      </c>
      <c r="D18" s="56" t="s">
        <v>116</v>
      </c>
      <c r="E18" s="53" t="s">
        <v>117</v>
      </c>
      <c r="F18" s="63">
        <v>0</v>
      </c>
      <c r="G18" s="63">
        <v>269850.5</v>
      </c>
      <c r="H18" s="63">
        <v>373819.83</v>
      </c>
      <c r="I18" s="63">
        <v>461897.43</v>
      </c>
      <c r="J18" s="63">
        <v>375000</v>
      </c>
      <c r="K18" s="63">
        <v>347037.81</v>
      </c>
      <c r="L18" s="63">
        <v>328086.68</v>
      </c>
      <c r="M18" s="63">
        <v>342379.82</v>
      </c>
      <c r="N18" s="63">
        <v>389074.07</v>
      </c>
      <c r="O18" s="63">
        <v>377207.1</v>
      </c>
      <c r="P18" s="63">
        <v>409300.51</v>
      </c>
      <c r="Q18" s="63">
        <v>1066222.26</v>
      </c>
      <c r="R18" s="64">
        <f t="shared" si="0"/>
        <v>4739876.01</v>
      </c>
      <c r="S18" s="157">
        <f t="shared" si="1"/>
        <v>394989.66749999998</v>
      </c>
    </row>
    <row r="19" spans="1:20" s="50" customFormat="1" x14ac:dyDescent="0.25">
      <c r="A19" s="102" t="s">
        <v>118</v>
      </c>
      <c r="B19" s="56" t="s">
        <v>119</v>
      </c>
      <c r="C19" s="56" t="s">
        <v>120</v>
      </c>
      <c r="D19" s="56" t="s">
        <v>121</v>
      </c>
      <c r="E19" s="53" t="s">
        <v>122</v>
      </c>
      <c r="F19" s="63">
        <v>0</v>
      </c>
      <c r="G19" s="63">
        <v>0</v>
      </c>
      <c r="H19" s="63">
        <v>6475.09</v>
      </c>
      <c r="I19" s="63">
        <v>220931.89</v>
      </c>
      <c r="J19" s="63">
        <v>160000</v>
      </c>
      <c r="K19" s="63">
        <v>72000</v>
      </c>
      <c r="L19" s="63">
        <v>170977.91</v>
      </c>
      <c r="M19" s="63">
        <v>147870.64000000001</v>
      </c>
      <c r="N19" s="63">
        <v>155000</v>
      </c>
      <c r="O19" s="63">
        <v>83019.19</v>
      </c>
      <c r="P19" s="63">
        <v>130277.32</v>
      </c>
      <c r="Q19" s="63">
        <v>286000</v>
      </c>
      <c r="R19" s="64">
        <f t="shared" si="0"/>
        <v>1432552.04</v>
      </c>
      <c r="S19" s="157">
        <f t="shared" si="1"/>
        <v>119379.33666666667</v>
      </c>
    </row>
    <row r="20" spans="1:20" s="51" customFormat="1" ht="30" x14ac:dyDescent="0.25">
      <c r="A20" s="102" t="s">
        <v>123</v>
      </c>
      <c r="B20" s="56" t="s">
        <v>124</v>
      </c>
      <c r="C20" s="56" t="s">
        <v>125</v>
      </c>
      <c r="D20" s="59" t="s">
        <v>126</v>
      </c>
      <c r="E20" s="53" t="s">
        <v>127</v>
      </c>
      <c r="F20" s="65">
        <v>0</v>
      </c>
      <c r="G20" s="65">
        <v>296931.09999999998</v>
      </c>
      <c r="H20" s="65">
        <v>0</v>
      </c>
      <c r="I20" s="65">
        <v>479915.8</v>
      </c>
      <c r="J20" s="65">
        <v>0</v>
      </c>
      <c r="K20" s="65">
        <v>283758.48</v>
      </c>
      <c r="L20" s="65">
        <v>348751.66</v>
      </c>
      <c r="M20" s="65">
        <v>347638.93</v>
      </c>
      <c r="N20" s="65">
        <v>628039.1</v>
      </c>
      <c r="O20" s="65">
        <v>0</v>
      </c>
      <c r="P20" s="65">
        <v>295995.7</v>
      </c>
      <c r="Q20" s="65">
        <v>919591.41</v>
      </c>
      <c r="R20" s="64">
        <f t="shared" si="0"/>
        <v>3600622.18</v>
      </c>
      <c r="S20" s="157">
        <f t="shared" si="1"/>
        <v>300051.84833333333</v>
      </c>
      <c r="T20" s="119"/>
    </row>
    <row r="21" spans="1:20" s="51" customFormat="1" ht="45" x14ac:dyDescent="0.25">
      <c r="A21" s="102" t="s">
        <v>128</v>
      </c>
      <c r="B21" s="56" t="s">
        <v>129</v>
      </c>
      <c r="C21" s="56" t="s">
        <v>100</v>
      </c>
      <c r="D21" s="59" t="s">
        <v>101</v>
      </c>
      <c r="E21" s="53" t="s">
        <v>130</v>
      </c>
      <c r="F21" s="65">
        <v>0</v>
      </c>
      <c r="G21" s="65">
        <v>202362.91</v>
      </c>
      <c r="H21" s="65">
        <v>189180.47</v>
      </c>
      <c r="I21" s="65">
        <v>189180.47</v>
      </c>
      <c r="J21" s="65">
        <v>481539.98</v>
      </c>
      <c r="K21" s="65">
        <v>0</v>
      </c>
      <c r="L21" s="65">
        <v>208933.02</v>
      </c>
      <c r="M21" s="65">
        <v>208933.02</v>
      </c>
      <c r="N21" s="65">
        <v>222618.08</v>
      </c>
      <c r="O21" s="65">
        <v>149620.44</v>
      </c>
      <c r="P21" s="65">
        <v>208933.02</v>
      </c>
      <c r="Q21" s="65">
        <v>496138.14</v>
      </c>
      <c r="R21" s="64">
        <f t="shared" si="0"/>
        <v>2557439.5500000003</v>
      </c>
      <c r="S21" s="157">
        <f t="shared" si="1"/>
        <v>213119.96250000002</v>
      </c>
    </row>
    <row r="22" spans="1:20" s="50" customFormat="1" ht="45" x14ac:dyDescent="0.25">
      <c r="A22" s="158" t="s">
        <v>131</v>
      </c>
      <c r="B22" s="56" t="s">
        <v>132</v>
      </c>
      <c r="C22" s="56" t="s">
        <v>133</v>
      </c>
      <c r="D22" s="59" t="s">
        <v>134</v>
      </c>
      <c r="E22" s="53" t="s">
        <v>135</v>
      </c>
      <c r="F22" s="63">
        <v>0</v>
      </c>
      <c r="G22" s="63">
        <v>174775.36</v>
      </c>
      <c r="H22" s="63">
        <v>174775.36</v>
      </c>
      <c r="I22" s="63">
        <v>174775.36</v>
      </c>
      <c r="J22" s="63">
        <v>349550.72</v>
      </c>
      <c r="K22" s="63">
        <v>0</v>
      </c>
      <c r="L22" s="65">
        <v>174775.36</v>
      </c>
      <c r="M22" s="63">
        <v>101341.45</v>
      </c>
      <c r="N22" s="63">
        <v>349550.72</v>
      </c>
      <c r="O22" s="63">
        <v>61782.720000000001</v>
      </c>
      <c r="P22" s="63">
        <v>149892.04999999999</v>
      </c>
      <c r="Q22" s="63">
        <v>336020.02</v>
      </c>
      <c r="R22" s="64">
        <f t="shared" si="0"/>
        <v>2047239.1199999999</v>
      </c>
      <c r="S22" s="157">
        <f t="shared" si="1"/>
        <v>170603.25999999998</v>
      </c>
    </row>
    <row r="23" spans="1:20" s="51" customFormat="1" ht="45" x14ac:dyDescent="0.25">
      <c r="A23" s="158" t="s">
        <v>136</v>
      </c>
      <c r="B23" s="56" t="s">
        <v>137</v>
      </c>
      <c r="C23" s="56" t="s">
        <v>138</v>
      </c>
      <c r="D23" s="59" t="s">
        <v>139</v>
      </c>
      <c r="E23" s="53" t="s">
        <v>140</v>
      </c>
      <c r="F23" s="65">
        <v>0</v>
      </c>
      <c r="G23" s="65">
        <v>182602.1</v>
      </c>
      <c r="H23" s="65">
        <v>172904.75</v>
      </c>
      <c r="I23" s="65">
        <v>172904.75</v>
      </c>
      <c r="J23" s="65">
        <v>345809.5</v>
      </c>
      <c r="K23" s="65">
        <v>0</v>
      </c>
      <c r="L23" s="65">
        <v>208428.53</v>
      </c>
      <c r="M23" s="65">
        <v>172904.75</v>
      </c>
      <c r="N23" s="65">
        <v>345809.5</v>
      </c>
      <c r="O23" s="65">
        <v>0</v>
      </c>
      <c r="P23" s="65">
        <v>132249.06</v>
      </c>
      <c r="Q23" s="65">
        <v>352987.06</v>
      </c>
      <c r="R23" s="64">
        <f t="shared" si="0"/>
        <v>2086600</v>
      </c>
      <c r="S23" s="157">
        <f t="shared" si="1"/>
        <v>173883.33333333334</v>
      </c>
    </row>
    <row r="24" spans="1:20" s="50" customFormat="1" ht="75" x14ac:dyDescent="0.25">
      <c r="A24" s="159" t="s">
        <v>141</v>
      </c>
      <c r="B24" s="57" t="s">
        <v>142</v>
      </c>
      <c r="C24" s="57" t="s">
        <v>143</v>
      </c>
      <c r="D24" s="60" t="s">
        <v>144</v>
      </c>
      <c r="E24" s="54" t="s">
        <v>145</v>
      </c>
      <c r="F24" s="66">
        <v>0</v>
      </c>
      <c r="G24" s="66">
        <v>68387.48</v>
      </c>
      <c r="H24" s="66">
        <v>68387.48</v>
      </c>
      <c r="I24" s="66">
        <v>68306.48</v>
      </c>
      <c r="J24" s="66">
        <v>136720.95999999999</v>
      </c>
      <c r="K24" s="66">
        <v>0</v>
      </c>
      <c r="L24" s="66">
        <v>27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7">
        <f t="shared" si="0"/>
        <v>341829.4</v>
      </c>
      <c r="S24" s="160">
        <f t="shared" si="1"/>
        <v>28485.783333333336</v>
      </c>
    </row>
    <row r="25" spans="1:20" s="1" customFormat="1" ht="15.75" thickBot="1" x14ac:dyDescent="0.3">
      <c r="A25" s="197" t="s">
        <v>5</v>
      </c>
      <c r="B25" s="198"/>
      <c r="C25" s="198"/>
      <c r="D25" s="198"/>
      <c r="E25" s="198"/>
      <c r="F25" s="120">
        <f t="shared" ref="F25:Q25" si="2">SUM(F14:F24)</f>
        <v>0</v>
      </c>
      <c r="G25" s="120">
        <f t="shared" si="2"/>
        <v>2091347.2799999998</v>
      </c>
      <c r="H25" s="120">
        <f t="shared" si="2"/>
        <v>1345575.93</v>
      </c>
      <c r="I25" s="120">
        <f t="shared" si="2"/>
        <v>2677681.4699999997</v>
      </c>
      <c r="J25" s="120">
        <f t="shared" si="2"/>
        <v>3761491.16</v>
      </c>
      <c r="K25" s="120">
        <f t="shared" si="2"/>
        <v>702796.29</v>
      </c>
      <c r="L25" s="120">
        <f t="shared" si="2"/>
        <v>1945562.0799999998</v>
      </c>
      <c r="M25" s="120">
        <f t="shared" si="2"/>
        <v>2145839.7600000002</v>
      </c>
      <c r="N25" s="120">
        <f t="shared" si="2"/>
        <v>3716866.2300000004</v>
      </c>
      <c r="O25" s="120">
        <f t="shared" si="2"/>
        <v>823622.33999999985</v>
      </c>
      <c r="P25" s="120">
        <f t="shared" si="2"/>
        <v>2114104.16</v>
      </c>
      <c r="Q25" s="120">
        <f t="shared" si="2"/>
        <v>4815602.6499999994</v>
      </c>
      <c r="R25" s="161">
        <f t="shared" si="0"/>
        <v>26140489.349999998</v>
      </c>
      <c r="S25" s="162">
        <f t="shared" si="1"/>
        <v>2178374.1124999998</v>
      </c>
    </row>
  </sheetData>
  <autoFilter ref="A13:S13" xr:uid="{8DB2F525-EE3F-49F3-85C2-B990280E804A}"/>
  <mergeCells count="4">
    <mergeCell ref="A12:E12"/>
    <mergeCell ref="F12:S12"/>
    <mergeCell ref="A25:E25"/>
    <mergeCell ref="A7:S7"/>
  </mergeCells>
  <pageMargins left="0.511811024" right="0.511811024" top="0.78740157499999996" bottom="0.78740157499999996" header="0.31496062000000002" footer="0.31496062000000002"/>
  <pageSetup paperSize="9" scale="48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9122-253E-4429-8271-F0BB8DE7CD32}">
  <dimension ref="A2:C80"/>
  <sheetViews>
    <sheetView workbookViewId="0">
      <selection activeCell="C19" sqref="C19"/>
    </sheetView>
  </sheetViews>
  <sheetFormatPr defaultRowHeight="15" x14ac:dyDescent="0.25"/>
  <cols>
    <col min="1" max="1" width="15.7109375" bestFit="1" customWidth="1"/>
    <col min="2" max="2" width="43.28515625" bestFit="1" customWidth="1"/>
    <col min="3" max="3" width="51.140625" customWidth="1"/>
  </cols>
  <sheetData>
    <row r="2" spans="1:3" x14ac:dyDescent="0.25">
      <c r="A2" t="s">
        <v>146</v>
      </c>
      <c r="B2" t="s">
        <v>147</v>
      </c>
    </row>
    <row r="3" spans="1:3" x14ac:dyDescent="0.25">
      <c r="A3">
        <v>33093022</v>
      </c>
      <c r="B3">
        <v>30000</v>
      </c>
      <c r="C3" t="e">
        <f>VLOOKUP(A3,'Despesas Empenhadas'!$A$16:$S$37,1,FALSE)</f>
        <v>#N/A</v>
      </c>
    </row>
    <row r="4" spans="1:3" x14ac:dyDescent="0.25">
      <c r="A4">
        <v>33903003</v>
      </c>
      <c r="B4">
        <v>92073</v>
      </c>
      <c r="C4">
        <f>VLOOKUP(A4,'Despesas Empenhadas'!$A$16:$S$37,1,FALSE)</f>
        <v>33903003</v>
      </c>
    </row>
    <row r="5" spans="1:3" x14ac:dyDescent="0.25">
      <c r="A5">
        <v>33903004</v>
      </c>
      <c r="B5">
        <v>589651.6</v>
      </c>
      <c r="C5">
        <f>VLOOKUP(A5,'Despesas Empenhadas'!$A$16:$S$37,1,FALSE)</f>
        <v>33903004</v>
      </c>
    </row>
    <row r="6" spans="1:3" x14ac:dyDescent="0.25">
      <c r="A6">
        <v>33903007</v>
      </c>
      <c r="B6">
        <v>2208000</v>
      </c>
      <c r="C6">
        <f>VLOOKUP(A6,'Despesas Empenhadas'!$A$16:$S$37,1,FALSE)</f>
        <v>33903007</v>
      </c>
    </row>
    <row r="7" spans="1:3" x14ac:dyDescent="0.25">
      <c r="A7">
        <v>33903009</v>
      </c>
      <c r="B7">
        <v>7032923.6699999999</v>
      </c>
      <c r="C7">
        <f>VLOOKUP(A7,'Despesas Empenhadas'!$A$16:$S$37,1,FALSE)</f>
        <v>33903009</v>
      </c>
    </row>
    <row r="8" spans="1:3" x14ac:dyDescent="0.25">
      <c r="A8">
        <v>33903010</v>
      </c>
      <c r="B8">
        <v>11496.38</v>
      </c>
      <c r="C8">
        <f>VLOOKUP(A8,'Despesas Empenhadas'!$A$16:$S$37,1,FALSE)</f>
        <v>33903010</v>
      </c>
    </row>
    <row r="9" spans="1:3" x14ac:dyDescent="0.25">
      <c r="A9">
        <v>33903011</v>
      </c>
      <c r="B9">
        <v>3002123.27</v>
      </c>
      <c r="C9">
        <f>VLOOKUP(A9,'Despesas Empenhadas'!$A$16:$S$37,1,FALSE)</f>
        <v>33903011</v>
      </c>
    </row>
    <row r="10" spans="1:3" x14ac:dyDescent="0.25">
      <c r="A10">
        <v>33903016</v>
      </c>
      <c r="B10">
        <v>134696.64000000001</v>
      </c>
      <c r="C10">
        <f>VLOOKUP(A10,'Despesas Empenhadas'!$A$16:$S$37,1,FALSE)</f>
        <v>33903016</v>
      </c>
    </row>
    <row r="11" spans="1:3" x14ac:dyDescent="0.25">
      <c r="A11">
        <v>33903017</v>
      </c>
      <c r="B11">
        <v>75520.960000000006</v>
      </c>
      <c r="C11">
        <f>VLOOKUP(A11,'Despesas Empenhadas'!$A$16:$S$37,1,FALSE)</f>
        <v>33903017</v>
      </c>
    </row>
    <row r="12" spans="1:3" x14ac:dyDescent="0.25">
      <c r="A12">
        <v>33903019</v>
      </c>
      <c r="B12">
        <v>255832.47</v>
      </c>
      <c r="C12">
        <f>VLOOKUP(A12,'Despesas Empenhadas'!$A$16:$S$37,1,FALSE)</f>
        <v>33903019</v>
      </c>
    </row>
    <row r="13" spans="1:3" x14ac:dyDescent="0.25">
      <c r="A13">
        <v>33903020</v>
      </c>
      <c r="B13">
        <v>369973.19</v>
      </c>
      <c r="C13">
        <f>VLOOKUP(A13,'Despesas Empenhadas'!$A$16:$S$37,1,FALSE)</f>
        <v>33903020</v>
      </c>
    </row>
    <row r="14" spans="1:3" x14ac:dyDescent="0.25">
      <c r="A14">
        <v>33903021</v>
      </c>
      <c r="B14">
        <v>133741.94</v>
      </c>
      <c r="C14">
        <f>VLOOKUP(A14,'Despesas Empenhadas'!$A$16:$S$37,1,FALSE)</f>
        <v>33903021</v>
      </c>
    </row>
    <row r="15" spans="1:3" x14ac:dyDescent="0.25">
      <c r="A15">
        <v>33903022</v>
      </c>
      <c r="B15">
        <v>232516.59</v>
      </c>
      <c r="C15">
        <f>VLOOKUP(A15,'Despesas Empenhadas'!$A$16:$S$37,1,FALSE)</f>
        <v>33903022</v>
      </c>
    </row>
    <row r="16" spans="1:3" x14ac:dyDescent="0.25">
      <c r="A16">
        <v>33903023</v>
      </c>
      <c r="B16">
        <v>702</v>
      </c>
      <c r="C16">
        <f>VLOOKUP(A16,'Despesas Empenhadas'!$A$16:$S$37,1,FALSE)</f>
        <v>33903023</v>
      </c>
    </row>
    <row r="17" spans="1:3" x14ac:dyDescent="0.25">
      <c r="A17">
        <v>33903024</v>
      </c>
      <c r="B17">
        <v>280000</v>
      </c>
      <c r="C17">
        <f>VLOOKUP(A17,'Despesas Empenhadas'!$A$16:$S$37,1,FALSE)</f>
        <v>33903024</v>
      </c>
    </row>
    <row r="18" spans="1:3" x14ac:dyDescent="0.25">
      <c r="A18">
        <v>33903025</v>
      </c>
      <c r="B18">
        <v>567770.21</v>
      </c>
      <c r="C18">
        <f>VLOOKUP(A18,'Despesas Empenhadas'!$A$16:$S$37,1,FALSE)</f>
        <v>33903025</v>
      </c>
    </row>
    <row r="19" spans="1:3" x14ac:dyDescent="0.25">
      <c r="A19">
        <v>33903026</v>
      </c>
      <c r="B19">
        <v>121013.05</v>
      </c>
      <c r="C19">
        <f>VLOOKUP(A19,'Despesas Empenhadas'!$A$16:$S$37,1,FALSE)</f>
        <v>33903026</v>
      </c>
    </row>
    <row r="20" spans="1:3" x14ac:dyDescent="0.25">
      <c r="A20">
        <v>33903028</v>
      </c>
      <c r="B20">
        <v>2937695.96</v>
      </c>
      <c r="C20">
        <f>VLOOKUP(A20,'Despesas Empenhadas'!$A$16:$S$37,1,FALSE)</f>
        <v>33903028</v>
      </c>
    </row>
    <row r="21" spans="1:3" x14ac:dyDescent="0.25">
      <c r="A21">
        <v>33903030</v>
      </c>
      <c r="B21">
        <v>15000</v>
      </c>
      <c r="C21">
        <f>VLOOKUP(A21,'Despesas Empenhadas'!$A$16:$S$37,1,FALSE)</f>
        <v>33903030</v>
      </c>
    </row>
    <row r="22" spans="1:3" x14ac:dyDescent="0.25">
      <c r="A22">
        <v>33903035</v>
      </c>
      <c r="B22">
        <v>229870.58</v>
      </c>
      <c r="C22">
        <f>VLOOKUP(A22,'Despesas Empenhadas'!$A$16:$S$37,1,FALSE)</f>
        <v>33903035</v>
      </c>
    </row>
    <row r="23" spans="1:3" x14ac:dyDescent="0.25">
      <c r="A23">
        <v>33903036</v>
      </c>
      <c r="B23">
        <v>10309463.16</v>
      </c>
      <c r="C23" t="e">
        <f>VLOOKUP(A23,'Despesas Empenhadas'!$A$16:$S$37,1,FALSE)</f>
        <v>#N/A</v>
      </c>
    </row>
    <row r="24" spans="1:3" x14ac:dyDescent="0.25">
      <c r="A24">
        <v>33903040</v>
      </c>
      <c r="B24">
        <v>197793.6</v>
      </c>
      <c r="C24" t="e">
        <f>VLOOKUP(A24,'Despesas Empenhadas'!$A$16:$S$37,1,FALSE)</f>
        <v>#N/A</v>
      </c>
    </row>
    <row r="25" spans="1:3" x14ac:dyDescent="0.25">
      <c r="A25">
        <v>33903042</v>
      </c>
      <c r="B25">
        <v>5183.25</v>
      </c>
      <c r="C25" t="e">
        <f>VLOOKUP(A25,'Despesas Empenhadas'!$A$16:$S$37,1,FALSE)</f>
        <v>#N/A</v>
      </c>
    </row>
    <row r="26" spans="1:3" x14ac:dyDescent="0.25">
      <c r="A26">
        <v>33903043</v>
      </c>
      <c r="B26">
        <v>1344.99</v>
      </c>
      <c r="C26" t="e">
        <f>VLOOKUP(A26,'Despesas Empenhadas'!$A$16:$S$37,1,FALSE)</f>
        <v>#N/A</v>
      </c>
    </row>
    <row r="27" spans="1:3" x14ac:dyDescent="0.25">
      <c r="A27">
        <v>33903044</v>
      </c>
      <c r="B27">
        <v>5000</v>
      </c>
      <c r="C27" t="e">
        <f>VLOOKUP(A27,'Despesas Empenhadas'!$A$16:$S$37,1,FALSE)</f>
        <v>#N/A</v>
      </c>
    </row>
    <row r="28" spans="1:3" x14ac:dyDescent="0.25">
      <c r="A28">
        <v>33903606</v>
      </c>
      <c r="B28">
        <v>599536.50109999999</v>
      </c>
      <c r="C28" t="e">
        <f>VLOOKUP(A28,'Despesas Empenhadas'!$A$16:$S$37,1,FALSE)</f>
        <v>#N/A</v>
      </c>
    </row>
    <row r="29" spans="1:3" x14ac:dyDescent="0.25">
      <c r="A29">
        <v>33903701</v>
      </c>
      <c r="B29">
        <v>3891464.5950000002</v>
      </c>
      <c r="C29" t="e">
        <f>VLOOKUP(A29,'Despesas Empenhadas'!$A$16:$S$37,1,FALSE)</f>
        <v>#N/A</v>
      </c>
    </row>
    <row r="30" spans="1:3" x14ac:dyDescent="0.25">
      <c r="A30">
        <v>33903702</v>
      </c>
      <c r="B30">
        <v>5575505.0710000005</v>
      </c>
      <c r="C30" t="e">
        <f>VLOOKUP(A30,'Despesas Empenhadas'!$A$16:$S$37,1,FALSE)</f>
        <v>#N/A</v>
      </c>
    </row>
    <row r="31" spans="1:3" x14ac:dyDescent="0.25">
      <c r="A31">
        <v>33903703</v>
      </c>
      <c r="B31">
        <v>1664419.21</v>
      </c>
      <c r="C31" t="e">
        <f>VLOOKUP(A31,'Despesas Empenhadas'!$A$16:$S$37,1,FALSE)</f>
        <v>#N/A</v>
      </c>
    </row>
    <row r="32" spans="1:3" x14ac:dyDescent="0.25">
      <c r="A32">
        <v>33903704</v>
      </c>
      <c r="B32">
        <v>2318517.2850000001</v>
      </c>
      <c r="C32" t="e">
        <f>VLOOKUP(A32,'Despesas Empenhadas'!$A$16:$S$37,1,FALSE)</f>
        <v>#N/A</v>
      </c>
    </row>
    <row r="33" spans="1:3" x14ac:dyDescent="0.25">
      <c r="A33">
        <v>33903705</v>
      </c>
      <c r="B33">
        <v>2036067.4029999999</v>
      </c>
      <c r="C33" t="e">
        <f>VLOOKUP(A33,'Despesas Empenhadas'!$A$16:$S$37,1,FALSE)</f>
        <v>#N/A</v>
      </c>
    </row>
    <row r="34" spans="1:3" x14ac:dyDescent="0.25">
      <c r="A34">
        <v>33903706</v>
      </c>
      <c r="B34">
        <v>687806.59939999995</v>
      </c>
      <c r="C34" t="e">
        <f>VLOOKUP(A34,'Despesas Empenhadas'!$A$16:$S$37,1,FALSE)</f>
        <v>#N/A</v>
      </c>
    </row>
    <row r="35" spans="1:3" x14ac:dyDescent="0.25">
      <c r="A35">
        <v>33903905</v>
      </c>
      <c r="B35">
        <v>174140.74609999999</v>
      </c>
      <c r="C35" t="e">
        <f>VLOOKUP(A35,'Despesas Empenhadas'!$A$16:$S$37,1,FALSE)</f>
        <v>#N/A</v>
      </c>
    </row>
    <row r="36" spans="1:3" x14ac:dyDescent="0.25">
      <c r="A36">
        <v>33903912</v>
      </c>
      <c r="B36">
        <v>262560.95010000002</v>
      </c>
      <c r="C36" t="e">
        <f>VLOOKUP(A36,'Despesas Empenhadas'!$A$16:$S$37,1,FALSE)</f>
        <v>#N/A</v>
      </c>
    </row>
    <row r="37" spans="1:3" x14ac:dyDescent="0.25">
      <c r="A37">
        <v>33903916</v>
      </c>
      <c r="B37">
        <v>25455.991010000002</v>
      </c>
      <c r="C37" t="e">
        <f>VLOOKUP(A37,'Despesas Empenhadas'!$A$16:$S$37,1,FALSE)</f>
        <v>#N/A</v>
      </c>
    </row>
    <row r="38" spans="1:3" x14ac:dyDescent="0.25">
      <c r="A38">
        <v>33903917</v>
      </c>
      <c r="B38">
        <v>1009684.137</v>
      </c>
      <c r="C38" t="e">
        <f>VLOOKUP(A38,'Despesas Empenhadas'!$A$16:$S$37,1,FALSE)</f>
        <v>#N/A</v>
      </c>
    </row>
    <row r="39" spans="1:3" x14ac:dyDescent="0.25">
      <c r="A39">
        <v>33903943</v>
      </c>
      <c r="B39">
        <v>3621165.6329999999</v>
      </c>
      <c r="C39" t="e">
        <f>VLOOKUP(A39,'Despesas Empenhadas'!$A$16:$S$37,1,FALSE)</f>
        <v>#N/A</v>
      </c>
    </row>
    <row r="40" spans="1:3" x14ac:dyDescent="0.25">
      <c r="A40">
        <v>33903944</v>
      </c>
      <c r="B40">
        <v>1384274.39</v>
      </c>
      <c r="C40" t="e">
        <f>VLOOKUP(A40,'Despesas Empenhadas'!$A$16:$S$37,1,FALSE)</f>
        <v>#N/A</v>
      </c>
    </row>
    <row r="41" spans="1:3" x14ac:dyDescent="0.25">
      <c r="A41">
        <v>33903946</v>
      </c>
      <c r="B41">
        <v>2688152.65</v>
      </c>
      <c r="C41" t="e">
        <f>VLOOKUP(A41,'Despesas Empenhadas'!$A$16:$S$37,1,FALSE)</f>
        <v>#N/A</v>
      </c>
    </row>
    <row r="42" spans="1:3" x14ac:dyDescent="0.25">
      <c r="A42">
        <v>33903947</v>
      </c>
      <c r="B42">
        <v>12707.121590000001</v>
      </c>
      <c r="C42" t="e">
        <f>VLOOKUP(A42,'Despesas Empenhadas'!$A$16:$S$37,1,FALSE)</f>
        <v>#N/A</v>
      </c>
    </row>
    <row r="43" spans="1:3" x14ac:dyDescent="0.25">
      <c r="A43">
        <v>33903950</v>
      </c>
      <c r="B43">
        <v>688215.76419999998</v>
      </c>
      <c r="C43" t="e">
        <f>VLOOKUP(A43,'Despesas Empenhadas'!$A$16:$S$37,1,FALSE)</f>
        <v>#N/A</v>
      </c>
    </row>
    <row r="44" spans="1:3" x14ac:dyDescent="0.25">
      <c r="A44">
        <v>33903951</v>
      </c>
      <c r="B44">
        <v>38363.233939999998</v>
      </c>
      <c r="C44" t="e">
        <f>VLOOKUP(A44,'Despesas Empenhadas'!$A$16:$S$37,1,FALSE)</f>
        <v>#N/A</v>
      </c>
    </row>
    <row r="45" spans="1:3" x14ac:dyDescent="0.25">
      <c r="A45">
        <v>33903958</v>
      </c>
      <c r="B45">
        <v>106915.16220000001</v>
      </c>
      <c r="C45" t="e">
        <f>VLOOKUP(A45,'Despesas Empenhadas'!$A$16:$S$37,1,FALSE)</f>
        <v>#N/A</v>
      </c>
    </row>
    <row r="46" spans="1:3" x14ac:dyDescent="0.25">
      <c r="A46">
        <v>33903969</v>
      </c>
      <c r="B46">
        <v>6279.1444490000003</v>
      </c>
      <c r="C46" t="e">
        <f>VLOOKUP(A46,'Despesas Empenhadas'!$A$16:$S$37,1,FALSE)</f>
        <v>#N/A</v>
      </c>
    </row>
    <row r="47" spans="1:3" x14ac:dyDescent="0.25">
      <c r="A47">
        <v>33903975</v>
      </c>
      <c r="B47">
        <v>276961.18219999998</v>
      </c>
      <c r="C47" t="e">
        <f>VLOOKUP(A47,'Despesas Empenhadas'!$A$16:$S$37,1,FALSE)</f>
        <v>#N/A</v>
      </c>
    </row>
    <row r="48" spans="1:3" x14ac:dyDescent="0.25">
      <c r="A48">
        <v>33903978</v>
      </c>
      <c r="B48">
        <v>56337.773759999996</v>
      </c>
      <c r="C48" t="e">
        <f>VLOOKUP(A48,'Despesas Empenhadas'!$A$16:$S$37,1,FALSE)</f>
        <v>#N/A</v>
      </c>
    </row>
    <row r="49" spans="1:3" x14ac:dyDescent="0.25">
      <c r="A49">
        <v>33903979</v>
      </c>
      <c r="B49">
        <v>399746.52559999999</v>
      </c>
      <c r="C49" t="e">
        <f>VLOOKUP(A49,'Despesas Empenhadas'!$A$16:$S$37,1,FALSE)</f>
        <v>#N/A</v>
      </c>
    </row>
    <row r="50" spans="1:3" x14ac:dyDescent="0.25">
      <c r="A50">
        <v>33904001</v>
      </c>
      <c r="B50">
        <v>246699.3903</v>
      </c>
      <c r="C50" t="e">
        <f>VLOOKUP(A50,'Despesas Empenhadas'!$A$16:$S$37,1,FALSE)</f>
        <v>#N/A</v>
      </c>
    </row>
    <row r="51" spans="1:3" x14ac:dyDescent="0.25">
      <c r="A51">
        <v>33904006</v>
      </c>
      <c r="B51">
        <v>42614.550840000004</v>
      </c>
      <c r="C51" t="e">
        <f>VLOOKUP(A51,'Despesas Empenhadas'!$A$16:$S$37,1,FALSE)</f>
        <v>#N/A</v>
      </c>
    </row>
    <row r="52" spans="1:3" x14ac:dyDescent="0.25">
      <c r="A52">
        <v>33904010</v>
      </c>
      <c r="B52">
        <v>698856.68889999995</v>
      </c>
      <c r="C52" t="e">
        <f>VLOOKUP(A52,'Despesas Empenhadas'!$A$16:$S$37,1,FALSE)</f>
        <v>#N/A</v>
      </c>
    </row>
    <row r="53" spans="1:3" x14ac:dyDescent="0.25">
      <c r="A53">
        <v>33904016</v>
      </c>
      <c r="B53">
        <v>223289.77069999999</v>
      </c>
      <c r="C53" t="e">
        <f>VLOOKUP(A53,'Despesas Empenhadas'!$A$16:$S$37,1,FALSE)</f>
        <v>#N/A</v>
      </c>
    </row>
    <row r="54" spans="1:3" x14ac:dyDescent="0.25">
      <c r="A54">
        <v>33904021</v>
      </c>
      <c r="B54">
        <v>697662.00600000005</v>
      </c>
      <c r="C54" t="e">
        <f>VLOOKUP(A54,'Despesas Empenhadas'!$A$16:$S$37,1,FALSE)</f>
        <v>#N/A</v>
      </c>
    </row>
    <row r="55" spans="1:3" x14ac:dyDescent="0.25">
      <c r="A55">
        <v>33909240</v>
      </c>
      <c r="B55">
        <v>677214.01260000002</v>
      </c>
      <c r="C55" t="e">
        <f>VLOOKUP(A55,'Despesas Empenhadas'!$A$16:$S$37,1,FALSE)</f>
        <v>#N/A</v>
      </c>
    </row>
    <row r="56" spans="1:3" x14ac:dyDescent="0.25">
      <c r="A56" t="s">
        <v>148</v>
      </c>
      <c r="C56" t="e">
        <f>VLOOKUP(A56,'Despesas Empenhadas'!$A$16:$S$37,1,FALSE)</f>
        <v>#N/A</v>
      </c>
    </row>
    <row r="57" spans="1:3" x14ac:dyDescent="0.25">
      <c r="A57" t="s">
        <v>27</v>
      </c>
      <c r="B57">
        <v>0</v>
      </c>
      <c r="C57" t="e">
        <f>VLOOKUP(A57,'Despesas Empenhadas'!$A$16:$S$37,1,FALSE)</f>
        <v>#N/A</v>
      </c>
    </row>
    <row r="58" spans="1:3" x14ac:dyDescent="0.25">
      <c r="A58" t="s">
        <v>149</v>
      </c>
      <c r="B58">
        <v>58950000</v>
      </c>
      <c r="C58" t="e">
        <f>VLOOKUP(A58,'Despesas Empenhadas'!$A$16:$S$37,1,FALSE)</f>
        <v>#N/A</v>
      </c>
    </row>
    <row r="59" spans="1:3" x14ac:dyDescent="0.25">
      <c r="A59" t="s">
        <v>149</v>
      </c>
      <c r="B59">
        <v>117899999.998989</v>
      </c>
      <c r="C59" t="e">
        <f>VLOOKUP(A59,'Despesas Empenhadas'!$A$16:$S$37,1,FALSE)</f>
        <v>#N/A</v>
      </c>
    </row>
    <row r="61" spans="1:3" x14ac:dyDescent="0.25">
      <c r="A61" t="s">
        <v>146</v>
      </c>
      <c r="B61" t="s">
        <v>150</v>
      </c>
    </row>
    <row r="62" spans="1:3" x14ac:dyDescent="0.25">
      <c r="A62">
        <v>33903622</v>
      </c>
      <c r="B62">
        <v>850000</v>
      </c>
    </row>
    <row r="63" spans="1:3" x14ac:dyDescent="0.25">
      <c r="A63">
        <v>44905180</v>
      </c>
      <c r="B63">
        <v>35328.699999999997</v>
      </c>
    </row>
    <row r="64" spans="1:3" x14ac:dyDescent="0.25">
      <c r="A64">
        <v>44905191</v>
      </c>
      <c r="B64">
        <v>400000</v>
      </c>
    </row>
    <row r="65" spans="1:2" x14ac:dyDescent="0.25">
      <c r="A65">
        <v>44905208</v>
      </c>
      <c r="B65">
        <v>766524.2</v>
      </c>
    </row>
    <row r="66" spans="1:2" x14ac:dyDescent="0.25">
      <c r="A66">
        <v>44905212</v>
      </c>
      <c r="B66">
        <v>41039</v>
      </c>
    </row>
    <row r="67" spans="1:2" x14ac:dyDescent="0.25">
      <c r="A67">
        <v>44905230</v>
      </c>
      <c r="B67">
        <v>410000</v>
      </c>
    </row>
    <row r="68" spans="1:2" x14ac:dyDescent="0.25">
      <c r="A68">
        <v>44905233</v>
      </c>
      <c r="B68">
        <v>3300</v>
      </c>
    </row>
    <row r="69" spans="1:2" x14ac:dyDescent="0.25">
      <c r="A69">
        <v>44905234</v>
      </c>
      <c r="B69">
        <v>50000</v>
      </c>
    </row>
    <row r="70" spans="1:2" x14ac:dyDescent="0.25">
      <c r="A70">
        <v>44905235</v>
      </c>
      <c r="B70">
        <v>3320</v>
      </c>
    </row>
    <row r="71" spans="1:2" x14ac:dyDescent="0.25">
      <c r="A71">
        <v>44905237</v>
      </c>
      <c r="B71">
        <v>45000</v>
      </c>
    </row>
    <row r="72" spans="1:2" x14ac:dyDescent="0.25">
      <c r="A72">
        <v>44905241</v>
      </c>
      <c r="B72">
        <v>374052.3</v>
      </c>
    </row>
    <row r="73" spans="1:2" x14ac:dyDescent="0.25">
      <c r="A73">
        <v>44905242</v>
      </c>
      <c r="B73">
        <v>62700</v>
      </c>
    </row>
    <row r="74" spans="1:2" x14ac:dyDescent="0.25">
      <c r="A74">
        <v>44905245</v>
      </c>
      <c r="B74">
        <v>8735.7999999999993</v>
      </c>
    </row>
    <row r="75" spans="1:2" x14ac:dyDescent="0.25">
      <c r="A75" t="s">
        <v>151</v>
      </c>
    </row>
    <row r="76" spans="1:2" x14ac:dyDescent="0.25">
      <c r="A76" t="s">
        <v>27</v>
      </c>
      <c r="B76">
        <v>0</v>
      </c>
    </row>
    <row r="77" spans="1:2" x14ac:dyDescent="0.25">
      <c r="A77" t="s">
        <v>148</v>
      </c>
    </row>
    <row r="78" spans="1:2" x14ac:dyDescent="0.25">
      <c r="A78" t="s">
        <v>149</v>
      </c>
      <c r="B78">
        <v>3050000</v>
      </c>
    </row>
    <row r="80" spans="1:2" x14ac:dyDescent="0.25">
      <c r="A80">
        <v>33903948</v>
      </c>
      <c r="B80" s="37">
        <v>35000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Receitas</vt:lpstr>
      <vt:lpstr>Despesas Empenhadas</vt:lpstr>
      <vt:lpstr>EPI's Empenhados</vt:lpstr>
      <vt:lpstr>Gases Medicinais Empenhados</vt:lpstr>
      <vt:lpstr>Principais Contratos Empenhados</vt:lpstr>
      <vt:lpstr>PAR 21</vt:lpstr>
      <vt:lpstr>'Despesas Empenhadas'!Titulos_de_impressao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Heloise Klein</dc:creator>
  <cp:keywords/>
  <dc:description/>
  <cp:lastModifiedBy>Giselly Müller</cp:lastModifiedBy>
  <cp:revision/>
  <cp:lastPrinted>2021-12-31T12:01:06Z</cp:lastPrinted>
  <dcterms:created xsi:type="dcterms:W3CDTF">2021-02-05T17:58:24Z</dcterms:created>
  <dcterms:modified xsi:type="dcterms:W3CDTF">2022-01-04T13:43:09Z</dcterms:modified>
  <cp:category/>
  <cp:contentStatus/>
</cp:coreProperties>
</file>